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<sst xmlns="http://schemas.openxmlformats.org/spreadsheetml/2006/main" count="5921" uniqueCount="5921">
  <si>
    <t>Date Type:</t>
  </si>
  <si>
    <t>Shipped Date</t>
  </si>
  <si>
    <t>Start Date:</t>
  </si>
  <si>
    <t>10/01/2024</t>
  </si>
  <si>
    <t>End Date:</t>
  </si>
  <si>
    <t>10/31/2024</t>
  </si>
  <si>
    <t>Report Run Date:</t>
  </si>
  <si>
    <t>11/04/2024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</si>
  <si>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</si>
  <si>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</si>
  <si>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</si>
  <si>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</si>
  <si>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</si>
  <si>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</si>
  <si>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</si>
  <si>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</si>
  <si>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CSNSTORES</t>
  </si>
  <si>
    <t>Inventory By Location</t>
  </si>
  <si>
    <t>Incoming Qty by Arrival Date</t>
  </si>
  <si>
    <t>Forecasted Inventory and WOS for each week(BP)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</si>
  <si>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</si>
  <si>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</si>
  <si>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</si>
  <si>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</si>
  <si>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</si>
  <si>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</si>
  <si>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</si>
  <si>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</si>
  <si>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</si>
  <si>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</si>
  <si>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</si>
  <si>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</si>
  <si>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</si>
  <si>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</si>
  <si>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</si>
  <si>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</si>
  <si>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</si>
  <si>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</si>
  <si>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</si>
  <si>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</si>
  <si>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</si>
  <si>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</si>
  <si>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</si>
  <si>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</si>
  <si>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</si>
  <si>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</si>
  <si>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</si>
  <si>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</si>
  <si>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</si>
  <si>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</si>
  <si>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</si>
  <si>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</si>
  <si>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</si>
  <si>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</si>
  <si>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</si>
  <si>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</si>
  <si>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</si>
  <si>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</si>
  <si>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11/02</t>
  </si>
  <si>
    <t>11/09</t>
  </si>
  <si>
    <t>11/16</t>
  </si>
  <si>
    <t>11/23</t>
  </si>
  <si>
    <t>11/30</t>
  </si>
  <si>
    <t>12/07</t>
  </si>
  <si>
    <t>12/14</t>
  </si>
  <si>
    <t>12/21</t>
  </si>
  <si>
    <t>12/28</t>
  </si>
  <si>
    <t>01/04</t>
  </si>
  <si>
    <t>01/11</t>
  </si>
  <si>
    <t>01/18</t>
  </si>
  <si>
    <t>01/25</t>
  </si>
  <si>
    <t>02/01</t>
  </si>
  <si>
    <t>02/08</t>
  </si>
  <si>
    <t>02/15</t>
  </si>
  <si>
    <t>02/22</t>
  </si>
  <si>
    <t>03/01</t>
  </si>
  <si>
    <t>03/08</t>
  </si>
  <si>
    <t>03/15</t>
  </si>
  <si>
    <t>03/22</t>
  </si>
  <si>
    <t>03/29</t>
  </si>
  <si>
    <t>04/05</t>
  </si>
  <si>
    <t>04/12</t>
  </si>
  <si>
    <t>04/19</t>
  </si>
  <si>
    <t>04/26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</si>
  <si>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</si>
  <si>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</si>
  <si>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</si>
  <si>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</si>
  <si>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</si>
  <si>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</si>
  <si>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</si>
  <si>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</si>
  <si>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</si>
  <si>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</si>
  <si>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</si>
  <si>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</si>
  <si>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</si>
  <si>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</si>
  <si>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</si>
  <si>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</si>
  <si>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</si>
  <si>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</si>
  <si>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</si>
  <si>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</si>
  <si>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</si>
  <si>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</si>
  <si>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</si>
  <si>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</si>
  <si>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</si>
  <si>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</si>
  <si>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</si>
  <si>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</si>
  <si>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</si>
  <si>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</si>
  <si>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</si>
  <si>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</si>
  <si>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</si>
  <si>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</si>
  <si>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</si>
  <si>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</si>
  <si>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</si>
  <si>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</si>
  <si>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</si>
  <si>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</si>
  <si>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</si>
  <si>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</si>
  <si>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</si>
  <si>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</si>
  <si>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</si>
  <si>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</si>
  <si>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</si>
  <si>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</si>
  <si>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</si>
  <si>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10/28/2024</t>
  </si>
  <si>
    <t>10/29/2024</t>
  </si>
  <si>
    <t>10/30/2024</t>
  </si>
  <si>
    <t>11/01/2024</t>
  </si>
  <si>
    <t>11/12/2024</t>
  </si>
  <si>
    <t>11/13/2024</t>
  </si>
  <si>
    <t>11/14/2024</t>
  </si>
  <si>
    <t>11/15/2024</t>
  </si>
  <si>
    <t>11/16/2024</t>
  </si>
  <si>
    <t>11/17/2024</t>
  </si>
  <si>
    <t>11/18/2024</t>
  </si>
  <si>
    <t>11/19/2024</t>
  </si>
  <si>
    <t>11/21/2024</t>
  </si>
  <si>
    <t>11/22/2024</t>
  </si>
  <si>
    <t>11/23/2024</t>
  </si>
  <si>
    <t>11/24/2024</t>
  </si>
  <si>
    <t>11/25/2024</t>
  </si>
  <si>
    <t>11/26/2024</t>
  </si>
  <si>
    <t>11/27/2024</t>
  </si>
  <si>
    <t>11/28/2024</t>
  </si>
  <si>
    <t>11/29/2024</t>
  </si>
  <si>
    <t>11/30/2024</t>
  </si>
  <si>
    <t>12/01/2024</t>
  </si>
  <si>
    <t>12/02/2024</t>
  </si>
  <si>
    <t>12/03/2024</t>
  </si>
  <si>
    <t>12/04/2024</t>
  </si>
  <si>
    <t>12/05/2024</t>
  </si>
  <si>
    <t>12/06/2024</t>
  </si>
  <si>
    <t>12/07/2024</t>
  </si>
  <si>
    <t>12/08/2024</t>
  </si>
  <si>
    <t>12/09/2024</t>
  </si>
  <si>
    <t>12/10/2024</t>
  </si>
  <si>
    <t>12/12/2024</t>
  </si>
  <si>
    <t>12/14/2024</t>
  </si>
  <si>
    <t>12/15/2024</t>
  </si>
  <si>
    <t>12/16/2024</t>
  </si>
  <si>
    <t>12/17/2024</t>
  </si>
  <si>
    <t>12/18/2024</t>
  </si>
  <si>
    <t>12/19/2024</t>
  </si>
  <si>
    <t>12/20/2024</t>
  </si>
  <si>
    <t>12/21/2024</t>
  </si>
  <si>
    <t>12/23/2024</t>
  </si>
  <si>
    <t>12/24/2024</t>
  </si>
  <si>
    <t>12/25/2024</t>
  </si>
  <si>
    <t>12/26/2024</t>
  </si>
  <si>
    <t>12/27/2024</t>
  </si>
  <si>
    <t>12/29/2024</t>
  </si>
  <si>
    <t>12/31/2024</t>
  </si>
  <si>
    <t>01/01/2025</t>
  </si>
  <si>
    <t>01/02/2025</t>
  </si>
  <si>
    <t>01/03/2025</t>
  </si>
  <si>
    <t>01/05/2025</t>
  </si>
  <si>
    <t>01/07/2025</t>
  </si>
  <si>
    <t>01/08/2025</t>
  </si>
  <si>
    <t>01/10/2025</t>
  </si>
  <si>
    <t>01/13/2025</t>
  </si>
  <si>
    <t>01/14/2025</t>
  </si>
  <si>
    <t>01/15/2025</t>
  </si>
  <si>
    <t>01/17/2025</t>
  </si>
  <si>
    <t>01/19/2025</t>
  </si>
  <si>
    <t>01/21/2025</t>
  </si>
  <si>
    <t>01/22/2025</t>
  </si>
  <si>
    <t>01/24/2025</t>
  </si>
  <si>
    <t>01/25/2025</t>
  </si>
  <si>
    <t>01/29/2025</t>
  </si>
  <si>
    <t>01/31/2025</t>
  </si>
  <si>
    <t>02/04/2025</t>
  </si>
  <si>
    <t>02/05/2025</t>
  </si>
  <si>
    <t>02/06/2025</t>
  </si>
  <si>
    <t>02/08/2025</t>
  </si>
  <si>
    <t>02/11/2025</t>
  </si>
  <si>
    <t>02/12/2025</t>
  </si>
  <si>
    <t>02/13/2025</t>
  </si>
  <si>
    <t>02/18/2025</t>
  </si>
  <si>
    <t>02/19/2025</t>
  </si>
  <si>
    <t>02/21/2025</t>
  </si>
  <si>
    <t>02/24/2025</t>
  </si>
  <si>
    <t>02/25/2025</t>
  </si>
  <si>
    <t>02/26/2025</t>
  </si>
  <si>
    <t>03/03/2025</t>
  </si>
  <si>
    <t>03/05/2025</t>
  </si>
  <si>
    <t>03/07/2025</t>
  </si>
  <si>
    <t>03/12/2025</t>
  </si>
  <si>
    <t>03/16/2025</t>
  </si>
  <si>
    <t>03/19/2025</t>
  </si>
  <si>
    <t>03/21/2025</t>
  </si>
  <si>
    <t>Inventory</t>
  </si>
  <si>
    <t>WOS</t>
  </si>
  <si>
    <t>BASI16-0381</t>
  </si>
  <si>
    <t>BASI</t>
  </si>
  <si>
    <t>Sleep Philosophy</t>
  </si>
  <si>
    <t>MATT PAD/TOPPER</t>
  </si>
  <si>
    <t>Mattress Toppers</t>
  </si>
  <si>
    <t>1.5" Gel Memory Foam</t>
  </si>
  <si>
    <t>All Season Reversible Hypoallergenic 1.5" Cooling Mattress Topper</t>
  </si>
  <si>
    <t>Twin</t>
  </si>
  <si>
    <t>Blue</t>
  </si>
  <si>
    <t>Active</t>
  </si>
  <si>
    <t>B</t>
  </si>
  <si>
    <t>NO</t>
  </si>
  <si>
    <t/>
  </si>
  <si>
    <t>PF002105</t>
  </si>
  <si>
    <t>Foam</t>
  </si>
  <si>
    <t>Solid</t>
  </si>
  <si>
    <t>Casual</t>
  </si>
  <si>
    <t>4/2/2017</t>
  </si>
  <si>
    <t>AAFESDS,JCPENNEY01,TGTDVS</t>
  </si>
  <si>
    <t>ANEW1143</t>
  </si>
  <si>
    <t>Tier 3</t>
  </si>
  <si>
    <t>Setup</t>
  </si>
  <si>
    <t>7/30/2016</t>
  </si>
  <si>
    <t>3/21/2017</t>
  </si>
  <si>
    <t>No</t>
  </si>
  <si>
    <t>BASI16-0416</t>
  </si>
  <si>
    <t>Twin XL</t>
  </si>
  <si>
    <t>AMAZON,JCPENNEY01,KOHLDSN,OVERSTOCK01,TGTDVS,WALMARTDS</t>
  </si>
  <si>
    <t>10/29/2016</t>
  </si>
  <si>
    <t>6/30/2017</t>
  </si>
  <si>
    <t>BASI16-0382</t>
  </si>
  <si>
    <t>Full</t>
  </si>
  <si>
    <t>AAFESDS,BLK01,MACY02,OLLIIX,OVERSTOCK01,TGTDVS,ZOLA</t>
  </si>
  <si>
    <t>2/16/2017</t>
  </si>
  <si>
    <t>BASI16-0384</t>
  </si>
  <si>
    <t>King</t>
  </si>
  <si>
    <t>AMAZON,JCPENNEY01,KOHLDSN,OLLIIX,ZOLA</t>
  </si>
  <si>
    <t>5/17/2017</t>
  </si>
  <si>
    <t>MPS10-100</t>
  </si>
  <si>
    <t>Madison Park Signature</t>
  </si>
  <si>
    <t>COMFORTER (SET)</t>
  </si>
  <si>
    <t>Down Alternative Comforter Filler</t>
  </si>
  <si>
    <t>1000 Thread Count Cotton Blend</t>
  </si>
  <si>
    <t>Diamond Quilting Down Alternative Comforter</t>
  </si>
  <si>
    <t>Full/Queen</t>
  </si>
  <si>
    <t>White</t>
  </si>
  <si>
    <t>PF002112</t>
  </si>
  <si>
    <t>CVC</t>
  </si>
  <si>
    <t>3/12/2025</t>
  </si>
  <si>
    <t>BLK01,DESINC,JCPENNEY01,KOHLDSN,MACY02,OLLIIX,OVERSTOCK01,TGTDVS,ZOLA</t>
  </si>
  <si>
    <t>BDIS1212</t>
  </si>
  <si>
    <t>8/23/2016</t>
  </si>
  <si>
    <t>9/9/2016</t>
  </si>
  <si>
    <t>MPS10-101</t>
  </si>
  <si>
    <t>King/Cal King</t>
  </si>
  <si>
    <t>BLK01,FINGERHUTDS,JCPENNEY01,KOHLDSN,MACY02,OLLIIX,OVERSTOCK01,TGTDVS,ZOLA</t>
  </si>
  <si>
    <t>11/4/2016</t>
  </si>
  <si>
    <t>MP20-6411</t>
  </si>
  <si>
    <t>SHET</t>
  </si>
  <si>
    <t>Madison Park</t>
  </si>
  <si>
    <t>SHEET/SHEET SET</t>
  </si>
  <si>
    <t>Sheet/Sheet Set</t>
  </si>
  <si>
    <t>1500 Thread Count</t>
  </si>
  <si>
    <t>Cotton Blend 4 PC Sheet Set</t>
  </si>
  <si>
    <t>Cal King</t>
  </si>
  <si>
    <t>PP001239;PF004724</t>
  </si>
  <si>
    <t>4</t>
  </si>
  <si>
    <t>Glam/Luxury</t>
  </si>
  <si>
    <t>5/20/2019</t>
  </si>
  <si>
    <t>12/6/2024</t>
  </si>
  <si>
    <t>BLK01,HDDS,JCPENNEY01,KOHLDSN,MACY02</t>
  </si>
  <si>
    <t>ALTH2202</t>
  </si>
  <si>
    <t>Tier 2</t>
  </si>
  <si>
    <t>5/24/2019</t>
  </si>
  <si>
    <t>2/4/2020</t>
  </si>
  <si>
    <t>MP21-4854</t>
  </si>
  <si>
    <t>PILLOWCASE</t>
  </si>
  <si>
    <t>Pillowcase</t>
  </si>
  <si>
    <t>Cotton Blend 2 PC Pillowcases</t>
  </si>
  <si>
    <t>Grey</t>
  </si>
  <si>
    <t>PF002376</t>
  </si>
  <si>
    <t>9/2/2017</t>
  </si>
  <si>
    <t>BLK01,JCPENNEY01,KOHLDSN,MACY02,OVERSTOCK01,TGTDVS</t>
  </si>
  <si>
    <t>ALTH2201</t>
  </si>
  <si>
    <t>8/30/2017</t>
  </si>
  <si>
    <t>11/27/2017</t>
  </si>
  <si>
    <t>MP21-4853</t>
  </si>
  <si>
    <t>Standard</t>
  </si>
  <si>
    <t>BLK01,DESINC,JCPENNEY01,KOHLDSN,MACY02,OVERSTOCK01,TGTDVS</t>
  </si>
  <si>
    <t>3/29/2018</t>
  </si>
  <si>
    <t>MP20-4857</t>
  </si>
  <si>
    <t>Seafoam</t>
  </si>
  <si>
    <t>PF002379</t>
  </si>
  <si>
    <t>BLK01,JCPENNEY01,KOHLDSN,MACY02,TGTDVS</t>
  </si>
  <si>
    <t>12/7/2018</t>
  </si>
  <si>
    <t>MP21-4843</t>
  </si>
  <si>
    <t>PF002377</t>
  </si>
  <si>
    <t>BLK01,DESINC,JCPENNEY01,KOHLDSN,MACY02,OLLIIX,OVERSTOCK01,TGTDVS</t>
  </si>
  <si>
    <t>1/9/2019</t>
  </si>
  <si>
    <t>BASI16-0386</t>
  </si>
  <si>
    <t>2" Gel Memory Foam with 3M Cover</t>
  </si>
  <si>
    <t>Mattress Topper</t>
  </si>
  <si>
    <t>PF002107</t>
  </si>
  <si>
    <t>KOHLDSN</t>
  </si>
  <si>
    <t>ANEW2840</t>
  </si>
  <si>
    <t>9/17/2018</t>
  </si>
  <si>
    <t>BASI16-0555</t>
  </si>
  <si>
    <t>2" Memory Foam Mattress Topper</t>
  </si>
  <si>
    <t>1</t>
  </si>
  <si>
    <t>9/25/2018</t>
  </si>
  <si>
    <t>OVERSTOCK01</t>
  </si>
  <si>
    <t>6/11/2019</t>
  </si>
  <si>
    <t>BASI16-0387</t>
  </si>
  <si>
    <t>2/21/2017</t>
  </si>
  <si>
    <t>BASI16-0388</t>
  </si>
  <si>
    <t>Queen</t>
  </si>
  <si>
    <t>JCPENNEY01,KOHLDSN,OVERSTOCK01,TGTDVS,ZOLA</t>
  </si>
  <si>
    <t>3/6/2017</t>
  </si>
  <si>
    <t>BASI16-0389</t>
  </si>
  <si>
    <t>AAFESDS,JCPENNEY01,OLLIIX,OVERSTOCK01,TGTDVS,ZOLA</t>
  </si>
  <si>
    <t>2/22/2017</t>
  </si>
  <si>
    <t>MPE20-1012</t>
  </si>
  <si>
    <t>Madison Park Essentials</t>
  </si>
  <si>
    <t>200 Thread Count Printed Cotton</t>
  </si>
  <si>
    <t>Sheet Set</t>
  </si>
  <si>
    <t>Blue Stripe</t>
  </si>
  <si>
    <t>PP001858;PF005942</t>
  </si>
  <si>
    <t>Cotton</t>
  </si>
  <si>
    <t>Stripe</t>
  </si>
  <si>
    <t>3/22/2023</t>
  </si>
  <si>
    <t>AMAZON</t>
  </si>
  <si>
    <t>RBSE3565</t>
  </si>
  <si>
    <t>4/18/2023</t>
  </si>
  <si>
    <t>6/26/2023</t>
  </si>
  <si>
    <t>MPE20-1014</t>
  </si>
  <si>
    <t>AMAZON,JCPENNEY01,KOHLDSN,MACY02,TGTDVS</t>
  </si>
  <si>
    <t>6/20/2023</t>
  </si>
  <si>
    <t>MPE20-1006</t>
  </si>
  <si>
    <t>Green Leaves</t>
  </si>
  <si>
    <t>PP001858;PF005940</t>
  </si>
  <si>
    <t>Botanical</t>
  </si>
  <si>
    <t>AMAZON,AMAZONDS,MACY02</t>
  </si>
  <si>
    <t>7/31/2023</t>
  </si>
  <si>
    <t>MPE20-1007</t>
  </si>
  <si>
    <t>AMAZON,AMAZONDS,JCPENNEY01,MACY02</t>
  </si>
  <si>
    <t>5/28/2023</t>
  </si>
  <si>
    <t>MPE20-1008</t>
  </si>
  <si>
    <t>AMAZON,AMAZONDS,HDDS,KOHLDSN,MACY02,OVERSTOCK01</t>
  </si>
  <si>
    <t>6/8/2023</t>
  </si>
  <si>
    <t>MPE20-1015</t>
  </si>
  <si>
    <t>Grey Stripe</t>
  </si>
  <si>
    <t>PP001858;PF005943</t>
  </si>
  <si>
    <t>AMAZON,AMAZONDS,MACY02,TGTDVS</t>
  </si>
  <si>
    <t>MPE20-1016</t>
  </si>
  <si>
    <t>AMAZON,DESINC,JCPENNEY01,KOHLDSN,MACY02,OLLIIX,OVERSTOCK01</t>
  </si>
  <si>
    <t>6/19/2023</t>
  </si>
  <si>
    <t>MPE20-1017</t>
  </si>
  <si>
    <t>7/24/2023</t>
  </si>
  <si>
    <t>BASI16-0417</t>
  </si>
  <si>
    <t>3" Gel Memory Foam</t>
  </si>
  <si>
    <t>All Season Reversible Hypoallergenic Cooling Mattress Topper</t>
  </si>
  <si>
    <t>PF002106</t>
  </si>
  <si>
    <t>BLK01,HSNDS,MACY02,TGTDVS</t>
  </si>
  <si>
    <t>ANEW1127</t>
  </si>
  <si>
    <t>11/15/2016</t>
  </si>
  <si>
    <t>BASI16-0418</t>
  </si>
  <si>
    <t>AMAZON,MACY02</t>
  </si>
  <si>
    <t>12/12/2016</t>
  </si>
  <si>
    <t>BASI16-0419</t>
  </si>
  <si>
    <t>BLK01,HSNDS,KOHLDSN,MACY02,OLLIIX,OVERSTOCK01,TGTDVS,ZOLA</t>
  </si>
  <si>
    <t>8/24/2016</t>
  </si>
  <si>
    <t>BASI16-0420</t>
  </si>
  <si>
    <t>BLK01,MACY02,TGTDVS,WALMARTDS,ZOLA</t>
  </si>
  <si>
    <t>12/5/2016</t>
  </si>
  <si>
    <t>BASI16-0421</t>
  </si>
  <si>
    <t>MACY02,OLLIIX,OVERSTOCK01,TGTDVS,WALMARTDS</t>
  </si>
  <si>
    <t>BASI16-0391</t>
  </si>
  <si>
    <t>3" Gel Memory Foam with 3M Cover</t>
  </si>
  <si>
    <t>PF002108</t>
  </si>
  <si>
    <t>AAFESDS,JCPENNEY01,KOHLDSN</t>
  </si>
  <si>
    <t>ANEW2841</t>
  </si>
  <si>
    <t>3/13/2017</t>
  </si>
  <si>
    <t>BASI16-0468</t>
  </si>
  <si>
    <t>JCPENNEY01,MACY02,OVERSTOCK01,TGTDVS</t>
  </si>
  <si>
    <t>2/11/2017</t>
  </si>
  <si>
    <t>6/29/2018</t>
  </si>
  <si>
    <t>BASI16-0392</t>
  </si>
  <si>
    <t>3/14/2017</t>
  </si>
  <si>
    <t>BASI16-0394</t>
  </si>
  <si>
    <t>JCPENNEY01,OVERSTOCK01,TGTDVS,ZOLA</t>
  </si>
  <si>
    <t>6/5/2017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</si>
  <si>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</si>
  <si>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</si>
  <si>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</si>
  <si>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</si>
  <si>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</si>
  <si>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AMAZON,AMAZONDS,HDDS,JCPENNEY01,KOHLDSN,TGTDVS</t>
  </si>
  <si>
    <t>ANEW1130</t>
  </si>
  <si>
    <t>12/4/2016</t>
  </si>
  <si>
    <t>BASI16-0476</t>
  </si>
  <si>
    <t>AAFESDS,JCPENNEY01,OLLIIX,OVERSTOCK01,TGTDVS</t>
  </si>
  <si>
    <t>6/23/2017</t>
  </si>
  <si>
    <t>BASI16-0477</t>
  </si>
  <si>
    <t>HDDS,JCPENNEY01,MACY02,OLLIIX,OVERSTOCK01,TGTDVS</t>
  </si>
  <si>
    <t>1/30/2017</t>
  </si>
  <si>
    <t>BASI16-0478</t>
  </si>
  <si>
    <t>AAFESDS,BLK01,HDDS,JCPENNEY01,MACY02,OLLIIX</t>
  </si>
  <si>
    <t>BASI16-0479</t>
  </si>
  <si>
    <t>AAFESDS,HDDS,JCPENNEY01,KOHLDSN,MACY02,OLLIIX,TGTDVS,ZOLA</t>
  </si>
  <si>
    <t>4/24/2017</t>
  </si>
  <si>
    <t>MP20-8251</t>
  </si>
  <si>
    <t>300 Thread Count Organic Cotton</t>
  </si>
  <si>
    <t>Deep Pocket Sheet Set</t>
  </si>
  <si>
    <t>Aqua</t>
  </si>
  <si>
    <t>PP001890;PF006024</t>
  </si>
  <si>
    <t>8/26/2023</t>
  </si>
  <si>
    <t>12/5/2024</t>
  </si>
  <si>
    <t>NCWA2546</t>
  </si>
  <si>
    <t>10/31/2023</t>
  </si>
  <si>
    <t>5/6/2024</t>
  </si>
  <si>
    <t>MP20-8252</t>
  </si>
  <si>
    <t>AMAZON,HDDS,KOHLDSN,TGTDVS</t>
  </si>
  <si>
    <t>11/26/2023</t>
  </si>
  <si>
    <t>MP20-8247</t>
  </si>
  <si>
    <t>PP001890;PF006022</t>
  </si>
  <si>
    <t>AMAZON,HDDS,JCPENNEY01,KOHLDSN,OVERSTOCK01,TGTDVS</t>
  </si>
  <si>
    <t>12/18/2023</t>
  </si>
  <si>
    <t>MP20-8248</t>
  </si>
  <si>
    <t>AMAZON,JCPENNEY01,KOHLDSN,OVERSTOCK01,TGTDVS</t>
  </si>
  <si>
    <t>1/15/2024</t>
  </si>
  <si>
    <t>MP20-8253</t>
  </si>
  <si>
    <t>Ivory</t>
  </si>
  <si>
    <t>PP001890;PF006025</t>
  </si>
  <si>
    <t>AMAZON,AMAZONDS,HDDS,JCPENNEY01,KOHLDSN,OLLIIX,OVERSTOCK01,TGTDVS</t>
  </si>
  <si>
    <t>MP20-8254</t>
  </si>
  <si>
    <t>1/2/2024</t>
  </si>
  <si>
    <t>MP20-8249</t>
  </si>
  <si>
    <t>Taupe</t>
  </si>
  <si>
    <t>PP001890;PF006023</t>
  </si>
  <si>
    <t>AMAZON,BEALLSDS,HDDS,JCPENNEY01,KOHLDSN,OVERSTOCK01,TGTDVS</t>
  </si>
  <si>
    <t>11/27/2023</t>
  </si>
  <si>
    <t>MP20-8250</t>
  </si>
  <si>
    <t>AMAZON,KOHLDSN,OVERSTOCK01,TGTDVS</t>
  </si>
  <si>
    <t>12/28/2023</t>
  </si>
  <si>
    <t>MP20-1185</t>
  </si>
  <si>
    <t>3M Microcell</t>
  </si>
  <si>
    <t>Luxurious Brushed Microfiber Deep Pocket Sheet Set</t>
  </si>
  <si>
    <t>PF001786</t>
  </si>
  <si>
    <t>Microfiber</t>
  </si>
  <si>
    <t>HSNDS,JCPENNEY01,KOHLDSN,MACY02,OVERSTOCK01</t>
  </si>
  <si>
    <t>CHLH5539</t>
  </si>
  <si>
    <t>1/28/2015</t>
  </si>
  <si>
    <t>MP20-2447</t>
  </si>
  <si>
    <t>1/22/2025</t>
  </si>
  <si>
    <t>DESINC,JCPENNEY01,KOHLDSN,MACY02</t>
  </si>
  <si>
    <t>10/6/2016</t>
  </si>
  <si>
    <t>MP20-1186</t>
  </si>
  <si>
    <t>BLK01,JCPENNEY01,KOHLDSN,MACY02,OLLIIX,TGTDVS</t>
  </si>
  <si>
    <t>8/12/2015</t>
  </si>
  <si>
    <t>MP20-1188</t>
  </si>
  <si>
    <t>BLK01,HSNDS,JCPENNEY01,KOHLDSN,MACY02,ZOLA</t>
  </si>
  <si>
    <t>6/12/2015</t>
  </si>
  <si>
    <t>MP20-4388</t>
  </si>
  <si>
    <t>Blush</t>
  </si>
  <si>
    <t>PF001792</t>
  </si>
  <si>
    <t>KOHLDSN,MACY02,OVERSTOCK01,WALMARTDS</t>
  </si>
  <si>
    <t>4/6/2017</t>
  </si>
  <si>
    <t>11/7/2017</t>
  </si>
  <si>
    <t>MP20-4389</t>
  </si>
  <si>
    <t>12/9/2024</t>
  </si>
  <si>
    <t>AMAZON,BLK01,JCPENNEY01,KOHLDSN,MACY02</t>
  </si>
  <si>
    <t>7/7/2017</t>
  </si>
  <si>
    <t>MP20-4390</t>
  </si>
  <si>
    <t>AMAZON,AMAZONDS,BLK01,HDDS,JCPENNEY01,KOHLDSN,MACY02,OLLIIX</t>
  </si>
  <si>
    <t>7/11/2017</t>
  </si>
  <si>
    <t>MP20-4392</t>
  </si>
  <si>
    <t>AMAZON,BLK01,HSNDS,JCPENNEY01,KOHLDSN,MACY02,OVERSTOCK01,ZOLA</t>
  </si>
  <si>
    <t>9/18/2017</t>
  </si>
  <si>
    <t>MP20-4393</t>
  </si>
  <si>
    <t>AMAZON,HDDS,JCPENNEY01,KOHLDSN,MACY02</t>
  </si>
  <si>
    <t>3/27/2018</t>
  </si>
  <si>
    <t>MP20-2383</t>
  </si>
  <si>
    <t>PF001789</t>
  </si>
  <si>
    <t>JCPENNEY01,KOHLDSN,MACY02,OLLIIX</t>
  </si>
  <si>
    <t>7/3/2017</t>
  </si>
  <si>
    <t>MP20-2443</t>
  </si>
  <si>
    <t>JCPENNEY01,KOHLDSN,MACY02</t>
  </si>
  <si>
    <t>MP20-2384</t>
  </si>
  <si>
    <t>JCPENNEY01,KOHLDSN,MACY02,ZOLA</t>
  </si>
  <si>
    <t>6/30/2016</t>
  </si>
  <si>
    <t>MP20-2386</t>
  </si>
  <si>
    <t>BLK01,JCPENNEY01,KIRKLANDDS,KOHLDSN,MACY02,NRTPORT,OVERSTOCK01,ZOLA</t>
  </si>
  <si>
    <t>8/8/2016</t>
  </si>
  <si>
    <t>MP20-2387</t>
  </si>
  <si>
    <t>BLK01,JCPENNEY01,KOHLDSN,ZOLA</t>
  </si>
  <si>
    <t>9/19/2016</t>
  </si>
  <si>
    <t>MP20-1180</t>
  </si>
  <si>
    <t>PF001785</t>
  </si>
  <si>
    <t>HDDS,HSNDS,JCPENNEY01,KOHLDSN,MACY02,OLLIIX,TGTDVS</t>
  </si>
  <si>
    <t>7/14/2015</t>
  </si>
  <si>
    <t>MP20-2446</t>
  </si>
  <si>
    <t>HDDS,JCPENNEY01,KOHLDSN,MACY02</t>
  </si>
  <si>
    <t>6/23/2016</t>
  </si>
  <si>
    <t>MP20-1182</t>
  </si>
  <si>
    <t>BLK01,HDDS,JCPENNEY01,KOHLDSN,MACY02,OLLIIX,OVERSTOCK01,TGTDVS</t>
  </si>
  <si>
    <t>6/15/2015</t>
  </si>
  <si>
    <t>MP20-1183</t>
  </si>
  <si>
    <t>BLK01,HSNDS,JCPENNEY01,KOHLDSN,MACY02,OLLIIX,TGTDVS,WALMARTDS</t>
  </si>
  <si>
    <t>9/29/2015</t>
  </si>
  <si>
    <t>MP20-1184</t>
  </si>
  <si>
    <t>HSNDS,JCPENNEY01,KOHLDSN,MACY02</t>
  </si>
  <si>
    <t>10/12/2015</t>
  </si>
  <si>
    <t>MP20-1190</t>
  </si>
  <si>
    <t>Khaki</t>
  </si>
  <si>
    <t>PF001787</t>
  </si>
  <si>
    <t>HSNDS,KOHLDSN,MACY02,TGTDVS</t>
  </si>
  <si>
    <t>MP20-1191</t>
  </si>
  <si>
    <t>BLK01,JCPENNEY01,KOHLDSN,MACY02</t>
  </si>
  <si>
    <t>2/29/2016</t>
  </si>
  <si>
    <t>MP20-1193</t>
  </si>
  <si>
    <t>BLK01,HDDS,JCPENNEY01,KOHLDSN,MACY02,NRTPORT,TGTDVS</t>
  </si>
  <si>
    <t>8/14/2015</t>
  </si>
  <si>
    <t>MP20-1194</t>
  </si>
  <si>
    <t>MP20-2388</t>
  </si>
  <si>
    <t>PF001791</t>
  </si>
  <si>
    <t>JCPENNEY01,KOHLDSN,OLLIIX</t>
  </si>
  <si>
    <t>8/3/2016</t>
  </si>
  <si>
    <t>MP20-2444</t>
  </si>
  <si>
    <t>AMAZON,AMAZONDS,HSNDS,JCPENNEY01,MACY02</t>
  </si>
  <si>
    <t>9/26/2017</t>
  </si>
  <si>
    <t>MP20-2390</t>
  </si>
  <si>
    <t>AMAZON,HSNDS,JCPENNEY01,KOHLDSN,MACY02,NRTPORT,ZOLA</t>
  </si>
  <si>
    <t>6/28/2016</t>
  </si>
  <si>
    <t>MP20-2391</t>
  </si>
  <si>
    <t>AMAZON,BLK01,HSNDS,JCPENNEY01,KOHLDSN,MACY02,ZOLA</t>
  </si>
  <si>
    <t>11/9/2016</t>
  </si>
  <si>
    <t>MP20-1175</t>
  </si>
  <si>
    <t>PF001784</t>
  </si>
  <si>
    <t>4/24/2015</t>
  </si>
  <si>
    <t>MP20-2445</t>
  </si>
  <si>
    <t>MP20-1176</t>
  </si>
  <si>
    <t>BLK01,JCPENNEY01,KOHLDSN,MACY02,OLLIIX,OVERSTOCK01,TGTDVS</t>
  </si>
  <si>
    <t>6/1/2015</t>
  </si>
  <si>
    <t>MP20-1177</t>
  </si>
  <si>
    <t>BLK01,HDDS,JCPENNEY01,KOHLDSN,MACY02,OLLIIX,OVERSTOCK01</t>
  </si>
  <si>
    <t>MP20-1178</t>
  </si>
  <si>
    <t>BLK01,JCPENNEY01,KOHLDSN,MACY02,OLLIIX</t>
  </si>
  <si>
    <t>3/10/2015</t>
  </si>
  <si>
    <t>MP20-1179</t>
  </si>
  <si>
    <t>JCPENNEY01,KOHLDSN,MACY02,TGTDVS</t>
  </si>
  <si>
    <t>8/26/2016</t>
  </si>
  <si>
    <t>BASI16-0450</t>
  </si>
  <si>
    <t>4" Gel Memory Foam with 3M Cover</t>
  </si>
  <si>
    <t>4" Memory Foam Mattress Topper</t>
  </si>
  <si>
    <t>PF002109</t>
  </si>
  <si>
    <t>ANEW1128</t>
  </si>
  <si>
    <t>9/21/2016</t>
  </si>
  <si>
    <t>11/1/2016</t>
  </si>
  <si>
    <t>BASI16-0451</t>
  </si>
  <si>
    <t>BLK01,HOUZZ,JCPENNEY01,KOHLDSN,MACY02,OVERSTOCK01,TGTDVS</t>
  </si>
  <si>
    <t>10/30/2016</t>
  </si>
  <si>
    <t>BASI16-0454</t>
  </si>
  <si>
    <t>10/31/2016</t>
  </si>
  <si>
    <t>MP20-8229</t>
  </si>
  <si>
    <t>500 Thread Count Egyptian Cotton</t>
  </si>
  <si>
    <t>B+</t>
  </si>
  <si>
    <t>PP001884;PF006013</t>
  </si>
  <si>
    <t>NCWA2547</t>
  </si>
  <si>
    <t>11/24/2023</t>
  </si>
  <si>
    <t>MP20-8230</t>
  </si>
  <si>
    <t>11/22/2023</t>
  </si>
  <si>
    <t>MP20-8233</t>
  </si>
  <si>
    <t>Lilac</t>
  </si>
  <si>
    <t>PP001884;PF006014</t>
  </si>
  <si>
    <t>11/21/2023</t>
  </si>
  <si>
    <t>MP20-8221</t>
  </si>
  <si>
    <t>A</t>
  </si>
  <si>
    <t>PP001884;PF006011</t>
  </si>
  <si>
    <t>AMAZON,OLLIIX</t>
  </si>
  <si>
    <t>5/20/2024</t>
  </si>
  <si>
    <t>MP20-8222</t>
  </si>
  <si>
    <t>MPS10-505</t>
  </si>
  <si>
    <t>Comforter (Set)</t>
  </si>
  <si>
    <t>500 Thread Count Luxury Collection</t>
  </si>
  <si>
    <t>100% Cotton Sateen Embroidered Comforter Set</t>
  </si>
  <si>
    <t>White/Navy</t>
  </si>
  <si>
    <t>PP001867;PF005967</t>
  </si>
  <si>
    <t>5</t>
  </si>
  <si>
    <t>Other</t>
  </si>
  <si>
    <t>6/12/2023</t>
  </si>
  <si>
    <t>AMAZON,JCPENNEY01,NRTPORT,OLLIIX</t>
  </si>
  <si>
    <t>NCWB1242</t>
  </si>
  <si>
    <t>6/22/2023</t>
  </si>
  <si>
    <t>10/12/2023</t>
  </si>
  <si>
    <t>BR20-1005</t>
  </si>
  <si>
    <t>Beautyrest</t>
  </si>
  <si>
    <t>600 Thread Count</t>
  </si>
  <si>
    <t>Cooling Cotton Blend 4 PC Sheet Set</t>
  </si>
  <si>
    <t>PP001188;PF004697</t>
  </si>
  <si>
    <t>Modern/Contemporary</t>
  </si>
  <si>
    <t>5/14/2019</t>
  </si>
  <si>
    <t>11/4/2024</t>
  </si>
  <si>
    <t>AAHR1052</t>
  </si>
  <si>
    <t>Tier 1</t>
  </si>
  <si>
    <t>5/23/2019</t>
  </si>
  <si>
    <t>9/7/2020</t>
  </si>
  <si>
    <t>SHET20-512</t>
  </si>
  <si>
    <t>Pima Cotton Sheet Set</t>
  </si>
  <si>
    <t>Gold</t>
  </si>
  <si>
    <t>PF001747</t>
  </si>
  <si>
    <t>JCPENNEY01,MACY02,OVERSTOCK01</t>
  </si>
  <si>
    <t>CHMB1017</t>
  </si>
  <si>
    <t>MP20-7167</t>
  </si>
  <si>
    <t>Split King</t>
  </si>
  <si>
    <t>7</t>
  </si>
  <si>
    <t>4/8/2020</t>
  </si>
  <si>
    <t>12/3/2024</t>
  </si>
  <si>
    <t>BLK01,HDDS,JCPENNEY01,KOHLDSN,MACY02,OVERSTOCK01</t>
  </si>
  <si>
    <t>4/9/2020</t>
  </si>
  <si>
    <t>4/15/2020</t>
  </si>
  <si>
    <t>MP20-5056</t>
  </si>
  <si>
    <t>Light Grey</t>
  </si>
  <si>
    <t>PF001729</t>
  </si>
  <si>
    <t>9/15/2017</t>
  </si>
  <si>
    <t>12/8/2017</t>
  </si>
  <si>
    <t>MP20-7166</t>
  </si>
  <si>
    <t>9/25/2020</t>
  </si>
  <si>
    <t>HDDS,JCPENNEY01,KOHLDSN,MACY02,OVERSTOCK01</t>
  </si>
  <si>
    <t>10/12/2020</t>
  </si>
  <si>
    <t>BR20-1919</t>
  </si>
  <si>
    <t>Teal</t>
  </si>
  <si>
    <t>PP001188;PF005146</t>
  </si>
  <si>
    <t>8/18/2020</t>
  </si>
  <si>
    <t>8/23/2020</t>
  </si>
  <si>
    <t>9/22/2020</t>
  </si>
  <si>
    <t>BR20-0989</t>
  </si>
  <si>
    <t>PP001188;PF004693</t>
  </si>
  <si>
    <t>AMAZON,BLK01,JCPENNEY01,KOHLDSN,NORDSTRACKDS,OLLIIX,OVERSTOCK01,TGTDVS</t>
  </si>
  <si>
    <t>6/13/2019</t>
  </si>
  <si>
    <t>7/7/2020</t>
  </si>
  <si>
    <t>MPH20-0014</t>
  </si>
  <si>
    <t>800 Thread Count</t>
  </si>
  <si>
    <t>Cotton Blend Sateen Sheet Set</t>
  </si>
  <si>
    <t>PF004073</t>
  </si>
  <si>
    <t>6</t>
  </si>
  <si>
    <t>BLK01,FINGERHUTDS,JCPENNEY01,KOHLDSN,MACY02,OLLIIX,OVERSTOCK01,TGTDVS,WALMARTDS</t>
  </si>
  <si>
    <t>DBYC3044</t>
  </si>
  <si>
    <t>2/2/2018</t>
  </si>
  <si>
    <t>3/20/2018</t>
  </si>
  <si>
    <t>MP20-6424</t>
  </si>
  <si>
    <t>Charcoal</t>
  </si>
  <si>
    <t>PP001297;PF004729</t>
  </si>
  <si>
    <t>8/15/2019</t>
  </si>
  <si>
    <t>JCPENNEY01,KOHLDSN,MACY02,OVERSTOCK01,TGTDVS</t>
  </si>
  <si>
    <t>1/10/2020</t>
  </si>
  <si>
    <t>MP20-7158</t>
  </si>
  <si>
    <t>3/19/2020</t>
  </si>
  <si>
    <t>JCPENNEY01,KOHLDSN,MACY02,OVERSTOCK01</t>
  </si>
  <si>
    <t>4/6/2020</t>
  </si>
  <si>
    <t>4/29/2020</t>
  </si>
  <si>
    <t>MPH20-0009</t>
  </si>
  <si>
    <t>PF004071</t>
  </si>
  <si>
    <t>DESINC,JCPENNEY01,KOHLDSN,OVERSTOCK01,TGTDVS</t>
  </si>
  <si>
    <t>3/7/2018</t>
  </si>
  <si>
    <t>MPH20-0003</t>
  </si>
  <si>
    <t>PF004069</t>
  </si>
  <si>
    <t>3/1/2018</t>
  </si>
  <si>
    <t>MPH20-0012</t>
  </si>
  <si>
    <t>Purple</t>
  </si>
  <si>
    <t>PF004072</t>
  </si>
  <si>
    <t>BLK01,JCPENNEY01,KOHLDSN,MACY02,OVERSTOCK01</t>
  </si>
  <si>
    <t>2/20/2018</t>
  </si>
  <si>
    <t>MP20-7156</t>
  </si>
  <si>
    <t>PF004072;PP001297</t>
  </si>
  <si>
    <t>JCPENNEY01,KOHLDSN,MACY02,OLLIIX,OVERSTOCK01,WALMARTDS</t>
  </si>
  <si>
    <t>4/28/2020</t>
  </si>
  <si>
    <t>MPH20-0017</t>
  </si>
  <si>
    <t>PF004074</t>
  </si>
  <si>
    <t>BLK01,FINGERHUTDS,JCPENNEY01,KOHLDSN,MACY02,OLLIIX,OVERSTOCK01</t>
  </si>
  <si>
    <t>3/19/2018</t>
  </si>
  <si>
    <t>MPH20-0018</t>
  </si>
  <si>
    <t>BLK01,JCPENNEY01,KOHLDSN,OVERSTOCK01,TGTDVS</t>
  </si>
  <si>
    <t>MPS73-461</t>
  </si>
  <si>
    <t>TOWL</t>
  </si>
  <si>
    <t>BATH TOWEL</t>
  </si>
  <si>
    <t>Bath Towel</t>
  </si>
  <si>
    <t>800gsm</t>
  </si>
  <si>
    <t>800GSM Ultra-Soft 100% Cotton Absorbent Towel Set</t>
  </si>
  <si>
    <t>34x68" – 2PK</t>
  </si>
  <si>
    <t>PF001493;PP001046</t>
  </si>
  <si>
    <t>2</t>
  </si>
  <si>
    <t>Transitional</t>
  </si>
  <si>
    <t>4/23/2020</t>
  </si>
  <si>
    <t>AMAZON,AMAZONDS,BLK01,HDDS,JCPENNEY01,KOHLDSN,LOWESDS,MACY02,OLLIIX,OVERSTOCK01,WALMARTDS</t>
  </si>
  <si>
    <t>NCWB1164</t>
  </si>
  <si>
    <t>4/24/2020</t>
  </si>
  <si>
    <t>MPS73-424</t>
  </si>
  <si>
    <t>800GSM</t>
  </si>
  <si>
    <t>8-Piece</t>
  </si>
  <si>
    <t>Beige</t>
  </si>
  <si>
    <t>B-</t>
  </si>
  <si>
    <t>PP001046</t>
  </si>
  <si>
    <t>8</t>
  </si>
  <si>
    <t>3/30/2019</t>
  </si>
  <si>
    <t>12/7/2024</t>
  </si>
  <si>
    <t>AMAZON,BLK01,JCPENNEY01,KOHLDSN,MACY02,TGTDVS</t>
  </si>
  <si>
    <t>BDIS1132</t>
  </si>
  <si>
    <t>4/11/2019</t>
  </si>
  <si>
    <t>MPS73-432</t>
  </si>
  <si>
    <t>PF001488;PP001046</t>
  </si>
  <si>
    <t>11/1/2024</t>
  </si>
  <si>
    <t>AMAZON,AMAZONDS,BLK01,HDDS,JCPENNEY01,KOHLDSN,MACY02,OLLIIX,OVERSTOCK01</t>
  </si>
  <si>
    <t>3/31/2019</t>
  </si>
  <si>
    <t>6/29/2019</t>
  </si>
  <si>
    <t>MP95G-0286</t>
  </si>
  <si>
    <t>ART</t>
  </si>
  <si>
    <t>FRAMED GRAPHICS</t>
  </si>
  <si>
    <t>Framed Graphics</t>
  </si>
  <si>
    <t>Abstract Reveal</t>
  </si>
  <si>
    <t>Framed Glass and Gallery Matted Wall Art</t>
  </si>
  <si>
    <t>See below</t>
  </si>
  <si>
    <t>Neutral</t>
  </si>
  <si>
    <t>PP001665</t>
  </si>
  <si>
    <t>Abstract</t>
  </si>
  <si>
    <t>6/2/2021</t>
  </si>
  <si>
    <t>12/2/2024</t>
  </si>
  <si>
    <t>AMAZON,AMAZONDS,AMERSIGNDS,BLK01,HDDS,KIRKLANDDS,KOHLDSN,MACY02,OLLIIX,ROOMECOM,TGTDVS</t>
  </si>
  <si>
    <t>NCWA2047</t>
  </si>
  <si>
    <t>7/29/2021</t>
  </si>
  <si>
    <t>8/10/2021</t>
  </si>
  <si>
    <t>MP95F-0315</t>
  </si>
  <si>
    <t>DEC. MIRROR</t>
  </si>
  <si>
    <t>Decor Mirror</t>
  </si>
  <si>
    <t>Adaline</t>
  </si>
  <si>
    <t>Arched Metal Floral Wall Mirror</t>
  </si>
  <si>
    <t>25.75"H</t>
  </si>
  <si>
    <t>NCWA2507</t>
  </si>
  <si>
    <t>7/22/2023</t>
  </si>
  <si>
    <t>11/25/2023</t>
  </si>
  <si>
    <t>II104-0481</t>
  </si>
  <si>
    <t>FUR</t>
  </si>
  <si>
    <t>INK+IVY</t>
  </si>
  <si>
    <t>BAR STOOL</t>
  </si>
  <si>
    <t>Swivel Counter Stool</t>
  </si>
  <si>
    <t>Adams</t>
  </si>
  <si>
    <t>Faux Leather Swivel Counter Stool</t>
  </si>
  <si>
    <t>4/20/2022</t>
  </si>
  <si>
    <t>HDDS,ZOLA</t>
  </si>
  <si>
    <t>JLZF1314</t>
  </si>
  <si>
    <t>4/26/2022</t>
  </si>
  <si>
    <t>5/23/2022</t>
  </si>
  <si>
    <t>MP12-7513</t>
  </si>
  <si>
    <t>BLK</t>
  </si>
  <si>
    <t>DUVET&amp;DUVET SET</t>
  </si>
  <si>
    <t>Duvet Mini Set</t>
  </si>
  <si>
    <t>Adelyn</t>
  </si>
  <si>
    <t>Aurora</t>
  </si>
  <si>
    <t>Back Print Brushed Fur Duvet Cover Set</t>
  </si>
  <si>
    <t>PF002183;PP001640</t>
  </si>
  <si>
    <t>Faux Fur</t>
  </si>
  <si>
    <t>3</t>
  </si>
  <si>
    <t>Geometric</t>
  </si>
  <si>
    <t>8/25/2021</t>
  </si>
  <si>
    <t>JCPENNEY01,KOHLDSN,MACY02,OVERSTOCK01,TGTDVS,ZOLA</t>
  </si>
  <si>
    <t>NCWA2125</t>
  </si>
  <si>
    <t>9/22/2021</t>
  </si>
  <si>
    <t>10/11/2021</t>
  </si>
  <si>
    <t>5DS73-0236</t>
  </si>
  <si>
    <t>510 Design</t>
  </si>
  <si>
    <t>Aegean</t>
  </si>
  <si>
    <t>100% Turkish Cotton 6 Piece Towel Set</t>
  </si>
  <si>
    <t>6-Piece</t>
  </si>
  <si>
    <t>PP001568;PF005268</t>
  </si>
  <si>
    <t>11/28/2020</t>
  </si>
  <si>
    <t>BLK01,FINGERHUTDS,HDDS,JCPENNEY01,KIRKLANDDS,KOHLDSN,MACY02,OLLIIX,OVERSTOCK01</t>
  </si>
  <si>
    <t>NGIN1089</t>
  </si>
  <si>
    <t>12/3/2020</t>
  </si>
  <si>
    <t>3/8/2021</t>
  </si>
  <si>
    <t>5DS73-0233</t>
  </si>
  <si>
    <t>PP001568;PF005265</t>
  </si>
  <si>
    <t>FINGERHUTDS,HDDS,JCPENNEY01,KOHLDSN,MACY02,OLLIIX,OVERSTOCK01</t>
  </si>
  <si>
    <t>5DS73-0234</t>
  </si>
  <si>
    <t>PP001568;PF005266</t>
  </si>
  <si>
    <t>FINGERHUTDS,HDDS,JCPENNEY01,KIRKLANDDS,KOHLDSN,MACY02,OLLIIX,TGTDVS</t>
  </si>
  <si>
    <t>1/28/2021</t>
  </si>
  <si>
    <t>5DS73-0232</t>
  </si>
  <si>
    <t>PP001568;PF005264</t>
  </si>
  <si>
    <t>FINGERHUTDS,JCPENNEY01,KOHLDSN,MACY02,OLLIIX,OVERSTOCK01,TGTDVS</t>
  </si>
  <si>
    <t>1/27/2021</t>
  </si>
  <si>
    <t>MT153-0078</t>
  </si>
  <si>
    <t>LGT</t>
  </si>
  <si>
    <t>Martha Stewart</t>
  </si>
  <si>
    <t>LGT-TABLE LAMPS</t>
  </si>
  <si>
    <t>Table Task Lamps</t>
  </si>
  <si>
    <t>Aelorian</t>
  </si>
  <si>
    <t>Table Lamp 28"H</t>
  </si>
  <si>
    <t>Antique Brass</t>
  </si>
  <si>
    <t>Traditional</t>
  </si>
  <si>
    <t>MT Bedford</t>
  </si>
  <si>
    <t>4/10/2024</t>
  </si>
  <si>
    <t>HDDS,KOHLDSN</t>
  </si>
  <si>
    <t>MSTT6267</t>
  </si>
  <si>
    <t>8/25/2024</t>
  </si>
  <si>
    <t>MZ12-371</t>
  </si>
  <si>
    <t>YOUT</t>
  </si>
  <si>
    <t>Mi Zone</t>
  </si>
  <si>
    <t>Duvet&amp;Duvet Set</t>
  </si>
  <si>
    <t>Allison</t>
  </si>
  <si>
    <t>Mackenzie</t>
  </si>
  <si>
    <t>Kelly</t>
  </si>
  <si>
    <t>Floral Duvet Cover Set</t>
  </si>
  <si>
    <t>Yellow</t>
  </si>
  <si>
    <t>PF000013</t>
  </si>
  <si>
    <t>Floral</t>
  </si>
  <si>
    <t>MACY02</t>
  </si>
  <si>
    <t>WNPO9193</t>
  </si>
  <si>
    <t>10/9/2015</t>
  </si>
  <si>
    <t>MZ10-0645</t>
  </si>
  <si>
    <t>Floral Comforter Set</t>
  </si>
  <si>
    <t>PF000013;PP000370</t>
  </si>
  <si>
    <t>11/22/2022</t>
  </si>
  <si>
    <t>AMAZON,BLK01,DESINC,HDDS,JCPENNEY01,KOHLDSN,MACY02,NRTPORT,OVERSTOCK01,ROOMECOM,TGTDVS</t>
  </si>
  <si>
    <t>WNPO9194</t>
  </si>
  <si>
    <t>11/28/2022</t>
  </si>
  <si>
    <t>12/6/2022</t>
  </si>
  <si>
    <t>PET63PC6183-LG</t>
  </si>
  <si>
    <t>PETB</t>
  </si>
  <si>
    <t>Friends Forever</t>
  </si>
  <si>
    <t>PET BEDS</t>
  </si>
  <si>
    <t>Pet Beds</t>
  </si>
  <si>
    <t>Ally</t>
  </si>
  <si>
    <t>Large All Foam Pet Couch</t>
  </si>
  <si>
    <t>L</t>
  </si>
  <si>
    <t>8/10/2023</t>
  </si>
  <si>
    <t>AMAZON,AMAZONDS,DESINC,KOHLDSN,OVERSTOCK01</t>
  </si>
  <si>
    <t>BFFS1133</t>
  </si>
  <si>
    <t>11/1/2023</t>
  </si>
  <si>
    <t>PET63PC6184-MD</t>
  </si>
  <si>
    <t>Medium All Foam Pet Couch</t>
  </si>
  <si>
    <t>M</t>
  </si>
  <si>
    <t>AMAZON,AMAZONDS</t>
  </si>
  <si>
    <t>PET63PC6184-LG</t>
  </si>
  <si>
    <t>AMAZON,OVERSTOCK01</t>
  </si>
  <si>
    <t>5/17/2024</t>
  </si>
  <si>
    <t>PET63PC6184-XL</t>
  </si>
  <si>
    <t>XLarge All Foam Pet Couch</t>
  </si>
  <si>
    <t>XL</t>
  </si>
  <si>
    <t>AMAZON,KOHLDSN</t>
  </si>
  <si>
    <t>PET63PC6185-MD</t>
  </si>
  <si>
    <t>Navy</t>
  </si>
  <si>
    <t>II12-784</t>
  </si>
  <si>
    <t>ADUL</t>
  </si>
  <si>
    <t>Alpine</t>
  </si>
  <si>
    <t>3 Piece Duvet Cover Mini Set</t>
  </si>
  <si>
    <t>PF001637;PP000371</t>
  </si>
  <si>
    <t>Ikat</t>
  </si>
  <si>
    <t>Mid-Century</t>
  </si>
  <si>
    <t>Casual|Modern/Contemporary</t>
  </si>
  <si>
    <t>AMAZON,JCPENNEY01,KOHLDSN,MACY02,ZOLA</t>
  </si>
  <si>
    <t>MCRW7051</t>
  </si>
  <si>
    <t>9/28/2016</t>
  </si>
  <si>
    <t>11/7/2016</t>
  </si>
  <si>
    <t>II13-1042</t>
  </si>
  <si>
    <t>COVERLET&amp;BEDSPR</t>
  </si>
  <si>
    <t>Coverlet &amp; Bedspread</t>
  </si>
  <si>
    <t>3 Piece Printed Cotton Quilt Set</t>
  </si>
  <si>
    <t>PF001636;PP000371</t>
  </si>
  <si>
    <t>Farm House|Transitional</t>
  </si>
  <si>
    <t>11/18/2018</t>
  </si>
  <si>
    <t>AMAZON,JCPENNEY01,KOHLDSN,MACY02,OVERSTOCK01,ROOMECOM,TGTDVS</t>
  </si>
  <si>
    <t>JLZF1152</t>
  </si>
  <si>
    <t>11/23/2018</t>
  </si>
  <si>
    <t>2/21/2019</t>
  </si>
  <si>
    <t>II10-553</t>
  </si>
  <si>
    <t>Comforter Mini Set</t>
  </si>
  <si>
    <t>3 Piece Comforter Mini Set</t>
  </si>
  <si>
    <t>AMAZON,KOHLDSN,MACY02,NRTPORT,OLLIIX,OVERSTOCK01</t>
  </si>
  <si>
    <t>MCRW7050</t>
  </si>
  <si>
    <t>9/30/2015</t>
  </si>
  <si>
    <t>II13-1043</t>
  </si>
  <si>
    <t>AMAZON,BLK01,HDDS,JCPENNEY01,KOHLDSN,MACY02,OVERSTOCK01</t>
  </si>
  <si>
    <t>3/4/2019</t>
  </si>
  <si>
    <t>II10-785</t>
  </si>
  <si>
    <t>PF001638;PP000371</t>
  </si>
  <si>
    <t>AMAZON,BLK01,KOHLDSN,MACY02,OLLIIX,TGTDVS</t>
  </si>
  <si>
    <t>11/3/2016</t>
  </si>
  <si>
    <t>WR10-3327</t>
  </si>
  <si>
    <t>Woolrich</t>
  </si>
  <si>
    <t>Alton</t>
  </si>
  <si>
    <t>Plush to Sherpa Down Alternative Comforter Set</t>
  </si>
  <si>
    <t>Tan Plaid</t>
  </si>
  <si>
    <t>PP001363;PF005525</t>
  </si>
  <si>
    <t>Berber</t>
  </si>
  <si>
    <t>Plaid</t>
  </si>
  <si>
    <t>Lodge/Cabin</t>
  </si>
  <si>
    <t>Cottage/Country</t>
  </si>
  <si>
    <t>8/27/2021</t>
  </si>
  <si>
    <t>AMAZON,FINGERHUTDS,KOHLDSN,MACY02,OLLIIX,OVERSTOCK01</t>
  </si>
  <si>
    <t>WLR1315</t>
  </si>
  <si>
    <t>9/15/2021</t>
  </si>
  <si>
    <t>11/8/2021</t>
  </si>
  <si>
    <t>MP72-1541</t>
  </si>
  <si>
    <t>BATH</t>
  </si>
  <si>
    <t>BATH RUG</t>
  </si>
  <si>
    <t>Bath Rug</t>
  </si>
  <si>
    <t>Amherst</t>
  </si>
  <si>
    <t>Eastridge</t>
  </si>
  <si>
    <t>Salem</t>
  </si>
  <si>
    <t>Cotton Tufted Bath Rug</t>
  </si>
  <si>
    <t>27x45"</t>
  </si>
  <si>
    <t>PF001434;PP000524</t>
  </si>
  <si>
    <t>Color Block</t>
  </si>
  <si>
    <t>4/4/2017</t>
  </si>
  <si>
    <t>1/1/2025</t>
  </si>
  <si>
    <t>AMAZON,AMAZONDS,BEALLSDS,HDDS,JCPENNEY01,KOHLDSN,MACY02,OVERSTOCK01,WALMARTDS</t>
  </si>
  <si>
    <t>CHRL8637</t>
  </si>
  <si>
    <t>MP41-4376</t>
  </si>
  <si>
    <t>WIN</t>
  </si>
  <si>
    <t>VALANCE</t>
  </si>
  <si>
    <t>Valance</t>
  </si>
  <si>
    <t>Polyoni Pintuck Valance</t>
  </si>
  <si>
    <t>50x18"</t>
  </si>
  <si>
    <t>Coral</t>
  </si>
  <si>
    <t>PF002415</t>
  </si>
  <si>
    <t>Pieced</t>
  </si>
  <si>
    <t>7/4/2017</t>
  </si>
  <si>
    <t>AMAZON,AMAZONDS,BEALLSDS,HDDS,KOHLDSN,TGTDVS</t>
  </si>
  <si>
    <t>TRPT5041</t>
  </si>
  <si>
    <t>11/24/2017</t>
  </si>
  <si>
    <t>MP70-223</t>
  </si>
  <si>
    <t>SHOWER CURTAIN</t>
  </si>
  <si>
    <t>Shower Curtain</t>
  </si>
  <si>
    <t>Faux Silk Shower Curtain</t>
  </si>
  <si>
    <t>72x72"</t>
  </si>
  <si>
    <t>Natural</t>
  </si>
  <si>
    <t>PF002412;PP000373</t>
  </si>
  <si>
    <t>AMAZON,BEALLSDS,DESINC,HDDS,HSNDS,JCPENNEY01,KOHLDSN,MACY02,OLLIIX,OVERSTOCK01</t>
  </si>
  <si>
    <t>TRPT5044</t>
  </si>
  <si>
    <t>7/13/2015</t>
  </si>
  <si>
    <t>MP72-6204</t>
  </si>
  <si>
    <t>24x44"</t>
  </si>
  <si>
    <t>PP000524;PF004654</t>
  </si>
  <si>
    <t>4/9/2019</t>
  </si>
  <si>
    <t>AMAZON,AMAZONDS,HDDS,JCPENNEY01,KIRKLANDDS,KOHLDSN,MACY02,OLLIIX,TGTDVS</t>
  </si>
  <si>
    <t>4/25/2019</t>
  </si>
  <si>
    <t>5/28/2019</t>
  </si>
  <si>
    <t>MP72-6206</t>
  </si>
  <si>
    <t>24x60"</t>
  </si>
  <si>
    <t>AMAZON,AMAZONDS,JCPENNEY01,KIRKLANDDS,KOHLDSN,MACY02</t>
  </si>
  <si>
    <t>10/11/2019</t>
  </si>
  <si>
    <t>MP40-8276</t>
  </si>
  <si>
    <t>WINDOW PANEL</t>
  </si>
  <si>
    <t>Window Panel</t>
  </si>
  <si>
    <t>Anaheim</t>
  </si>
  <si>
    <t>Salford</t>
  </si>
  <si>
    <t>Preston</t>
  </si>
  <si>
    <t>Plaid Faux Leather Tab Top Curtain Panel with Fleece Lining</t>
  </si>
  <si>
    <t>50x84"</t>
  </si>
  <si>
    <t>PP001397;PF006072</t>
  </si>
  <si>
    <t>Light Filtering</t>
  </si>
  <si>
    <t>AMAZON,KOHLDSN,TGTDVS</t>
  </si>
  <si>
    <t>NCWA1710</t>
  </si>
  <si>
    <t>10/20/2023</t>
  </si>
  <si>
    <t>WR54-1774</t>
  </si>
  <si>
    <t>ELECT BLANKET</t>
  </si>
  <si>
    <t>Electric Throw</t>
  </si>
  <si>
    <t>Anderson</t>
  </si>
  <si>
    <t>Oversized Mink to Berber Heated Throw</t>
  </si>
  <si>
    <t>60x70"</t>
  </si>
  <si>
    <t>PF003451</t>
  </si>
  <si>
    <t>WLR1299</t>
  </si>
  <si>
    <t>9/22/2016</t>
  </si>
  <si>
    <t>10/4/2016</t>
  </si>
  <si>
    <t>MP40-1295</t>
  </si>
  <si>
    <t>Andora</t>
  </si>
  <si>
    <t>Eliza</t>
  </si>
  <si>
    <t>Aden</t>
  </si>
  <si>
    <t>Curtain Panel</t>
  </si>
  <si>
    <t>PF003823</t>
  </si>
  <si>
    <t>AMAZON,AMAZONDS,HDDS,JCPENNEY01,KOHLDSN,LOWESDS</t>
  </si>
  <si>
    <t>MCRR6024</t>
  </si>
  <si>
    <t>2/17/2015</t>
  </si>
  <si>
    <t>MP40-1297</t>
  </si>
  <si>
    <t>50x95"</t>
  </si>
  <si>
    <t>AMAZON,AMAZONDS,BEALLSDS,DESINC,JCPENNEY01,KOHLDSN</t>
  </si>
  <si>
    <t>2/18/2015</t>
  </si>
  <si>
    <t>MP40-1296</t>
  </si>
  <si>
    <t>PF003962</t>
  </si>
  <si>
    <t>BLK01,DESINC,HDDS,JCPENNEY01,KOHLDSN,TGTDVS</t>
  </si>
  <si>
    <t>MP40-1298</t>
  </si>
  <si>
    <t>AMAZON,AMAZONDS,BLK01,DESINC,KOHLDSN</t>
  </si>
  <si>
    <t>2/23/2015</t>
  </si>
  <si>
    <t>MP40-716</t>
  </si>
  <si>
    <t>Tan</t>
  </si>
  <si>
    <t>PF003798</t>
  </si>
  <si>
    <t>HDDS,HSNDS,JCPENNEY01,KOHLDSN,WALMARTDS</t>
  </si>
  <si>
    <t>8/11/2016</t>
  </si>
  <si>
    <t>WIN40-140</t>
  </si>
  <si>
    <t>Anna</t>
  </si>
  <si>
    <t>Joycelyn</t>
  </si>
  <si>
    <t>Ariana</t>
  </si>
  <si>
    <t>Cotton Oversized Ruffle Curtain Panel</t>
  </si>
  <si>
    <t>PF003972</t>
  </si>
  <si>
    <t>AMAZON,BLK01,DESINC,JCPENNEY01,KOHLDSN,NRTPORT</t>
  </si>
  <si>
    <t>HOHN8630</t>
  </si>
  <si>
    <t>3/2/2015</t>
  </si>
  <si>
    <t>MP12-7516</t>
  </si>
  <si>
    <t>Arya</t>
  </si>
  <si>
    <t>Nova</t>
  </si>
  <si>
    <t>Alivia</t>
  </si>
  <si>
    <t>Embroidered Medallion Faux Fur Ultra Plush Duvet Cover Set</t>
  </si>
  <si>
    <t>PF002189;PP001639</t>
  </si>
  <si>
    <t>Medallion</t>
  </si>
  <si>
    <t>BOHO</t>
  </si>
  <si>
    <t>6/26/2021</t>
  </si>
  <si>
    <t>NCWA2063</t>
  </si>
  <si>
    <t>8/11/2021</t>
  </si>
  <si>
    <t>9/30/2021</t>
  </si>
  <si>
    <t>MP95G-0307</t>
  </si>
  <si>
    <t>Ashlar</t>
  </si>
  <si>
    <t>Hand Painted Abstract Framed Glass and Matted Wall Art</t>
  </si>
  <si>
    <t>10/26/2022</t>
  </si>
  <si>
    <t>2/5/2025</t>
  </si>
  <si>
    <t>AMAZON,AMAZONDS,ASHFURNDS,HOUZZ,KIRKLANDDS,KOHLDSN,OLLIIX,OVERSTOCK01,TGTDVS</t>
  </si>
  <si>
    <t>NCWA2441</t>
  </si>
  <si>
    <t>11/24/2022</t>
  </si>
  <si>
    <t>MZ10-084</t>
  </si>
  <si>
    <t>Ashton</t>
  </si>
  <si>
    <t>Garrett</t>
  </si>
  <si>
    <t>Cody</t>
  </si>
  <si>
    <t>Comforter Set</t>
  </si>
  <si>
    <t>Twin/Twin XL</t>
  </si>
  <si>
    <t>Khaki/Navy</t>
  </si>
  <si>
    <t>PF000057</t>
  </si>
  <si>
    <t>HOUZZ,JCPENNEY01,MACY02,TGTDVS</t>
  </si>
  <si>
    <t>TRNT5495</t>
  </si>
  <si>
    <t>1/2/2015</t>
  </si>
  <si>
    <t>MZ12-268</t>
  </si>
  <si>
    <t>Duvet Cover Set</t>
  </si>
  <si>
    <t>AMAZON,KOHLDSN,MACY02</t>
  </si>
  <si>
    <t>TRNT2362</t>
  </si>
  <si>
    <t>1/6/2015</t>
  </si>
  <si>
    <t>MZ10-085</t>
  </si>
  <si>
    <t>AMAZONDS,AMERSIGNDS,JCPENNEY01,KOHLDSN,MACY02,OLLIIX,OVERSTOCK01</t>
  </si>
  <si>
    <t>MZ10-508</t>
  </si>
  <si>
    <t>AMAZON,BLK01,JCPENNEY01,KOHLDSN,MACY02,OVERSTOCK01</t>
  </si>
  <si>
    <t>11/19/2016</t>
  </si>
  <si>
    <t>11/23/2016</t>
  </si>
  <si>
    <t>FB154-1164</t>
  </si>
  <si>
    <t>LGT-FLOOR LAMPS</t>
  </si>
  <si>
    <t>Floor Lamps</t>
  </si>
  <si>
    <t>Aster</t>
  </si>
  <si>
    <t>Angular Arched Metal Floor Lamp</t>
  </si>
  <si>
    <t>5/4/2022</t>
  </si>
  <si>
    <t>KIRKLANDDS,OLLIIX,ROOMECOM,TGTDVS,ZOLA</t>
  </si>
  <si>
    <t>HTN10009</t>
  </si>
  <si>
    <t>5/5/2022</t>
  </si>
  <si>
    <t>7/28/2022</t>
  </si>
  <si>
    <t>MP103-0908</t>
  </si>
  <si>
    <t>MOTION</t>
  </si>
  <si>
    <t>Manual Recliner</t>
  </si>
  <si>
    <t>Athena</t>
  </si>
  <si>
    <t>Jimmy</t>
  </si>
  <si>
    <t>Cranberry</t>
  </si>
  <si>
    <t>Push Back Recliner</t>
  </si>
  <si>
    <t>1/7/2020</t>
  </si>
  <si>
    <t>AMERSIGNDS,ASHFURNDS,JCPENNEY01,KOHLDSN,MACY02F,OLLIIX</t>
  </si>
  <si>
    <t>NCWA1795</t>
  </si>
  <si>
    <t>1/14/2020</t>
  </si>
  <si>
    <t>3/12/2020</t>
  </si>
  <si>
    <t>MP40-715</t>
  </si>
  <si>
    <t>Panel Pair</t>
  </si>
  <si>
    <t>Aubrey</t>
  </si>
  <si>
    <t>Whitman</t>
  </si>
  <si>
    <t>Charlotte</t>
  </si>
  <si>
    <t>Jacquard Curtain Panel Pair</t>
  </si>
  <si>
    <t>Blue/Brown</t>
  </si>
  <si>
    <t>PF003389;PP000381</t>
  </si>
  <si>
    <t>Paisley</t>
  </si>
  <si>
    <t>ASHFURNDS,BLK01,DESINC,HDDS,KOHLDSN,OLLIIX</t>
  </si>
  <si>
    <t>ALCT7364</t>
  </si>
  <si>
    <t>1/5/2015</t>
  </si>
  <si>
    <t>MP40-2679</t>
  </si>
  <si>
    <t>50x108"</t>
  </si>
  <si>
    <t>AMAZON,DESINC,HSNDS,JCPENNEY01</t>
  </si>
  <si>
    <t>8/25/2016</t>
  </si>
  <si>
    <t>MP40-2680</t>
  </si>
  <si>
    <t>Burgundy</t>
  </si>
  <si>
    <t>PF003393;PP000381</t>
  </si>
  <si>
    <t>AMAZONDS,JCPENNEY01</t>
  </si>
  <si>
    <t>11/11/2016</t>
  </si>
  <si>
    <t>MP40-4898</t>
  </si>
  <si>
    <t>PF003394</t>
  </si>
  <si>
    <t>8/16/2017</t>
  </si>
  <si>
    <t>AMAZON,HDDS,KOHLDSN</t>
  </si>
  <si>
    <t>8/21/2017</t>
  </si>
  <si>
    <t>9/29/2017</t>
  </si>
  <si>
    <t>MP10-321</t>
  </si>
  <si>
    <t>BIAB</t>
  </si>
  <si>
    <t>12 Piece Comforter Set with Cotton Bed Sheets</t>
  </si>
  <si>
    <t>Red</t>
  </si>
  <si>
    <t>12</t>
  </si>
  <si>
    <t>Glam/Luxury|Transitional</t>
  </si>
  <si>
    <t>AMAZON,AMAZONDS,BLK01,FINGERHUTDS,JCPENNEY01,KOHLDSN,MACY02,OLLIIX,OVERSTOCK01,TGTDVS</t>
  </si>
  <si>
    <t>ALTL2450</t>
  </si>
  <si>
    <t>1/9/2015</t>
  </si>
  <si>
    <t>MP154-0200</t>
  </si>
  <si>
    <t>Auburn</t>
  </si>
  <si>
    <t>Arched Floor Lamp with Marble Base</t>
  </si>
  <si>
    <t>10/14/2019</t>
  </si>
  <si>
    <t>AMAZONDS,ASHFURNDS,OLLIIX,ZOLA</t>
  </si>
  <si>
    <t>NCWA1749</t>
  </si>
  <si>
    <t>12/12/2019</t>
  </si>
  <si>
    <t>1/21/2020</t>
  </si>
  <si>
    <t>FB151-1188</t>
  </si>
  <si>
    <t>LGT-PENDANTS</t>
  </si>
  <si>
    <t>Pendants</t>
  </si>
  <si>
    <t>Auburn Bell Shaped Hanging Glass Pendant Light</t>
  </si>
  <si>
    <t>Dia.9"</t>
  </si>
  <si>
    <t>Gold/Amber</t>
  </si>
  <si>
    <t>Farm House</t>
  </si>
  <si>
    <t>WRSE1539</t>
  </si>
  <si>
    <t>4/11/2024</t>
  </si>
  <si>
    <t>5/16/2024</t>
  </si>
  <si>
    <t>FB151-1171</t>
  </si>
  <si>
    <t>Gold/Blue</t>
  </si>
  <si>
    <t>9/7/2022</t>
  </si>
  <si>
    <t>AMAZONDS,HDDS,JCPENNEY01,OLLIIX</t>
  </si>
  <si>
    <t>9/27/2022</t>
  </si>
  <si>
    <t>10/27/2022</t>
  </si>
  <si>
    <t>MP103-0602</t>
  </si>
  <si>
    <t>Swivel Glider</t>
  </si>
  <si>
    <t>Augustine</t>
  </si>
  <si>
    <t>Caddy</t>
  </si>
  <si>
    <t>Bewick</t>
  </si>
  <si>
    <t>Swivel Glider Chair</t>
  </si>
  <si>
    <t>Cream</t>
  </si>
  <si>
    <t>PP000730</t>
  </si>
  <si>
    <t>1/29/2018</t>
  </si>
  <si>
    <t>KIRKLANDDS,OLLIIX</t>
  </si>
  <si>
    <t>ALTH8282</t>
  </si>
  <si>
    <t>3/9/2018</t>
  </si>
  <si>
    <t>4/23/2018</t>
  </si>
  <si>
    <t>MP103-0825</t>
  </si>
  <si>
    <t>Grey/Taupe</t>
  </si>
  <si>
    <t>6/21/2019</t>
  </si>
  <si>
    <t>MACY02F,OLLIIX</t>
  </si>
  <si>
    <t>8/8/2019</t>
  </si>
  <si>
    <t>8/16/2019</t>
  </si>
  <si>
    <t>CCL30-0026</t>
  </si>
  <si>
    <t>Croscill Classics</t>
  </si>
  <si>
    <t>NORMAL PILLOW</t>
  </si>
  <si>
    <t>Normal Pillow</t>
  </si>
  <si>
    <t>Aumont</t>
  </si>
  <si>
    <t>Oblong Decor Pillow</t>
  </si>
  <si>
    <t>22x15"</t>
  </si>
  <si>
    <t>Silver</t>
  </si>
  <si>
    <t>Vintage</t>
  </si>
  <si>
    <t>10/24/2022</t>
  </si>
  <si>
    <t>BLK01,NRTPORT</t>
  </si>
  <si>
    <t>CKSC1000</t>
  </si>
  <si>
    <t>3/20/2023</t>
  </si>
  <si>
    <t>5/22/2023</t>
  </si>
  <si>
    <t>MP95B-0288</t>
  </si>
  <si>
    <t>AWD</t>
  </si>
  <si>
    <t>Aurelian Emblem</t>
  </si>
  <si>
    <t>Natural Capiz with Gold Foil 2-piece Shadowbox Wall Decor Set</t>
  </si>
  <si>
    <t>Natural/Gold</t>
  </si>
  <si>
    <t>PP001709</t>
  </si>
  <si>
    <t>Coastal</t>
  </si>
  <si>
    <t>6/19/2021</t>
  </si>
  <si>
    <t>HOUZZ,KIRKLANDDS,OLLIIX,TGTDVS</t>
  </si>
  <si>
    <t>NCWA2194</t>
  </si>
  <si>
    <t>11/27/2021</t>
  </si>
  <si>
    <t>12/8/2021</t>
  </si>
  <si>
    <t>MP95C-0207</t>
  </si>
  <si>
    <t>CANVAS</t>
  </si>
  <si>
    <t>Canvas</t>
  </si>
  <si>
    <t>Autumn Forest</t>
  </si>
  <si>
    <t>Triptych 3-piece Textured Canvas Wall Art Set</t>
  </si>
  <si>
    <t>Landscape</t>
  </si>
  <si>
    <t>4/17/2019</t>
  </si>
  <si>
    <t>2/4/2025</t>
  </si>
  <si>
    <t>AMAZON,AMAZONDS,AMERSIGNDS,KIRKLANDDS,KOHLDSN,OLLIIX</t>
  </si>
  <si>
    <t>NCWA1869</t>
  </si>
  <si>
    <t>5/29/2019</t>
  </si>
  <si>
    <t>8/13/2020</t>
  </si>
  <si>
    <t>MP10-6034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</si>
  <si>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</si>
  <si>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</si>
  <si>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</si>
  <si>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</si>
  <si>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</si>
  <si>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</si>
  <si>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</si>
  <si>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AMAZON,AMAZONDS,KOHLDSN,MACY02,NRTPORT,OLLIIX,OVERSTOCK01,TGTDVS</t>
  </si>
  <si>
    <t>NCWA1240</t>
  </si>
  <si>
    <t>10/2/2018</t>
  </si>
  <si>
    <t>10/17/2018</t>
  </si>
  <si>
    <t>MP40-3596</t>
  </si>
  <si>
    <t>Sheer</t>
  </si>
  <si>
    <t>Averil</t>
  </si>
  <si>
    <t>Vina</t>
  </si>
  <si>
    <t>Layla</t>
  </si>
  <si>
    <t>Grommet Top Sheer Bird on Branches Burnout Window Curtain</t>
  </si>
  <si>
    <t>PF003984</t>
  </si>
  <si>
    <t>Nature</t>
  </si>
  <si>
    <t>AMAZON,DESINC,KOHLDSN</t>
  </si>
  <si>
    <t>CHLH5226</t>
  </si>
  <si>
    <t>8/15/2016</t>
  </si>
  <si>
    <t>MP40-3008</t>
  </si>
  <si>
    <t>PF003983</t>
  </si>
  <si>
    <t>AMAZON,DESINC,JCPENNEY01,KOHLDSN,OVERSCONSIGN</t>
  </si>
  <si>
    <t>8/31/2016</t>
  </si>
  <si>
    <t>12/7/2016</t>
  </si>
  <si>
    <t>PET63-0019</t>
  </si>
  <si>
    <t>Bailey</t>
  </si>
  <si>
    <t>Crystal Velvet Pet Throw</t>
  </si>
  <si>
    <t>35x45"</t>
  </si>
  <si>
    <t>Light Grey/Dark Grey</t>
  </si>
  <si>
    <t>8/2/2017</t>
  </si>
  <si>
    <t>BFFS1116</t>
  </si>
  <si>
    <t>1/4/2021</t>
  </si>
  <si>
    <t>1/19/2021</t>
  </si>
  <si>
    <t>PET63-0020UPC</t>
  </si>
  <si>
    <t>53x42"</t>
  </si>
  <si>
    <t>9/19/2019</t>
  </si>
  <si>
    <t>MPS10-341</t>
  </si>
  <si>
    <t>Barely There</t>
  </si>
  <si>
    <t>PF004048;PP000586</t>
  </si>
  <si>
    <t>Damask</t>
  </si>
  <si>
    <t>Glam/Luxury|Modern/Contemporary</t>
  </si>
  <si>
    <t>10/25/2017</t>
  </si>
  <si>
    <t>KOHLDSN,OLLIIX,OVERSTOCK01</t>
  </si>
  <si>
    <t>BDIS1509</t>
  </si>
  <si>
    <t>1/22/2018</t>
  </si>
  <si>
    <t>MP70-645</t>
  </si>
  <si>
    <t>Bayside</t>
  </si>
  <si>
    <t>Nantucket</t>
  </si>
  <si>
    <t>Rockaway</t>
  </si>
  <si>
    <t>PF003396;PP000384</t>
  </si>
  <si>
    <t>HSNDS,OLLIIX</t>
  </si>
  <si>
    <t>SEHO8202</t>
  </si>
  <si>
    <t>ID95C-0054</t>
  </si>
  <si>
    <t>Beach Dogs</t>
  </si>
  <si>
    <t>Corgi Canvas Wall Art</t>
  </si>
  <si>
    <t>Corgi/Blue Multi</t>
  </si>
  <si>
    <t>Animal</t>
  </si>
  <si>
    <t>10/6/2023</t>
  </si>
  <si>
    <t>AMAZON,AMAZONDS,KOHLDSN,OLLIIX</t>
  </si>
  <si>
    <t>JLZL1295</t>
  </si>
  <si>
    <t>10/16/2023</t>
  </si>
  <si>
    <t>5/13/2024</t>
  </si>
  <si>
    <t>ID95C-0058</t>
  </si>
  <si>
    <t>Golden Retriever Canvas Wall Art</t>
  </si>
  <si>
    <t>Golden Retriever/Blue Multi</t>
  </si>
  <si>
    <t>10/7/2023</t>
  </si>
  <si>
    <t>AMAZON,JCPENNEY01,KOHLDSN,OLLIIX</t>
  </si>
  <si>
    <t>JLZL1297</t>
  </si>
  <si>
    <t>MP40-7494</t>
  </si>
  <si>
    <t>Beals</t>
  </si>
  <si>
    <t>Barnet</t>
  </si>
  <si>
    <t>Bayer</t>
  </si>
  <si>
    <t>Faux Linen Tab Top Fleece Lined Curtain Panel</t>
  </si>
  <si>
    <t>PP001631;PF005475</t>
  </si>
  <si>
    <t>7/10/2021</t>
  </si>
  <si>
    <t>AMAZON,DESINC,JCPENNEY01,KOHLDSN</t>
  </si>
  <si>
    <t>NCWA2118</t>
  </si>
  <si>
    <t>8/13/2021</t>
  </si>
  <si>
    <t>11/15/2021</t>
  </si>
  <si>
    <t>MP40-7496</t>
  </si>
  <si>
    <t>Faux Linen Rod Pocket and Back Tab Fleece Lined Curtain Panel</t>
  </si>
  <si>
    <t>AMAZON,HOUZZ,JCPENNEY01,KOHLDSN,OLLIIX,OVERSTOCK01,TGTDVS</t>
  </si>
  <si>
    <t>NCWA2117</t>
  </si>
  <si>
    <t>11/10/2021</t>
  </si>
  <si>
    <t>MPS130-0293</t>
  </si>
  <si>
    <t>ACCENT CHEST</t>
  </si>
  <si>
    <t>Cabinet</t>
  </si>
  <si>
    <t>Beckett</t>
  </si>
  <si>
    <t>2 Drawer Accent Chest</t>
  </si>
  <si>
    <t>Morocco Brown</t>
  </si>
  <si>
    <t>A+</t>
  </si>
  <si>
    <t>9/15/2020</t>
  </si>
  <si>
    <t>OLLIIX</t>
  </si>
  <si>
    <t>NCWB1202</t>
  </si>
  <si>
    <t>10/15/2020</t>
  </si>
  <si>
    <t>11/2/2020</t>
  </si>
  <si>
    <t>BASI10-0314</t>
  </si>
  <si>
    <t>Protector</t>
  </si>
  <si>
    <t>Bed Guardian</t>
  </si>
  <si>
    <t>3M Scotchgard Comforter Protector</t>
  </si>
  <si>
    <t>PF002095</t>
  </si>
  <si>
    <t>2/11/2025</t>
  </si>
  <si>
    <t>AMAZON,AMAZONDS,KOHLDSN,MACY02,NRTPORT,OLLIIX,OVERSTOCK01,TGTDVS,WALMARTDS</t>
  </si>
  <si>
    <t>ANEW1114</t>
  </si>
  <si>
    <t>11/30/2015</t>
  </si>
  <si>
    <t>SS40-0146</t>
  </si>
  <si>
    <t>SunSmart</t>
  </si>
  <si>
    <t>Bentley</t>
  </si>
  <si>
    <t>Abel</t>
  </si>
  <si>
    <t>Byron</t>
  </si>
  <si>
    <t>Ogee Knitted Jacquard Total Blackout Curtain Panel</t>
  </si>
  <si>
    <t>PP000358;PF005185</t>
  </si>
  <si>
    <t>Total Blackout</t>
  </si>
  <si>
    <t>9/23/2020</t>
  </si>
  <si>
    <t>KOHLDSN,OLLIIX</t>
  </si>
  <si>
    <t>MCRW8157</t>
  </si>
  <si>
    <t>10/16/2020</t>
  </si>
  <si>
    <t>11/23/2020</t>
  </si>
  <si>
    <t>BASI10-0256</t>
  </si>
  <si>
    <t>Benton</t>
  </si>
  <si>
    <t>Canton</t>
  </si>
  <si>
    <t>All Season 2 in 1 Down Alternative Comforter</t>
  </si>
  <si>
    <t>PF002081</t>
  </si>
  <si>
    <t>JCPENNEY01,OLLIIX,TGTDVS</t>
  </si>
  <si>
    <t>ANEW3991</t>
  </si>
  <si>
    <t>6/5/2015</t>
  </si>
  <si>
    <t>BASI10-0257</t>
  </si>
  <si>
    <t>JCPENNEY01,KOHLDSN,MACY02,OLLIIX,OVERSTOCK01,TGTDVS</t>
  </si>
  <si>
    <t>5/7/2015</t>
  </si>
  <si>
    <t>BASI10-0258</t>
  </si>
  <si>
    <t>4/19/2017</t>
  </si>
  <si>
    <t>AMERSIGNDS,BLK01,JCPENNEY01,KIRKLANDDS,KOHLDSN,MACY02,OLLIIX,OVERSTOCK01</t>
  </si>
  <si>
    <t>6/22/2015</t>
  </si>
  <si>
    <t>MP10-3734</t>
  </si>
  <si>
    <t>Biloxi</t>
  </si>
  <si>
    <t>Morris</t>
  </si>
  <si>
    <t>Hudson</t>
  </si>
  <si>
    <t>7 Piece Jaquard Comforter Set</t>
  </si>
  <si>
    <t>PF002684;PP000388</t>
  </si>
  <si>
    <t>Glam/Luxuey|Modern/Contemporary</t>
  </si>
  <si>
    <t>AMAZON,AMAZONDS,BLK01,KOHLDSN,MACY02,OVERSTOCK01,TGTDVS</t>
  </si>
  <si>
    <t>LATR6370</t>
  </si>
  <si>
    <t>11/17/2016</t>
  </si>
  <si>
    <t>11/22/2016</t>
  </si>
  <si>
    <t>MP10-920</t>
  </si>
  <si>
    <t>PF002681;PP000388</t>
  </si>
  <si>
    <t>AMAZON,AMAZONDS,JCPENNEY01,KOHLDSN,MACY02,OVERSTOCK01,TGTDVS</t>
  </si>
  <si>
    <t>2/13/2015</t>
  </si>
  <si>
    <t>MP10-921</t>
  </si>
  <si>
    <t>AMAZON,AMAZONDS,JCPENNEY01,KOHLDSN,MACY02,NRTPORT,OVERSTOCK01,TGTDVS</t>
  </si>
  <si>
    <t>3/30/2015</t>
  </si>
  <si>
    <t>CCL30-0030</t>
  </si>
  <si>
    <t>Biron</t>
  </si>
  <si>
    <t>Square Decor Pillow</t>
  </si>
  <si>
    <t>18x18"</t>
  </si>
  <si>
    <t>CKSC1013</t>
  </si>
  <si>
    <t>3/30/2023</t>
  </si>
  <si>
    <t>4/17/2023</t>
  </si>
  <si>
    <t>MP72-5666</t>
  </si>
  <si>
    <t>Bittman</t>
  </si>
  <si>
    <t>Renu</t>
  </si>
  <si>
    <t>Arlo</t>
  </si>
  <si>
    <t>Reversible High Pile Tufted Microfiber Bath Rug</t>
  </si>
  <si>
    <t>PF004205;PP000860</t>
  </si>
  <si>
    <t>8/17/2018</t>
  </si>
  <si>
    <t>HDDS,HOUZZ,OVERSTOCK01,TGTDVS</t>
  </si>
  <si>
    <t>NCWA1243</t>
  </si>
  <si>
    <t>9/13/2018</t>
  </si>
  <si>
    <t>10/25/2018</t>
  </si>
  <si>
    <t>MP10-949</t>
  </si>
  <si>
    <t>Blaire</t>
  </si>
  <si>
    <t>Burnett</t>
  </si>
  <si>
    <t>7 Piece Comforter Set</t>
  </si>
  <si>
    <t>PF002701</t>
  </si>
  <si>
    <t>Casual|Traditional</t>
  </si>
  <si>
    <t>AMAZONDS,BLK01,JCPENNEY01,KOHLDSN,MACY02,NRTPORT,OVERSTOCK01,TGTDVS</t>
  </si>
  <si>
    <t>DBYH4441</t>
  </si>
  <si>
    <t>MP10-4518</t>
  </si>
  <si>
    <t>PF002703</t>
  </si>
  <si>
    <t>6/9/2017</t>
  </si>
  <si>
    <t>AMAZONDS,BLK01,JCPENNEY01,KOHLDSN,MACY02,NRTPORT,OLLIIX,OVERSTOCK01,TGTDVS</t>
  </si>
  <si>
    <t>7/9/2017</t>
  </si>
  <si>
    <t>MP10-4519</t>
  </si>
  <si>
    <t>BLK01,JCPENNEY01,KOHLDSN,MACY02,OLLIIX,OVERSTOCK01</t>
  </si>
  <si>
    <t>7/31/2017</t>
  </si>
  <si>
    <t>AM10-0132</t>
  </si>
  <si>
    <t>Super Listing</t>
  </si>
  <si>
    <t>Blake</t>
  </si>
  <si>
    <t>Calvin</t>
  </si>
  <si>
    <t>Owain/Erik</t>
  </si>
  <si>
    <t>Stripe Textured Print Comforter Set</t>
  </si>
  <si>
    <t>Black/Grey</t>
  </si>
  <si>
    <t>PP001959;PF006237</t>
  </si>
  <si>
    <t>2/2/2024</t>
  </si>
  <si>
    <t>NGIN1168</t>
  </si>
  <si>
    <t>Tier S</t>
  </si>
  <si>
    <t>3/10/2024</t>
  </si>
  <si>
    <t>4/1/2024</t>
  </si>
  <si>
    <t>ID10-2332</t>
  </si>
  <si>
    <t xml:space="preserve">Intelligent Design </t>
  </si>
  <si>
    <t>Liam</t>
  </si>
  <si>
    <t>Reeve</t>
  </si>
  <si>
    <t>Plaid Comforter Set</t>
  </si>
  <si>
    <t>Tan/Gray</t>
  </si>
  <si>
    <t>PF006203</t>
  </si>
  <si>
    <t>3/16/2024</t>
  </si>
  <si>
    <t>AMAZON,JCPENNEY01</t>
  </si>
  <si>
    <t>JLZL1329</t>
  </si>
  <si>
    <t>ID12-2334</t>
  </si>
  <si>
    <t>Plaid Duvet Cover Set</t>
  </si>
  <si>
    <t>BLK01,JCPENNEY01,MACY02,OVERSTOCK01,TGTDVS</t>
  </si>
  <si>
    <t>JLZL1328</t>
  </si>
  <si>
    <t>SS40-0112</t>
  </si>
  <si>
    <t>Blakesly</t>
  </si>
  <si>
    <t>Kagen</t>
  </si>
  <si>
    <t>Etro</t>
  </si>
  <si>
    <t>Printed Ikat Blackout Patio Curtain</t>
  </si>
  <si>
    <t>100x84"</t>
  </si>
  <si>
    <t>PP000592;PF004056</t>
  </si>
  <si>
    <t>Print</t>
  </si>
  <si>
    <t>Blackout</t>
  </si>
  <si>
    <t>3/8/2019</t>
  </si>
  <si>
    <t>AMAZON,ASHFURNDS,HDDS,JCPENNEY01,KOHLDSN,OLLIIX,TGTDVS</t>
  </si>
  <si>
    <t>ENDE9935</t>
  </si>
  <si>
    <t>3/21/2019</t>
  </si>
  <si>
    <t>4/2/2019</t>
  </si>
  <si>
    <t>SS40-0113</t>
  </si>
  <si>
    <t>AMAZON,AMAZONDS,HDDS,JCPENNEY01,KOHLDSN,OLLIIX</t>
  </si>
  <si>
    <t>3/25/2019</t>
  </si>
  <si>
    <t>WR50-3969</t>
  </si>
  <si>
    <t>THROW</t>
  </si>
  <si>
    <t>Throw</t>
  </si>
  <si>
    <t>Bloomington</t>
  </si>
  <si>
    <t>Faux Mohair to Sherpa Throw</t>
  </si>
  <si>
    <t>50x60"</t>
  </si>
  <si>
    <t>PP001878;PF005994</t>
  </si>
  <si>
    <t>8/25/2023</t>
  </si>
  <si>
    <t>AMAZON,KOHLDSN,MACY02,OLLIIX,OVERSTOCK01</t>
  </si>
  <si>
    <t>XBYB1066</t>
  </si>
  <si>
    <t>4/17/2024</t>
  </si>
  <si>
    <t>WR50-3970</t>
  </si>
  <si>
    <t>PP001878;PF005995</t>
  </si>
  <si>
    <t>AMAZON,HDDS,KOHLDSN,MACY02,OLLIIX,OVERSTOCK01,TGTDVS</t>
  </si>
  <si>
    <t>4/25/2024</t>
  </si>
  <si>
    <t>MP95C-0133</t>
  </si>
  <si>
    <t>Blue Lagoon 2</t>
  </si>
  <si>
    <t>Abstract 2-piece Framed Canvas Wall Art Set</t>
  </si>
  <si>
    <t>PP000609</t>
  </si>
  <si>
    <t>10/12/2017</t>
  </si>
  <si>
    <t>AMAZONDS,ASHFURNDS,HDDS,KIRKLANDDS,OVERSTOCK01,TGTDVS</t>
  </si>
  <si>
    <t>HIDN2559</t>
  </si>
  <si>
    <t>12/21/2017</t>
  </si>
  <si>
    <t>1/8/2018</t>
  </si>
  <si>
    <t>II103-0498</t>
  </si>
  <si>
    <t>Swivel</t>
  </si>
  <si>
    <t>Bonn</t>
  </si>
  <si>
    <t>Upholstered 360 Degree Swivel Chair</t>
  </si>
  <si>
    <t>2/22/2023</t>
  </si>
  <si>
    <t>12/1/2024</t>
  </si>
  <si>
    <t>KIRKLANDDS,OLLIIX,ZOLA</t>
  </si>
  <si>
    <t>IKIY1118</t>
  </si>
  <si>
    <t>3/27/2023</t>
  </si>
  <si>
    <t>9/1/2023</t>
  </si>
  <si>
    <t>MP10-6434</t>
  </si>
  <si>
    <t>Boone</t>
  </si>
  <si>
    <t>Westbrook</t>
  </si>
  <si>
    <t>Powell</t>
  </si>
  <si>
    <t>7 Piece Faux Suede Comforter Set</t>
  </si>
  <si>
    <t>PF004738</t>
  </si>
  <si>
    <t>Casual|Transitional</t>
  </si>
  <si>
    <t>9/1/2019</t>
  </si>
  <si>
    <t>AMAZON,BLK01,JCPENNEY01,KOHLDSN,MACY02,NRTPORT,OLLIIX,OVERSTOCK01,TGTDVS</t>
  </si>
  <si>
    <t>LRFY2571</t>
  </si>
  <si>
    <t>9/29/2019</t>
  </si>
  <si>
    <t>10/25/2019</t>
  </si>
  <si>
    <t>MP10-6436</t>
  </si>
  <si>
    <t>AMAZON,ASHFURNDS,BLK01,JCPENNEY01,KOHLDSN,MACY02,NRTPORT,OVERSTOCK01,TGTDVS</t>
  </si>
  <si>
    <t>UH153-0099</t>
  </si>
  <si>
    <t>Borel</t>
  </si>
  <si>
    <t>Ombre Glass Table Lamp</t>
  </si>
  <si>
    <t>Dark Blue</t>
  </si>
  <si>
    <t>AMAZON,AMERSIGNDS,ASHFURNDS,JCPENNEY01,KIRKLANDDS,KOHLDSN,OLLIIX,OVERSTOCK01</t>
  </si>
  <si>
    <t>HLDS8478</t>
  </si>
  <si>
    <t>1/21/2021</t>
  </si>
  <si>
    <t>2/11/2021</t>
  </si>
  <si>
    <t>II95C-0154</t>
  </si>
  <si>
    <t>Botanical Waterfall</t>
  </si>
  <si>
    <t>Eucalyptus 2-piece Framed Canvas Wall Decor Set</t>
  </si>
  <si>
    <t>Green</t>
  </si>
  <si>
    <t>6/1/2023</t>
  </si>
  <si>
    <t>JCPENNEY01,KIRKLANDDS,KOHLDSN,OLLIIX,OVERSTOCK01,TGTDVS</t>
  </si>
  <si>
    <t>IKIY1139</t>
  </si>
  <si>
    <t>9/5/2023</t>
  </si>
  <si>
    <t>10/3/2023</t>
  </si>
  <si>
    <t>AM10-0028</t>
  </si>
  <si>
    <t>Boulder Stripe</t>
  </si>
  <si>
    <t>Cascade Stripe</t>
  </si>
  <si>
    <t>Highland Stripe</t>
  </si>
  <si>
    <t>Pieced Faux Suede Comforter Set</t>
  </si>
  <si>
    <t>Black</t>
  </si>
  <si>
    <t>PP001926;PF006148</t>
  </si>
  <si>
    <t>9/29/2023</t>
  </si>
  <si>
    <t>AMAZON,BLK01,HDDS,JCPENNEY01,KOHLDSN,MACY02,OVERSTOCK01,TGTDVS</t>
  </si>
  <si>
    <t>NGIN1201</t>
  </si>
  <si>
    <t>11/6/2023</t>
  </si>
  <si>
    <t>12/3/2023</t>
  </si>
  <si>
    <t>AM10-0290</t>
  </si>
  <si>
    <t>Brick</t>
  </si>
  <si>
    <t>PP001926;PF006375</t>
  </si>
  <si>
    <t>7/18/2024</t>
  </si>
  <si>
    <t>AMAZON,JCPENNEY01,MACY02,OVERSTOCK01</t>
  </si>
  <si>
    <t>8/12/2024</t>
  </si>
  <si>
    <t>AM10-0031</t>
  </si>
  <si>
    <t>Brown</t>
  </si>
  <si>
    <t>PP001926;PF006149</t>
  </si>
  <si>
    <t>AMAZON,DESINC,HDDS,JCPENNEY01,KOHLDSN,MACY02,OVERSTOCK01,TGTDVS</t>
  </si>
  <si>
    <t>AM10-0032</t>
  </si>
  <si>
    <t>AMAZON,BLK01,DESINC,HDDS,JCPENNEY01,KOHLDSN,MACY02,OVERSTOCK01,TGTDVS</t>
  </si>
  <si>
    <t>MP100-0575</t>
  </si>
  <si>
    <t>ACCENT CHAIR</t>
  </si>
  <si>
    <t>Arm Chair</t>
  </si>
  <si>
    <t>Brayden</t>
  </si>
  <si>
    <t>Kendrick</t>
  </si>
  <si>
    <t>Rhodes</t>
  </si>
  <si>
    <t>Accent Chair</t>
  </si>
  <si>
    <t>PP000716</t>
  </si>
  <si>
    <t>1/23/2018</t>
  </si>
  <si>
    <t>GRYL6723</t>
  </si>
  <si>
    <t>4/4/2018</t>
  </si>
  <si>
    <t>5/22/2018</t>
  </si>
  <si>
    <t>WR10-3974</t>
  </si>
  <si>
    <t>Breckenridge</t>
  </si>
  <si>
    <t>Chenille Oversized Comforter Set</t>
  </si>
  <si>
    <t>PF006169</t>
  </si>
  <si>
    <t>Polyester</t>
  </si>
  <si>
    <t>Southwestern</t>
  </si>
  <si>
    <t>2/28/2024</t>
  </si>
  <si>
    <t>AMAZON,JCPENNEY01,KOHLDSN,MACY02,OVERSTOCK01</t>
  </si>
  <si>
    <t>XBYB1065</t>
  </si>
  <si>
    <t>3/29/2024</t>
  </si>
  <si>
    <t>4/15/2024</t>
  </si>
  <si>
    <t>II21-1304</t>
  </si>
  <si>
    <t>Bree Knit</t>
  </si>
  <si>
    <t>Oblong Pillow Cover</t>
  </si>
  <si>
    <t>12x20"</t>
  </si>
  <si>
    <t>PP001571;PF006068</t>
  </si>
  <si>
    <t>Acrylic</t>
  </si>
  <si>
    <t>KOHLDSN,OVERSTOCK01,TGTDVS</t>
  </si>
  <si>
    <t>CHMB1988</t>
  </si>
  <si>
    <t>11/28/2023</t>
  </si>
  <si>
    <t>II21-1301</t>
  </si>
  <si>
    <t>Square Pillow Cover</t>
  </si>
  <si>
    <t>20x20"</t>
  </si>
  <si>
    <t>AMAZONDS,KOHLDSN,OVERSTOCK01</t>
  </si>
  <si>
    <t>CHMB1994</t>
  </si>
  <si>
    <t>II21-1300</t>
  </si>
  <si>
    <t>PP001571;PF006067</t>
  </si>
  <si>
    <t>2/12/2024</t>
  </si>
  <si>
    <t>II50-1297</t>
  </si>
  <si>
    <t>CHMB1986</t>
  </si>
  <si>
    <t>II51-1135</t>
  </si>
  <si>
    <t>BLANKET</t>
  </si>
  <si>
    <t>Blanket</t>
  </si>
  <si>
    <t>PP001571;PF005282</t>
  </si>
  <si>
    <t>1/16/2021</t>
  </si>
  <si>
    <t>GCEO4069</t>
  </si>
  <si>
    <t>1/17/2021</t>
  </si>
  <si>
    <t>3/15/2021</t>
  </si>
  <si>
    <t>II30-1139</t>
  </si>
  <si>
    <t>1/13/2021</t>
  </si>
  <si>
    <t>1/24/2021</t>
  </si>
  <si>
    <t>2/8/2021</t>
  </si>
  <si>
    <t>II30-1140</t>
  </si>
  <si>
    <t>Euro Pillow Cover</t>
  </si>
  <si>
    <t>26x26"</t>
  </si>
  <si>
    <t>II30-740</t>
  </si>
  <si>
    <t>PF003487</t>
  </si>
  <si>
    <t>MACY02,OVERSTOCK01</t>
  </si>
  <si>
    <t>II30-737</t>
  </si>
  <si>
    <t>AMAZONDS,KOHLDSN,MACY02,TGTDVS</t>
  </si>
  <si>
    <t>8/17/2016</t>
  </si>
  <si>
    <t>II51-1309</t>
  </si>
  <si>
    <t>Light Blue</t>
  </si>
  <si>
    <t>PP001571;PF006066</t>
  </si>
  <si>
    <t>HDDS,JCPENNEY01,KOHLDSN,MACY02,TGTDVS</t>
  </si>
  <si>
    <t>10/29/2023</t>
  </si>
  <si>
    <t>12/27/2023</t>
  </si>
  <si>
    <t>II21-1302</t>
  </si>
  <si>
    <t>KOHLDSN,OLLIIX,TGTDVS</t>
  </si>
  <si>
    <t>II21-1299</t>
  </si>
  <si>
    <t>1/12/2024</t>
  </si>
  <si>
    <t>II21-1305</t>
  </si>
  <si>
    <t>AMAZONDS,KOHLDSN,OLLIIX</t>
  </si>
  <si>
    <t>9/20/2024</t>
  </si>
  <si>
    <t>WR54-1997</t>
  </si>
  <si>
    <t>Brewster</t>
  </si>
  <si>
    <t>N/A</t>
  </si>
  <si>
    <t>Blue/Green</t>
  </si>
  <si>
    <t>PF003515</t>
  </si>
  <si>
    <t>JCPENNEY01,KOHLDSN,OLLIIX,TGTDVS,WALMARTDS</t>
  </si>
  <si>
    <t>WLR1338</t>
  </si>
  <si>
    <t>9/30/2017</t>
  </si>
  <si>
    <t>10/9/2017</t>
  </si>
  <si>
    <t>FPF18-0486</t>
  </si>
  <si>
    <t>Brooke</t>
  </si>
  <si>
    <t>Miri</t>
  </si>
  <si>
    <t>Annie</t>
  </si>
  <si>
    <t>Tight Back Club Chair</t>
  </si>
  <si>
    <t>PF000738;PP000105</t>
  </si>
  <si>
    <t>ASHFURNDS,KIRKLANDDS,KOHLDSN</t>
  </si>
  <si>
    <t>ALCT8431</t>
  </si>
  <si>
    <t>2/5/2016</t>
  </si>
  <si>
    <t>UH12-2156</t>
  </si>
  <si>
    <t>Urban Habitat</t>
  </si>
  <si>
    <t>Brooklyn</t>
  </si>
  <si>
    <t>Maize</t>
  </si>
  <si>
    <t>Kay</t>
  </si>
  <si>
    <t>Cotton Jacquard Duvet Cover Set with Euro Shams and Throw Pillows</t>
  </si>
  <si>
    <t>PP000834;PF004165</t>
  </si>
  <si>
    <t>Shabby Chic</t>
  </si>
  <si>
    <t>Cottage/Country|Farmhouse</t>
  </si>
  <si>
    <t>12/26/2017</t>
  </si>
  <si>
    <t>TGTDVS</t>
  </si>
  <si>
    <t>EDIV1310</t>
  </si>
  <si>
    <t>3/21/2018</t>
  </si>
  <si>
    <t>4/30/2018</t>
  </si>
  <si>
    <t>UH10-2155</t>
  </si>
  <si>
    <t>Cotton Jacquard Comforter Set with Euro Shams and Throw Pillows</t>
  </si>
  <si>
    <t>AMAZON,AMAZONDS,KOHLDSN,MACY02</t>
  </si>
  <si>
    <t>EDIV1213</t>
  </si>
  <si>
    <t>UH12-2158</t>
  </si>
  <si>
    <t>4/9/2018</t>
  </si>
  <si>
    <t>UH10-2255</t>
  </si>
  <si>
    <t>PP000834;PF004683</t>
  </si>
  <si>
    <t>5/15/2019</t>
  </si>
  <si>
    <t>6/7/2019</t>
  </si>
  <si>
    <t>6/27/2019</t>
  </si>
  <si>
    <t>UH12-2258</t>
  </si>
  <si>
    <t>5/16/2019</t>
  </si>
  <si>
    <t>UH12-2260</t>
  </si>
  <si>
    <t>AMAZON,KOHLDSN,MACY02,OVERSTOCK01</t>
  </si>
  <si>
    <t>UH12-2162</t>
  </si>
  <si>
    <t>PP000834;PF004166</t>
  </si>
  <si>
    <t>MACY02,TGTDVS</t>
  </si>
  <si>
    <t>4/6/2018</t>
  </si>
  <si>
    <t>UH12-2163</t>
  </si>
  <si>
    <t>AMAZON,KOHLDSN,MACY02,TGTDVS</t>
  </si>
  <si>
    <t>UH10-2161</t>
  </si>
  <si>
    <t>KOHLDSN,MACY02</t>
  </si>
  <si>
    <t>3/26/2018</t>
  </si>
  <si>
    <t>UH70-2312</t>
  </si>
  <si>
    <t>Cotton Jacquard Pom Pom Shower Curtain</t>
  </si>
  <si>
    <t>70x72"</t>
  </si>
  <si>
    <t>Indigo Blue</t>
  </si>
  <si>
    <t>PP000834;PF004684</t>
  </si>
  <si>
    <t>1/8/2020</t>
  </si>
  <si>
    <t>AMAZON,JCPENNEY01,KOHLDSN,MACY02,OLLIIX</t>
  </si>
  <si>
    <t>UBHB1190</t>
  </si>
  <si>
    <t>2/10/2020</t>
  </si>
  <si>
    <t>UH12-0201</t>
  </si>
  <si>
    <t>PF002470</t>
  </si>
  <si>
    <t>4/22/2017</t>
  </si>
  <si>
    <t>6/8/2017</t>
  </si>
  <si>
    <t>UH12-0202</t>
  </si>
  <si>
    <t>AMAZON,MACY02,OLLIIX,TGTDVS</t>
  </si>
  <si>
    <t>8/6/2017</t>
  </si>
  <si>
    <t>UH70-2241</t>
  </si>
  <si>
    <t>Brooklyn Cotton Jacquard Pom Pom Shower Curtain</t>
  </si>
  <si>
    <t>PF002470;PP000834</t>
  </si>
  <si>
    <t>12/27/2018</t>
  </si>
  <si>
    <t>1/16/2019</t>
  </si>
  <si>
    <t>1/30/2019</t>
  </si>
  <si>
    <t>UH13-2207</t>
  </si>
  <si>
    <t>Daybed Cover</t>
  </si>
  <si>
    <t>Cotton Jacquard Daybed Set</t>
  </si>
  <si>
    <t>Daybed</t>
  </si>
  <si>
    <t>7/6/2018</t>
  </si>
  <si>
    <t>AMAZON,HDDS,KOHLDSN,OLLIIX,OVERSTOCK01,TGTDVS</t>
  </si>
  <si>
    <t>UBHB1181</t>
  </si>
  <si>
    <t>7/25/2018</t>
  </si>
  <si>
    <t>8/23/2018</t>
  </si>
  <si>
    <t>UH12-2264</t>
  </si>
  <si>
    <t>5/10/2019</t>
  </si>
  <si>
    <t>AMAZON,AMAZONDS,OVERSTOCK01,TGTDVS</t>
  </si>
  <si>
    <t>6/10/2019</t>
  </si>
  <si>
    <t>6/17/2019</t>
  </si>
  <si>
    <t>UH12-2265</t>
  </si>
  <si>
    <t>AMAZON,MACY02,OVERSTOCK01,TGTDVS</t>
  </si>
  <si>
    <t>7/5/2019</t>
  </si>
  <si>
    <t>UH10-2263</t>
  </si>
  <si>
    <t>BLK01,HDDS,KOHLDSN,MACY02,TGTDVS</t>
  </si>
  <si>
    <t>UH12-2266</t>
  </si>
  <si>
    <t>AMAZON,JCPENNEY01,KOHLDSN,TGTDVS</t>
  </si>
  <si>
    <t>UH12-0207</t>
  </si>
  <si>
    <t>Pink</t>
  </si>
  <si>
    <t>PF002471</t>
  </si>
  <si>
    <t>6/7/2017</t>
  </si>
  <si>
    <t>UH12-0208</t>
  </si>
  <si>
    <t>6/2/2017</t>
  </si>
  <si>
    <t>UH12-0209</t>
  </si>
  <si>
    <t>UH70-2242</t>
  </si>
  <si>
    <t>PF002471;PP000834</t>
  </si>
  <si>
    <t>AMAZON,JCPENNEY01,KOHLDSN,MACY02,OLLIIX,WALMARTDS</t>
  </si>
  <si>
    <t>UH12-2497</t>
  </si>
  <si>
    <t>Rust</t>
  </si>
  <si>
    <t>PP000834;PF006097</t>
  </si>
  <si>
    <t>12/30/2023</t>
  </si>
  <si>
    <t>1/1/2024</t>
  </si>
  <si>
    <t>UH12-2498</t>
  </si>
  <si>
    <t>1/11/2024</t>
  </si>
  <si>
    <t>UH12-2499</t>
  </si>
  <si>
    <t>PET66PT6198</t>
  </si>
  <si>
    <t>PET</t>
  </si>
  <si>
    <t>PET ACCESSORIES</t>
  </si>
  <si>
    <t>Pet Accessories</t>
  </si>
  <si>
    <t>Bumpi</t>
  </si>
  <si>
    <t>Avocado</t>
  </si>
  <si>
    <t>8/17/2023</t>
  </si>
  <si>
    <t>Ready To Offer</t>
  </si>
  <si>
    <t>PET66PT6022</t>
  </si>
  <si>
    <t>Dino Rubber Toy 2PK</t>
  </si>
  <si>
    <t>Citron/Orange</t>
  </si>
  <si>
    <t>3/31/2023</t>
  </si>
  <si>
    <t>PET66PT6025-SM</t>
  </si>
  <si>
    <t>Kettlebell Rubber Toy SM</t>
  </si>
  <si>
    <t>Orange</t>
  </si>
  <si>
    <t>PET66PT6023</t>
  </si>
  <si>
    <t>Dumbbell Rubber Toy 2PK</t>
  </si>
  <si>
    <t>Pink/Orange</t>
  </si>
  <si>
    <t>PET66PT6195</t>
  </si>
  <si>
    <t>Hedgehog with tennis ball</t>
  </si>
  <si>
    <t>Rose Red Hedgehog</t>
  </si>
  <si>
    <t>PET66PT6194</t>
  </si>
  <si>
    <t>Teal Hedgehog</t>
  </si>
  <si>
    <t>PET66PT6199</t>
  </si>
  <si>
    <t>Tortoise Puzzle Dog Toy</t>
  </si>
  <si>
    <t>Tortoise Puzzle</t>
  </si>
  <si>
    <t>8/16/2023</t>
  </si>
  <si>
    <t>PET66PT6025-LG</t>
  </si>
  <si>
    <t>Kettlebell Rubber Toy LG</t>
  </si>
  <si>
    <t>MP13-1521</t>
  </si>
  <si>
    <t>Coverlet</t>
  </si>
  <si>
    <t>Cali</t>
  </si>
  <si>
    <t>Cardiff</t>
  </si>
  <si>
    <t>Cascade</t>
  </si>
  <si>
    <t>6 Piece Reversible Quilt Set with Throw Pillows</t>
  </si>
  <si>
    <t>Navy/Tan</t>
  </si>
  <si>
    <t>PF002717</t>
  </si>
  <si>
    <t>Global Inspired|Casual</t>
  </si>
  <si>
    <t>WRMG2488</t>
  </si>
  <si>
    <t>II150-0153</t>
  </si>
  <si>
    <t>LGT-CHANDELIERS</t>
  </si>
  <si>
    <t>Chandeliers</t>
  </si>
  <si>
    <t>Calista</t>
  </si>
  <si>
    <t>8-Light Metal Chandelier with Globe Bulbs</t>
  </si>
  <si>
    <t>Gold/Clear</t>
  </si>
  <si>
    <t>2/1/2024</t>
  </si>
  <si>
    <t>IKIY1170</t>
  </si>
  <si>
    <t>3/11/2024</t>
  </si>
  <si>
    <t>UHK10-0127</t>
  </si>
  <si>
    <t>Urban Habitat Kids</t>
  </si>
  <si>
    <t>Callie</t>
  </si>
  <si>
    <t>Ensley</t>
  </si>
  <si>
    <t>Kelsey</t>
  </si>
  <si>
    <t>Cotton Jacquard Pom Pom Comforter Set</t>
  </si>
  <si>
    <t>Lavender</t>
  </si>
  <si>
    <t>PP001349;PF004828</t>
  </si>
  <si>
    <t>Casual|Cottage/Country</t>
  </si>
  <si>
    <t>8/26/2019</t>
  </si>
  <si>
    <t>AMAZON,HDDS,JCPENNEY01,KOHLDSN,MACY02,TGTDVS</t>
  </si>
  <si>
    <t>VBDN1018</t>
  </si>
  <si>
    <t>AM10-0099</t>
  </si>
  <si>
    <t>Camden</t>
  </si>
  <si>
    <t>Reese</t>
  </si>
  <si>
    <t>Leighton</t>
  </si>
  <si>
    <t>Chambray Print Microfiber Comforter Set with Bed Sheets</t>
  </si>
  <si>
    <t>Gray</t>
  </si>
  <si>
    <t>PP001923;PF006139</t>
  </si>
  <si>
    <t>11/3/2023</t>
  </si>
  <si>
    <t>2/26/2025</t>
  </si>
  <si>
    <t>KOHLDSN,MACY02,OVERSTOCK01,TGTDVS</t>
  </si>
  <si>
    <t>NGIN1188</t>
  </si>
  <si>
    <t>6/6/2024</t>
  </si>
  <si>
    <t>6/26/2024</t>
  </si>
  <si>
    <t>AM10-0109</t>
  </si>
  <si>
    <t>PP001923;PF006142</t>
  </si>
  <si>
    <t>AMAZON,DESINC,TGTDVS</t>
  </si>
  <si>
    <t>9/24/2024</t>
  </si>
  <si>
    <t>AM10-0110</t>
  </si>
  <si>
    <t>AMAZON,BLK01,KOHLDSN,MACY02</t>
  </si>
  <si>
    <t>AM10-0111</t>
  </si>
  <si>
    <t>KOHLDSN,MACY02,TGTDVS</t>
  </si>
  <si>
    <t>8/27/2024</t>
  </si>
  <si>
    <t>AM10-0112</t>
  </si>
  <si>
    <t>9/23/2024</t>
  </si>
  <si>
    <t>AM10-0105</t>
  </si>
  <si>
    <t>PP001923;PF006141</t>
  </si>
  <si>
    <t>DESINC,MACY02</t>
  </si>
  <si>
    <t>AM10-0106</t>
  </si>
  <si>
    <t>AMAZON,MACY02,OVERSTOCK01</t>
  </si>
  <si>
    <t>AM10-0107</t>
  </si>
  <si>
    <t>AMAZON,HDDS,KOHLDSN,MACY02,OVERSTOCK01,TGTDVS</t>
  </si>
  <si>
    <t>II11-227</t>
  </si>
  <si>
    <t>BED SKIRT&amp;SHAM</t>
  </si>
  <si>
    <t>Sham</t>
  </si>
  <si>
    <t>Camila</t>
  </si>
  <si>
    <t>Cotton Quilted Euro Sham</t>
  </si>
  <si>
    <t>Euro Sham</t>
  </si>
  <si>
    <t>PF003343;PP000454;PP000508</t>
  </si>
  <si>
    <t>AMAZON,BLK01,HDDS,HSNDS,KIRKLANDDS,KOHLDSN,MACY02,OLLIIX,OVERSTOCK01,TGTDVS</t>
  </si>
  <si>
    <t>ANDV4039</t>
  </si>
  <si>
    <t>4/16/2015</t>
  </si>
  <si>
    <t>MZ10-0561</t>
  </si>
  <si>
    <t>Camille</t>
  </si>
  <si>
    <t>Corinne</t>
  </si>
  <si>
    <t>Cora</t>
  </si>
  <si>
    <t>PP000796;PF004119</t>
  </si>
  <si>
    <t>AMAZON,BEALLSDS,BLK01,HDDS,JCPENNEY01,KOHLDSN,MACY02,NRTPORT,OLLIIX,TGTDVS</t>
  </si>
  <si>
    <t>ZMIE7678</t>
  </si>
  <si>
    <t>1/26/2018</t>
  </si>
  <si>
    <t>2/1/2018</t>
  </si>
  <si>
    <t>MP108-0642</t>
  </si>
  <si>
    <t>DINING CHAIR</t>
  </si>
  <si>
    <t>Dining Chair</t>
  </si>
  <si>
    <t>Captiva</t>
  </si>
  <si>
    <t>Callaway</t>
  </si>
  <si>
    <t>Hastings</t>
  </si>
  <si>
    <t>Dining Side Chair (Set of 2)</t>
  </si>
  <si>
    <t>12/15/2017</t>
  </si>
  <si>
    <t>HDDS,KOHLDSN,OLLIIX</t>
  </si>
  <si>
    <t>NCWA1347</t>
  </si>
  <si>
    <t>2/19/2019</t>
  </si>
  <si>
    <t>MP10-8204</t>
  </si>
  <si>
    <t>Caralie</t>
  </si>
  <si>
    <t>Evian</t>
  </si>
  <si>
    <t>Tulia</t>
  </si>
  <si>
    <t>5 Piece Seersucker Comforter Set with Throw Pillows</t>
  </si>
  <si>
    <t>PP001862;PF005960</t>
  </si>
  <si>
    <t>5/11/2023</t>
  </si>
  <si>
    <t>3/3/2025</t>
  </si>
  <si>
    <t>AMAZON,KOHLDSN,MACY02,NRTPORT,OVERSTOCK01,TGTDVS</t>
  </si>
  <si>
    <t>NCWA2497</t>
  </si>
  <si>
    <t>5/16/2023</t>
  </si>
  <si>
    <t>7/11/2023</t>
  </si>
  <si>
    <t>MP51-8426</t>
  </si>
  <si>
    <t>Carved Plush</t>
  </si>
  <si>
    <t>PP001953;PF006224</t>
  </si>
  <si>
    <t>Plush</t>
  </si>
  <si>
    <t>4/2/2024</t>
  </si>
  <si>
    <t>NCWA2681</t>
  </si>
  <si>
    <t>4/12/2024</t>
  </si>
  <si>
    <t>MP51-8427</t>
  </si>
  <si>
    <t>3/30/2024</t>
  </si>
  <si>
    <t>MP51-8428</t>
  </si>
  <si>
    <t>MP51-8423</t>
  </si>
  <si>
    <t>PP001953;PF006223</t>
  </si>
  <si>
    <t>MP51-8424</t>
  </si>
  <si>
    <t>MP51-8425</t>
  </si>
  <si>
    <t>AMAZON,JCPENNEY01,KOHLDSN,MACY02,OVERSTOCK01,TGTDVS</t>
  </si>
  <si>
    <t>MP51-8417</t>
  </si>
  <si>
    <t>PP001953;PF006221</t>
  </si>
  <si>
    <t>MP51-8419</t>
  </si>
  <si>
    <t>AMAZON,AMAZONDS,JCPENNEY01,KOHLDSN,MACY02,TGTDVS</t>
  </si>
  <si>
    <t>MP51-8420</t>
  </si>
  <si>
    <t>PP001953;PF006222</t>
  </si>
  <si>
    <t>7/29/2024</t>
  </si>
  <si>
    <t>MP51-8422</t>
  </si>
  <si>
    <t>5/28/2024</t>
  </si>
  <si>
    <t>MP51-8414</t>
  </si>
  <si>
    <t>PP001953;PF006220</t>
  </si>
  <si>
    <t>3/19/2025</t>
  </si>
  <si>
    <t>MP51-8415</t>
  </si>
  <si>
    <t>8/19/2024</t>
  </si>
  <si>
    <t>MP51-8416</t>
  </si>
  <si>
    <t>MP10-7836</t>
  </si>
  <si>
    <t>Cassandra</t>
  </si>
  <si>
    <t>Gisele</t>
  </si>
  <si>
    <t>Maddy</t>
  </si>
  <si>
    <t>8 Piece Cotton Printed Comforter Set</t>
  </si>
  <si>
    <t>PP001093;PF005653</t>
  </si>
  <si>
    <t>Modern/Contemporary|Casual</t>
  </si>
  <si>
    <t>4/4/2022</t>
  </si>
  <si>
    <t>AMAZONDS,JCPENNEY01,KOHLDSN,MACY02,OVERSTOCK01</t>
  </si>
  <si>
    <t>ONAW6769</t>
  </si>
  <si>
    <t>4/27/2022</t>
  </si>
  <si>
    <t>6/7/2022</t>
  </si>
  <si>
    <t>ID10-2261</t>
  </si>
  <si>
    <t>Cassiopeia</t>
  </si>
  <si>
    <t>Karissa</t>
  </si>
  <si>
    <t>Lisa</t>
  </si>
  <si>
    <t>Watercolor Tie Dye Printed Comforter Set with Throw Pillow</t>
  </si>
  <si>
    <t>A++</t>
  </si>
  <si>
    <t>PF005394;PP001904</t>
  </si>
  <si>
    <t>10/11/2023</t>
  </si>
  <si>
    <t>AMAZON,AMAZONDS,DESINC,HDDS,JCPENNEY01,KOHLDSN,MACY02,NRTPORT,OVERSTOCK01,TGTDVS</t>
  </si>
  <si>
    <t>JLZL1193</t>
  </si>
  <si>
    <t>11/13/2023</t>
  </si>
  <si>
    <t>ID12-2262</t>
  </si>
  <si>
    <t>Watercolor Tie Dye Printed Duvet Cover Set with Throw Pillow</t>
  </si>
  <si>
    <t>JLZL1192</t>
  </si>
  <si>
    <t>12/1/2023</t>
  </si>
  <si>
    <t>ID10-2385</t>
  </si>
  <si>
    <t>PP001904;PF006265</t>
  </si>
  <si>
    <t>7/6/2024</t>
  </si>
  <si>
    <t>7/27/2024</t>
  </si>
  <si>
    <t>ID10-2386</t>
  </si>
  <si>
    <t>7/4/2024</t>
  </si>
  <si>
    <t>AMAZON,JCPENNEY01,KOHLDSN,MACY02,OLLIIX,TGTDVS</t>
  </si>
  <si>
    <t>9/3/2024</t>
  </si>
  <si>
    <t>ID10-2387</t>
  </si>
  <si>
    <t>7/5/2024</t>
  </si>
  <si>
    <t>AMAZON,JCPENNEY01,KOHLDSN,MACY02</t>
  </si>
  <si>
    <t>ID12-2258</t>
  </si>
  <si>
    <t>PP001904;PF006071</t>
  </si>
  <si>
    <t>9/16/2023</t>
  </si>
  <si>
    <t>ID12-2260</t>
  </si>
  <si>
    <t>10/27/2023</t>
  </si>
  <si>
    <t>MP40-8258</t>
  </si>
  <si>
    <t>Sheer Pair</t>
  </si>
  <si>
    <t>Cecily</t>
  </si>
  <si>
    <t>Vera</t>
  </si>
  <si>
    <t>Rosalie</t>
  </si>
  <si>
    <t>Burnout Printed Curtain Panel Pair</t>
  </si>
  <si>
    <t>2-PK 50x84"</t>
  </si>
  <si>
    <t>PP001540;PF005196</t>
  </si>
  <si>
    <t>10/25/2023</t>
  </si>
  <si>
    <t>AMAZON,DESINC,KOHLDSN,OVERSTOCK01</t>
  </si>
  <si>
    <t>NCWA2539</t>
  </si>
  <si>
    <t>12/14/2023</t>
  </si>
  <si>
    <t>MP10-2527</t>
  </si>
  <si>
    <t>Celeste</t>
  </si>
  <si>
    <t>Isabella</t>
  </si>
  <si>
    <t>Alexis</t>
  </si>
  <si>
    <t>5 Piece Microfiber Ruffled Comforter Set</t>
  </si>
  <si>
    <t>PF002762</t>
  </si>
  <si>
    <t>Cottage/Country|Farm House</t>
  </si>
  <si>
    <t>AMAZON,AMAZONDS,BLK01,HDDS,JCPENNEY01,MACY02,OLLIIX,OVERSTOCK01,TGTDVS</t>
  </si>
  <si>
    <t>LARK7699</t>
  </si>
  <si>
    <t>5/4/2016</t>
  </si>
  <si>
    <t>MP13-2533</t>
  </si>
  <si>
    <t>4 Piece Microfiber Reversible Ruffle Quilt Set with Throw Pillow</t>
  </si>
  <si>
    <t>AMAZON,JCPENNEY01,KOHLDSN,OLLIIX,TGTDVS</t>
  </si>
  <si>
    <t>LARK7698</t>
  </si>
  <si>
    <t>MP12-2531</t>
  </si>
  <si>
    <t>4 Piece Microfiber 2-in-1 Duvet Set</t>
  </si>
  <si>
    <t>LARK7700</t>
  </si>
  <si>
    <t>MP10-2529</t>
  </si>
  <si>
    <t>AMAZON,HDDS,JCPENNEY01,MACY02,TGTDVS</t>
  </si>
  <si>
    <t>5/31/2016</t>
  </si>
  <si>
    <t>II95C-0142</t>
  </si>
  <si>
    <t>Celestial Orbit Navy</t>
  </si>
  <si>
    <t>Silver Foil Abstract 2-piece Canvas Wall Art Set</t>
  </si>
  <si>
    <t>PP000800</t>
  </si>
  <si>
    <t>10/18/2017</t>
  </si>
  <si>
    <t>AMERSIGNDS,KOHLDSN,OLLIIX</t>
  </si>
  <si>
    <t>ORLS1051</t>
  </si>
  <si>
    <t>1/9/2018</t>
  </si>
  <si>
    <t>MP108-1205</t>
  </si>
  <si>
    <t>Motion Dining Chair</t>
  </si>
  <si>
    <t>Elaine</t>
  </si>
  <si>
    <t>Hamilton</t>
  </si>
  <si>
    <t>Skirted Dining Arm Chair with Casters</t>
  </si>
  <si>
    <t>12/7/2022</t>
  </si>
  <si>
    <t>2/24/2025</t>
  </si>
  <si>
    <t>HDDS,OLLIIX,OVERSTOCK01</t>
  </si>
  <si>
    <t>NCWA2458</t>
  </si>
  <si>
    <t>12/29/2022</t>
  </si>
  <si>
    <t>2/6/2023</t>
  </si>
  <si>
    <t>NS11-1824A</t>
  </si>
  <si>
    <t>N Natori</t>
  </si>
  <si>
    <t>Cherry Blossom</t>
  </si>
  <si>
    <t>PF002589</t>
  </si>
  <si>
    <t>NTI1705</t>
  </si>
  <si>
    <t>PET63PC4291</t>
  </si>
  <si>
    <t>Chester</t>
  </si>
  <si>
    <t>Aberdeen</t>
  </si>
  <si>
    <t>Pet Couch with Solid Memory Foam</t>
  </si>
  <si>
    <t>28x36+9"</t>
  </si>
  <si>
    <t>PP001029</t>
  </si>
  <si>
    <t>BFFS1115</t>
  </si>
  <si>
    <t>8/20/2020</t>
  </si>
  <si>
    <t>PET63PC4512</t>
  </si>
  <si>
    <t>34x44+10"</t>
  </si>
  <si>
    <t>11/14/2016</t>
  </si>
  <si>
    <t>AMAZONDS</t>
  </si>
  <si>
    <t>8/17/2020</t>
  </si>
  <si>
    <t>11/30/2020</t>
  </si>
  <si>
    <t>MP50N-5512</t>
  </si>
  <si>
    <t>Chloe</t>
  </si>
  <si>
    <t>Mila</t>
  </si>
  <si>
    <t>100% Cotton Tufted Chenille Lightweight Throw With Fringe Tassel 50" x 60"</t>
  </si>
  <si>
    <t>PP000792</t>
  </si>
  <si>
    <t>1/15/2018</t>
  </si>
  <si>
    <t>BEALLSDS,JCPENNEY01,KOHLDSN,MACY02,OLLIIX,WALMARTDS</t>
  </si>
  <si>
    <t>OPCO7677</t>
  </si>
  <si>
    <t>3/22/2018</t>
  </si>
  <si>
    <t>4/18/2018</t>
  </si>
  <si>
    <t>ID10-2326</t>
  </si>
  <si>
    <t>Christa</t>
  </si>
  <si>
    <t>Kaia</t>
  </si>
  <si>
    <t>Lena</t>
  </si>
  <si>
    <t>Floral Striped Comforter Set</t>
  </si>
  <si>
    <t>PF006201</t>
  </si>
  <si>
    <t>3/27/2024</t>
  </si>
  <si>
    <t>JLZL1330</t>
  </si>
  <si>
    <t>ID12-2328</t>
  </si>
  <si>
    <t>Floral Striped Duvet Cover Set</t>
  </si>
  <si>
    <t>JLZL1331</t>
  </si>
  <si>
    <t>7/8/2024</t>
  </si>
  <si>
    <t>ID10-2327</t>
  </si>
  <si>
    <t>AMAZON,HDDS,JCPENNEY01,KOHLDSN,MACY02,NRTPORT,OVERSTOCK01,TGTDVS</t>
  </si>
  <si>
    <t>ID12-2329</t>
  </si>
  <si>
    <t>3/26/2024</t>
  </si>
  <si>
    <t>HDDS,JCPENNEY01,KOHLDSN,MACY02,NRTPORT</t>
  </si>
  <si>
    <t>7/15/2024</t>
  </si>
  <si>
    <t>MP13-1420</t>
  </si>
  <si>
    <t>Claire</t>
  </si>
  <si>
    <t>Montecito</t>
  </si>
  <si>
    <t>Arbor</t>
  </si>
  <si>
    <t>6 Piece Printed Quilt Set with Throw Pillows</t>
  </si>
  <si>
    <t>PF002720;PP000401</t>
  </si>
  <si>
    <t>Traditional|Casual</t>
  </si>
  <si>
    <t>AMAZON,BLK01,HSNDS,JCPENNEY01,KOHLDSN,MACY02,OVERSTOCK01</t>
  </si>
  <si>
    <t>LRKM5569</t>
  </si>
  <si>
    <t>4/20/2015</t>
  </si>
  <si>
    <t>MP13-1421</t>
  </si>
  <si>
    <t>AMAZON,AMAZONDS,AMERSIGNDS,HSNDS,JCPENNEY01,KOHLDSN,MACY02,OLLIIX,ROOMECOM</t>
  </si>
  <si>
    <t>4/15/2015</t>
  </si>
  <si>
    <t>UHK12-0054</t>
  </si>
  <si>
    <t>Cloud</t>
  </si>
  <si>
    <t>Bliss</t>
  </si>
  <si>
    <t>Euphoria</t>
  </si>
  <si>
    <t>Cotton Printed Duvet Cover Set</t>
  </si>
  <si>
    <t>PP000645;PF004077</t>
  </si>
  <si>
    <t>HRBE1981</t>
  </si>
  <si>
    <t>12/4/2017</t>
  </si>
  <si>
    <t>12/18/2017</t>
  </si>
  <si>
    <t>HH10-396</t>
  </si>
  <si>
    <t>Harbor House</t>
  </si>
  <si>
    <t>Coastline</t>
  </si>
  <si>
    <t>Oversized Cotton Jacquard Comforter Set</t>
  </si>
  <si>
    <t>PF003317</t>
  </si>
  <si>
    <t>HUH10113</t>
  </si>
  <si>
    <t>PET63DU5412</t>
  </si>
  <si>
    <t>Coco</t>
  </si>
  <si>
    <t>Faux Fur Self Warming Indoor Round Donut Cuddler</t>
  </si>
  <si>
    <t>D23+6"</t>
  </si>
  <si>
    <t>6/2/2020</t>
  </si>
  <si>
    <t>AMAZON,AMAZONDS,KOHLDSN</t>
  </si>
  <si>
    <t>BFFS1114</t>
  </si>
  <si>
    <t>PET63DU5413</t>
  </si>
  <si>
    <t>D30+7"</t>
  </si>
  <si>
    <t>AMAZONDS,KOHLDSN</t>
  </si>
  <si>
    <t>11/6/2020</t>
  </si>
  <si>
    <t>PET63DU5237</t>
  </si>
  <si>
    <t>4/18/2019</t>
  </si>
  <si>
    <t>NS12-3655</t>
  </si>
  <si>
    <t>Cocoon</t>
  </si>
  <si>
    <t>3 Piece Quilt Top Duvet Cover Mini Set</t>
  </si>
  <si>
    <t>PP001696;PF005609</t>
  </si>
  <si>
    <t>11/2/2021</t>
  </si>
  <si>
    <t>MACY02,OLLIIX</t>
  </si>
  <si>
    <t>MBSA1054</t>
  </si>
  <si>
    <t>11/19/2021</t>
  </si>
  <si>
    <t>12/14/2021</t>
  </si>
  <si>
    <t>NS12-3656</t>
  </si>
  <si>
    <t>JCPENNEY01,KOHLDSN,MACY02,OLLIIX,OVERSTOCK01</t>
  </si>
  <si>
    <t>II70-1284</t>
  </si>
  <si>
    <t>Cotton Stripe Printed Shower Curtain with Tassel</t>
  </si>
  <si>
    <t>Gray/Yellow</t>
  </si>
  <si>
    <t>PP001505;PF005117</t>
  </si>
  <si>
    <t>Global Inspired</t>
  </si>
  <si>
    <t>10/13/2022</t>
  </si>
  <si>
    <t>IKIY1089</t>
  </si>
  <si>
    <t>10/20/2022</t>
  </si>
  <si>
    <t>12/20/2022</t>
  </si>
  <si>
    <t>MP51-8193</t>
  </si>
  <si>
    <t>Filled Blanket</t>
  </si>
  <si>
    <t>Coleman</t>
  </si>
  <si>
    <t>Campbell</t>
  </si>
  <si>
    <t>Reversible HeiQ Smart Temperature Down Alternative Blanket</t>
  </si>
  <si>
    <t>PP001231;PF005947</t>
  </si>
  <si>
    <t>4/10/2023</t>
  </si>
  <si>
    <t>AMAZON,JCPENNEY01,KOHLDSN,MACY02,NRTPORT,TGTDVS</t>
  </si>
  <si>
    <t>NCWA1655</t>
  </si>
  <si>
    <t>6/24/2024</t>
  </si>
  <si>
    <t>MP104-0062</t>
  </si>
  <si>
    <t>Bar Stool</t>
  </si>
  <si>
    <t>Colfax</t>
  </si>
  <si>
    <t>Weldon</t>
  </si>
  <si>
    <t>Lorsted</t>
  </si>
  <si>
    <t>30-Inch Bar Stool</t>
  </si>
  <si>
    <t>PF000305;PP000127</t>
  </si>
  <si>
    <t>HDDS,HOUZZ,KOHLDSN,MACY02F,OVERSTOCK01</t>
  </si>
  <si>
    <t>GCEO3250</t>
  </si>
  <si>
    <t>12/20/2016</t>
  </si>
  <si>
    <t>FPF20-0557</t>
  </si>
  <si>
    <t>Counter Stool</t>
  </si>
  <si>
    <t>PF000086;PP000127</t>
  </si>
  <si>
    <t>MACY02F</t>
  </si>
  <si>
    <t>6/27/2016</t>
  </si>
  <si>
    <t>MP10-1637</t>
  </si>
  <si>
    <t>Collins</t>
  </si>
  <si>
    <t>Saban</t>
  </si>
  <si>
    <t>Rodgers</t>
  </si>
  <si>
    <t>7 Piece Microsuede Comforter Set</t>
  </si>
  <si>
    <t>PF002736</t>
  </si>
  <si>
    <t>AMAZON,AMAZONDS,KOHLDSN,MACY02,OLLIIX,OVERSTOCK01,WALMARTDS</t>
  </si>
  <si>
    <t>RDBS6985</t>
  </si>
  <si>
    <t>9/22/2015</t>
  </si>
  <si>
    <t>5DS40-0151</t>
  </si>
  <si>
    <t>Colt</t>
  </si>
  <si>
    <t>Garett</t>
  </si>
  <si>
    <t>Bryce</t>
  </si>
  <si>
    <t>Room Darkening Metallic Printed Poly Velvet Rod Pocket/Back Tab Window Panel Pair</t>
  </si>
  <si>
    <t>37x63"</t>
  </si>
  <si>
    <t>PP000910;PF004315</t>
  </si>
  <si>
    <t>Velvet</t>
  </si>
  <si>
    <t>Room Darkening</t>
  </si>
  <si>
    <t>7/10/2018</t>
  </si>
  <si>
    <t>BLK01,HDDS,HOUZZ,JCPENNEY01,KOHLDSN,OLLIIX,TGTDVS</t>
  </si>
  <si>
    <t>NGIN1051</t>
  </si>
  <si>
    <t>7/17/2018</t>
  </si>
  <si>
    <t>8/22/2018</t>
  </si>
  <si>
    <t>FMY011JBH</t>
  </si>
  <si>
    <t>Colton</t>
  </si>
  <si>
    <t>Charlie</t>
  </si>
  <si>
    <t>Robin</t>
  </si>
  <si>
    <t>Track Arm Club Chair</t>
  </si>
  <si>
    <t>PF000577;PP000128</t>
  </si>
  <si>
    <t>AMAZONDS,ASHFURNDS,MACY02F,OLLIIX</t>
  </si>
  <si>
    <t>LGLY7485</t>
  </si>
  <si>
    <t>FPF18-0160</t>
  </si>
  <si>
    <t>PF000621;PP000128</t>
  </si>
  <si>
    <t>3/5/2025</t>
  </si>
  <si>
    <t>ASHFURNDS,MACY02F</t>
  </si>
  <si>
    <t>UH10-2506</t>
  </si>
  <si>
    <t>Comfort Cool Jersey Knit</t>
  </si>
  <si>
    <t>Oversized Down Alternative Comforter</t>
  </si>
  <si>
    <t>PP001912;PF006110</t>
  </si>
  <si>
    <t>Jersey</t>
  </si>
  <si>
    <t>12/6/2023</t>
  </si>
  <si>
    <t>UBHB1271</t>
  </si>
  <si>
    <t>12/11/2023</t>
  </si>
  <si>
    <t>4/9/2024</t>
  </si>
  <si>
    <t>UH10-2507</t>
  </si>
  <si>
    <t>12/5/2023</t>
  </si>
  <si>
    <t>AMAZON,AMAZONDS,KOHLDSN,MACY02,OLLIIX,OVERSTOCK01,TGTDVS</t>
  </si>
  <si>
    <t>5/22/2024</t>
  </si>
  <si>
    <t>UH10-2508</t>
  </si>
  <si>
    <t>AMAZON,KOHLDSN,MACY02,OLLIIX,OVERSTOCK01,TGTDVS</t>
  </si>
  <si>
    <t>3/4/2024</t>
  </si>
  <si>
    <t>UH10-2500</t>
  </si>
  <si>
    <t>PF006108;PP001912</t>
  </si>
  <si>
    <t>AMAZON,AMAZONDS,KOHLDSN,MACY02,OLLIIX,TGTDVS</t>
  </si>
  <si>
    <t>UH10-2502</t>
  </si>
  <si>
    <t>AMAZON,BLK01,KOHLDSN,MACY02,OLLIIX,OVERSTOCK01,TGTDVS</t>
  </si>
  <si>
    <t>3/28/2024</t>
  </si>
  <si>
    <t>UH10-2503</t>
  </si>
  <si>
    <t>PP001912;PF006109</t>
  </si>
  <si>
    <t>UH10-2505</t>
  </si>
  <si>
    <t>AMAZON,BLK01,KOHLDSN,MACY02,OVERSTOCK01,TGTDVS</t>
  </si>
  <si>
    <t>SS40-0139</t>
  </si>
  <si>
    <t>Como</t>
  </si>
  <si>
    <t>Tonal Printed Faux Silk Room Darkening Curtain Panel Pair</t>
  </si>
  <si>
    <t>42x84"</t>
  </si>
  <si>
    <t>PP001428;PF004983</t>
  </si>
  <si>
    <t>1/3/2020</t>
  </si>
  <si>
    <t>AMAZONDS,JCPENNEY01,KOHLDSN</t>
  </si>
  <si>
    <t>TDFM1008</t>
  </si>
  <si>
    <t>1/6/2020</t>
  </si>
  <si>
    <t>2/18/2020</t>
  </si>
  <si>
    <t>SS40-0140</t>
  </si>
  <si>
    <t>42x95"</t>
  </si>
  <si>
    <t>ASHFURNDS,DESINC,HDDS,KOHLDSN,TGTDVS</t>
  </si>
  <si>
    <t>MP40-7445</t>
  </si>
  <si>
    <t>Roman Shade</t>
  </si>
  <si>
    <t>Printed Faux Silk Room Darkening Cordless Roman Shade</t>
  </si>
  <si>
    <t>27x64"</t>
  </si>
  <si>
    <t>5/17/2021</t>
  </si>
  <si>
    <t>1/15/2025</t>
  </si>
  <si>
    <t>AMAZON,JCPENNEY01,KIRKLANDDS,KOHLDSN,TGTDVS</t>
  </si>
  <si>
    <t>NCWA2000</t>
  </si>
  <si>
    <t>5/21/2021</t>
  </si>
  <si>
    <t>2/28/2022</t>
  </si>
  <si>
    <t>MP40-7447</t>
  </si>
  <si>
    <t>33x64"</t>
  </si>
  <si>
    <t>AMAZON,AMAZONDS,KOHLDSN,TGTDVS</t>
  </si>
  <si>
    <t>3/21/2023</t>
  </si>
  <si>
    <t>MP40-7448</t>
  </si>
  <si>
    <t>35x64"</t>
  </si>
  <si>
    <t>7/9/2021</t>
  </si>
  <si>
    <t>MP40-7449</t>
  </si>
  <si>
    <t>39x64"</t>
  </si>
  <si>
    <t>MT104-1184</t>
  </si>
  <si>
    <t>Connor</t>
  </si>
  <si>
    <t>Upholstered Counter stool 25"H</t>
  </si>
  <si>
    <t>12/21/2022</t>
  </si>
  <si>
    <t>JCPENNEY01,KIRKLANDDS,MACY02F</t>
  </si>
  <si>
    <t>MSTT5529</t>
  </si>
  <si>
    <t>12/28/2022</t>
  </si>
  <si>
    <t>4/24/2023</t>
  </si>
  <si>
    <t>II153-0023</t>
  </si>
  <si>
    <t>Contour</t>
  </si>
  <si>
    <t>Ceramic Table Lamp</t>
  </si>
  <si>
    <t>PF002798</t>
  </si>
  <si>
    <t>1/2/2025</t>
  </si>
  <si>
    <t>AMERSIGNDS,HOUZZ,KIRKLANDDS,OLLIIX,TGTDVS</t>
  </si>
  <si>
    <t>MCRW7052</t>
  </si>
  <si>
    <t>9/26/2016</t>
  </si>
  <si>
    <t>10/11/2016</t>
  </si>
  <si>
    <t>BR55-4071</t>
  </si>
  <si>
    <t>ELEC MATT PAD</t>
  </si>
  <si>
    <t>Elect Matt Pad</t>
  </si>
  <si>
    <t>Cool Touch</t>
  </si>
  <si>
    <t>Heated Mattress Pad</t>
  </si>
  <si>
    <t>PP001881;PF005998</t>
  </si>
  <si>
    <t>7/5/2023</t>
  </si>
  <si>
    <t>2/12/2025</t>
  </si>
  <si>
    <t>AMAZON,AMAZONDS,DESINC,JCPENNEY01,KOHLDSN,MACY02,OLLIIX,TGTDVS</t>
  </si>
  <si>
    <t>TCKF1641</t>
  </si>
  <si>
    <t>10/30/2023</t>
  </si>
  <si>
    <t>12/12/2023</t>
  </si>
  <si>
    <t>BR55-4072</t>
  </si>
  <si>
    <t>BR55-4073</t>
  </si>
  <si>
    <t>BR55-4076</t>
  </si>
  <si>
    <t>AMAZON,HDDS,JCPENNEY01,KOHLDSN,MACY02,OVERSTOCK01,TGTDVS</t>
  </si>
  <si>
    <t>ST54-0291</t>
  </si>
  <si>
    <t>Serta</t>
  </si>
  <si>
    <t>Electric Blanket</t>
  </si>
  <si>
    <t>Corded Plush</t>
  </si>
  <si>
    <t>Heated Blanket</t>
  </si>
  <si>
    <t>PP001892;PF006035</t>
  </si>
  <si>
    <t>9/21/2023</t>
  </si>
  <si>
    <t>BLK01,DESINC,JCPENNEY01,KOHLDSN,MACY02,OVERSTOCK01</t>
  </si>
  <si>
    <t>LF10306</t>
  </si>
  <si>
    <t>ST54-0292</t>
  </si>
  <si>
    <t>ST54-0294</t>
  </si>
  <si>
    <t>PP001892;PF006036</t>
  </si>
  <si>
    <t>11/29/2023</t>
  </si>
  <si>
    <t>ST54-0295</t>
  </si>
  <si>
    <t>BLK01,DESINC,JCPENNEY01,KOHLDSN,MACY02,TGTDVS</t>
  </si>
  <si>
    <t>12/20/2023</t>
  </si>
  <si>
    <t>ST54-0286</t>
  </si>
  <si>
    <t>PP001892;PF006034</t>
  </si>
  <si>
    <t>1/18/2024</t>
  </si>
  <si>
    <t>ST54-0288</t>
  </si>
  <si>
    <t>DESINC,JCPENNEY01,KOHLDSN,MACY02,OVERSTOCK01</t>
  </si>
  <si>
    <t>12/2/2023</t>
  </si>
  <si>
    <t>UH95C-0030</t>
  </si>
  <si>
    <t>Cosmic Curl</t>
  </si>
  <si>
    <t>3-piece Framed Canvas Wall Art Set</t>
  </si>
  <si>
    <t>Black/Taupe</t>
  </si>
  <si>
    <t>PP001611</t>
  </si>
  <si>
    <t>2/10/2021</t>
  </si>
  <si>
    <t>HDDS,JCPENNEY01,KIRKLANDDS,OLLIIX,ZOLA</t>
  </si>
  <si>
    <t>UBHB1227</t>
  </si>
  <si>
    <t>2/23/2021</t>
  </si>
  <si>
    <t>3/31/2021</t>
  </si>
  <si>
    <t>BR55-0202</t>
  </si>
  <si>
    <t>Cotton Blend</t>
  </si>
  <si>
    <t>PF003436</t>
  </si>
  <si>
    <t>AMAZON,HDDS,JCPENNEY01,KOHLDSN,OLLIIX,OVERSTOCK01,TGTDVS</t>
  </si>
  <si>
    <t>AAHR1040</t>
  </si>
  <si>
    <t>ID20-696</t>
  </si>
  <si>
    <t>Cotton Blend Jersey Knit</t>
  </si>
  <si>
    <t>All Season Sheet Set</t>
  </si>
  <si>
    <t>PF002200</t>
  </si>
  <si>
    <t>FINGERHUTDS,JCPENNEY01,KOHLDSN,TGTDVS,WALMARTDS</t>
  </si>
  <si>
    <t>EBRD5172</t>
  </si>
  <si>
    <t>ID20-692</t>
  </si>
  <si>
    <t>Dark Grey</t>
  </si>
  <si>
    <t>PF002199</t>
  </si>
  <si>
    <t>AMAZON,AMAZONDS,BLK01,FINGERHUTDS,JCPENNEY01,KOHLDSN,MACY02,TGTDVS</t>
  </si>
  <si>
    <t>1/6/2017</t>
  </si>
  <si>
    <t>ID20-1237</t>
  </si>
  <si>
    <t>PF002204</t>
  </si>
  <si>
    <t>9/9/2017</t>
  </si>
  <si>
    <t>AMAZON,AMAZONDS,FINGERHUTDS,JCPENNEY01,KOHLDSN,MACY02,OVERSTOCK01,TGTDVS</t>
  </si>
  <si>
    <t>8/15/2017</t>
  </si>
  <si>
    <t>11/13/2017</t>
  </si>
  <si>
    <t>ID20-1252</t>
  </si>
  <si>
    <t>AMAZON,FINGERHUTDS,KOHLDSN,MACY02,OVERSTOCK01,TGTDVS</t>
  </si>
  <si>
    <t>7/26/2018</t>
  </si>
  <si>
    <t>11/15/2018</t>
  </si>
  <si>
    <t>ID20-688</t>
  </si>
  <si>
    <t>PF002198</t>
  </si>
  <si>
    <t>AMAZON,JCPENNEY01,KOHLDSN</t>
  </si>
  <si>
    <t>6/20/2016</t>
  </si>
  <si>
    <t>ID20-1250</t>
  </si>
  <si>
    <t>9/28/2017</t>
  </si>
  <si>
    <t>BLK01,KOHLDSN,MACY02,OLLIIX,OVERSTOCK01,TGTDVS</t>
  </si>
  <si>
    <t>10/5/2017</t>
  </si>
  <si>
    <t>11/16/2017</t>
  </si>
  <si>
    <t>WR20-3960</t>
  </si>
  <si>
    <t>Cotton Flannel</t>
  </si>
  <si>
    <t>Black Pine Trees</t>
  </si>
  <si>
    <t>PP000952;PF006050</t>
  </si>
  <si>
    <t>Flannel</t>
  </si>
  <si>
    <t>Novelty</t>
  </si>
  <si>
    <t>7/26/2023</t>
  </si>
  <si>
    <t>AMAZON,JCPENNEY01,KOHLDSN,MACY02,OLLIIX,OVERSTOCK01,TGTDVS</t>
  </si>
  <si>
    <t>WLR1263</t>
  </si>
  <si>
    <t>11/10/2023</t>
  </si>
  <si>
    <t>WR20-3962</t>
  </si>
  <si>
    <t>WR20-2279</t>
  </si>
  <si>
    <t>Blue Sheep</t>
  </si>
  <si>
    <t>PP000952;PF004383</t>
  </si>
  <si>
    <t>8/7/2018</t>
  </si>
  <si>
    <t>AMAZON,AMAZONDS,BLK01,DESINC,FINGERHUTDS,HDDS,JCPENNEY01,KOHLDSN,MACY02,OVERSTOCK01,WALMARTDS</t>
  </si>
  <si>
    <t>9/5/2018</t>
  </si>
  <si>
    <t>WR20-2280</t>
  </si>
  <si>
    <t>PP000952;PF004384</t>
  </si>
  <si>
    <t>AAFESDS,AMAZON,AMAZONDS,BLK01,HDDS,JCPENNEY01,KOHLDSN,MACY02,OVERSTOCK01,WALMARTDS</t>
  </si>
  <si>
    <t>10/29/2018</t>
  </si>
  <si>
    <t>WR20-2031</t>
  </si>
  <si>
    <t>Blue Winter Frost</t>
  </si>
  <si>
    <t>PF002302</t>
  </si>
  <si>
    <t>AMAZON,BLK01,FINGERHUTDS,HDDS,JCPENNEY01,KOHLDSN,MACY02,OLLIIX,OVERSTOCK01</t>
  </si>
  <si>
    <t>WR20-3957</t>
  </si>
  <si>
    <t>Green Tree Trip</t>
  </si>
  <si>
    <t>PP000952;PF006049</t>
  </si>
  <si>
    <t>AMAZON,AMAZONDS,HDDS,KOHLDSN,MACY02,TGTDVS</t>
  </si>
  <si>
    <t>WR20-2283</t>
  </si>
  <si>
    <t>Grey Moose</t>
  </si>
  <si>
    <t>AMAZON,AMAZONDS,BLK01,FINGERHUTDS,HDDS,JCPENNEY01,KOHLDSN,MACY02,OVERSTOCK01</t>
  </si>
  <si>
    <t>11/1/2018</t>
  </si>
  <si>
    <t>WR20-2284</t>
  </si>
  <si>
    <t>AMAZON,FINGERHUTDS,JCPENNEY01,KOHLDSN,MACY02,OLLIIX,OVERSTOCK01,TGTDVS</t>
  </si>
  <si>
    <t>11/7/2018</t>
  </si>
  <si>
    <t>WR20-2047</t>
  </si>
  <si>
    <t>Grey Plaid</t>
  </si>
  <si>
    <t>PF002307</t>
  </si>
  <si>
    <t>AMAZON,AMAZONDS,BLK01,FINGERHUTDS,HDDS,JCPENNEY01,KOHLDSN,MACY02,OLLIIX,OVERSTOCK01</t>
  </si>
  <si>
    <t>WR20-1801</t>
  </si>
  <si>
    <t>Red Plaid</t>
  </si>
  <si>
    <t>PF002273</t>
  </si>
  <si>
    <t>8/29/2017</t>
  </si>
  <si>
    <t>AMAZON,FINGERHUTDS,HDDS,HSNDS,JCPENNEY01,KOHLDSN,MACY02,OLLIIX,OVERSTOCK01</t>
  </si>
  <si>
    <t>9/6/2016</t>
  </si>
  <si>
    <t>10/19/2016</t>
  </si>
  <si>
    <t>WR20-2286</t>
  </si>
  <si>
    <t>Red/Black Buffalo Check</t>
  </si>
  <si>
    <t>PP000952;PF004385</t>
  </si>
  <si>
    <t>AMAZONDS,HDDS,KOHLDSN,MACY02,OLLIIX,OVERSTOCK01,TGTDVS,WALMARTDS</t>
  </si>
  <si>
    <t>10/15/2018</t>
  </si>
  <si>
    <t>WR20-2287</t>
  </si>
  <si>
    <t>AMAZONDS,DESINC,FINGERHUTDS,HDDS,JCPENNEY01,KOHLDSN,MACY02,TGTDVS</t>
  </si>
  <si>
    <t>WR20-2071</t>
  </si>
  <si>
    <t>Tan Cars</t>
  </si>
  <si>
    <t>PF002312</t>
  </si>
  <si>
    <t>AMAZON,AMAZONDS,BLK01,FINGERHUTDS,JCPENNEY01,KOHLDSN,MACY02,OLLIIX</t>
  </si>
  <si>
    <t>11/15/2017</t>
  </si>
  <si>
    <t>WR20-2072</t>
  </si>
  <si>
    <t>AMAZON,BLK01,HDDS,JCPENNEY01,KOHLDSN,MACY02,OVERSTOCK01,TGTDVS,WALMARTDS</t>
  </si>
  <si>
    <t>11/8/2017</t>
  </si>
  <si>
    <t>WR20-2040</t>
  </si>
  <si>
    <t>PF002305</t>
  </si>
  <si>
    <t>AMAZON,BLK01,FINGERHUTDS,HDDS,JCPENNEY01,KOHLDSN,MACY02,OLLIIX,TGTDVS</t>
  </si>
  <si>
    <t>WR20-2041</t>
  </si>
  <si>
    <t>AMAZON,AMAZONDS,BLK01,HDDS,JCPENNEY01,KOHLDSN,MACY02,OVERSTOCK01,TGTDVS,WALMARTDS</t>
  </si>
  <si>
    <t>WR20-2042</t>
  </si>
  <si>
    <t>AMAZON,HDDS,JCPENNEY01,KOHLDSN,MACY02,OVERSTOCK01,WALMARTDS</t>
  </si>
  <si>
    <t>11/14/2017</t>
  </si>
  <si>
    <t>WR20-2038</t>
  </si>
  <si>
    <t>Tan Dog</t>
  </si>
  <si>
    <t>PF002304</t>
  </si>
  <si>
    <t>AMAZONDS,BLK01,JCPENNEY01,KOHLDSN,MACY02,OLLIIX,OVERSTOCK01,TGTDVS,WALMARTDS</t>
  </si>
  <si>
    <t>TN20-0225</t>
  </si>
  <si>
    <t>True North by Sleep Philosophy</t>
  </si>
  <si>
    <t>Cozy Cotton Flannel</t>
  </si>
  <si>
    <t>Printed Sheet Set</t>
  </si>
  <si>
    <t>Aqua French Bulldog</t>
  </si>
  <si>
    <t>PF002289</t>
  </si>
  <si>
    <t>AMAZON,AMAZONDS,DESINC,JCPENNEY01,KOHLDSN,MACY02,OVERSTOCK01,TGTDVS</t>
  </si>
  <si>
    <t>HLDY4705</t>
  </si>
  <si>
    <t>11/26/2019</t>
  </si>
  <si>
    <t>TN20-0226</t>
  </si>
  <si>
    <t>AMAZON,AMAZONDS,KOHLDSN,MACY02,WALMARTDS</t>
  </si>
  <si>
    <t>1/11/2021</t>
  </si>
  <si>
    <t>TN20-0411</t>
  </si>
  <si>
    <t>Bear</t>
  </si>
  <si>
    <t>PP000954;PF004714</t>
  </si>
  <si>
    <t>7/25/2019</t>
  </si>
  <si>
    <t>9/11/2019</t>
  </si>
  <si>
    <t>11/11/2019</t>
  </si>
  <si>
    <t>TN20-0412</t>
  </si>
  <si>
    <t>AMAZON,BLK01,KOHLDSN,MACY02,NRTPORT,TGTDVS</t>
  </si>
  <si>
    <t>11/5/2019</t>
  </si>
  <si>
    <t>TN20-0413</t>
  </si>
  <si>
    <t>AMAZON,BLK01,KOHLDSN,MACY02,NRTPORT,OVERSTOCK01,TGTDVS</t>
  </si>
  <si>
    <t>11/1/2019</t>
  </si>
  <si>
    <t>TN20-0414</t>
  </si>
  <si>
    <t>AMAZON,BLK01,FINGERHUTDS,KOHLDSN,MACY02,OVERSTOCK01,TGTDVS</t>
  </si>
  <si>
    <t>11/4/2019</t>
  </si>
  <si>
    <t>TN20-0383</t>
  </si>
  <si>
    <t>Blue Forest</t>
  </si>
  <si>
    <t>PP000954;PF004392</t>
  </si>
  <si>
    <t>8/29/2018</t>
  </si>
  <si>
    <t>1/17/2025</t>
  </si>
  <si>
    <t>AMAZON,AMAZONDS,FINGERHUTDS,JCPENNEY01,KOHLDSN,MACY02,OVERSTOCK01,WALMARTDS</t>
  </si>
  <si>
    <t>9/10/2018</t>
  </si>
  <si>
    <t>TN20-0386</t>
  </si>
  <si>
    <t>AMAZON,AMAZONDS,HSNDS,JCPENNEY01,KOHLDSN,MACY02,OLLIIX,TGTDVS</t>
  </si>
  <si>
    <t>10/3/2018</t>
  </si>
  <si>
    <t>11/12/2018</t>
  </si>
  <si>
    <t>TN20-0245</t>
  </si>
  <si>
    <t>Blue Geo</t>
  </si>
  <si>
    <t>PF002292</t>
  </si>
  <si>
    <t>AMAZON,AMAZONDS,FINGERHUTDS,JCPENNEY01,KOHLDSN,MACY02,TGTDVS,WALMARTDS</t>
  </si>
  <si>
    <t>11/25/2019</t>
  </si>
  <si>
    <t>TN20-0247</t>
  </si>
  <si>
    <t>11/21/2017</t>
  </si>
  <si>
    <t>TN20-0081</t>
  </si>
  <si>
    <t>Blue Plaid</t>
  </si>
  <si>
    <t>PF002280</t>
  </si>
  <si>
    <t>4/21/2017</t>
  </si>
  <si>
    <t>AMAZON,AMAZONDS,FINGERHUTDS,JCPENNEY01,KOHLDSN,MACY02,OLLIIX,OVERSTOCK01,TGTDVS,WALMARTDS</t>
  </si>
  <si>
    <t>12/4/2018</t>
  </si>
  <si>
    <t>TN20-0085</t>
  </si>
  <si>
    <t>9/8/2017</t>
  </si>
  <si>
    <t>AMAZON,JCPENNEY01,KOHLDSN,MACY02,NRTPORT,TGTDVS,WALMARTDS</t>
  </si>
  <si>
    <t>TN20-0263</t>
  </si>
  <si>
    <t>Blue Polar Bears</t>
  </si>
  <si>
    <t>PF002295</t>
  </si>
  <si>
    <t>AMAZON,AMAZONDS,HSNDS,JCPENNEY01,KOHLDSN,MACY02,OLLIIX,WALMARTDS</t>
  </si>
  <si>
    <t>TN20-0419</t>
  </si>
  <si>
    <t>Blush Dots</t>
  </si>
  <si>
    <t>PP000954;PF004715</t>
  </si>
  <si>
    <t>8/5/2019</t>
  </si>
  <si>
    <t>AMAZON,AMAZONDS,BLK01,KOHLDSN,MACY02</t>
  </si>
  <si>
    <t>11/15/2019</t>
  </si>
  <si>
    <t>TN20-0510</t>
  </si>
  <si>
    <t>Gray Skiers</t>
  </si>
  <si>
    <t>PP000954;PF006047</t>
  </si>
  <si>
    <t>8/30/2023</t>
  </si>
  <si>
    <t>AMAZON,AMAZONDS,BLK01,MACY02,OVERSTOCK01,TGTDVS</t>
  </si>
  <si>
    <t>TN20-0512</t>
  </si>
  <si>
    <t>AMAZON,DESINC,KOHLDSN,MACY02,OVERSTOCK01,TGTDVS</t>
  </si>
  <si>
    <t>2/26/2024</t>
  </si>
  <si>
    <t>TN20-0513</t>
  </si>
  <si>
    <t>12/4/2023</t>
  </si>
  <si>
    <t>TN20-0514</t>
  </si>
  <si>
    <t>AMAZON,AMAZONDS,KOHLDSN,MACY02,NRTPORT,OLLIIX,TGTDVS</t>
  </si>
  <si>
    <t>2/27/2024</t>
  </si>
  <si>
    <t>TN20-0515</t>
  </si>
  <si>
    <t>TN20-0516</t>
  </si>
  <si>
    <t>Gray/Taupe Nordic</t>
  </si>
  <si>
    <t>PP000954;PF006048</t>
  </si>
  <si>
    <t>8/19/2023</t>
  </si>
  <si>
    <t>2/19/2025</t>
  </si>
  <si>
    <t>TN20-0517</t>
  </si>
  <si>
    <t>AMAZON,AMAZONDS,JCPENNEY01</t>
  </si>
  <si>
    <t>TN20-0519</t>
  </si>
  <si>
    <t>8/22/2023</t>
  </si>
  <si>
    <t>AMAZON,AMAZONDS,JCPENNEY01,OLLIIX</t>
  </si>
  <si>
    <t>11/7/2023</t>
  </si>
  <si>
    <t>TN20-0377</t>
  </si>
  <si>
    <t>Grey Dogs</t>
  </si>
  <si>
    <t>PP000954;PF004390</t>
  </si>
  <si>
    <t>AMAZON,AMAZONDS,JCPENNEY01,KOHLDSN,MACY02,NRTPORT,TGTDVS,WALMARTDS</t>
  </si>
  <si>
    <t>9/11/2018</t>
  </si>
  <si>
    <t>TN20-0379</t>
  </si>
  <si>
    <t>AMAZON,AMAZONDS,FINGERHUTDS,KOHLDSN,MACY02,TGTDVS,WALMARTDS</t>
  </si>
  <si>
    <t>TN20-0380</t>
  </si>
  <si>
    <t>AMAZON,AMAZONDS,JCPENNEY01,KOHLDSN,MACY02,NRTPORT,OLLIIX,TGTDVS</t>
  </si>
  <si>
    <t>TN20-0381</t>
  </si>
  <si>
    <t>AMAZONDS,FINGERHUTDS,KOHLDSN,MACY02,WALMARTDS</t>
  </si>
  <si>
    <t>TN20-0353</t>
  </si>
  <si>
    <t>Grey Dots</t>
  </si>
  <si>
    <t>PP000954;PF004387</t>
  </si>
  <si>
    <t>Polka Dots</t>
  </si>
  <si>
    <t>AMAZON,AMAZONDS,KOHLDSN,NRTPORT,OVERSTOCK01,TGTDVS</t>
  </si>
  <si>
    <t>10/7/2018</t>
  </si>
  <si>
    <t>TN20-0357</t>
  </si>
  <si>
    <t>AMAZON,AMAZONDS,JCPENNEY01,KOHLDSN,MACY02,NRTPORT,OLLIIX,TGTDVS,WALMARTDS</t>
  </si>
  <si>
    <t>1/17/2020</t>
  </si>
  <si>
    <t>TN20-0239</t>
  </si>
  <si>
    <t>Grey Geo</t>
  </si>
  <si>
    <t>PF002291</t>
  </si>
  <si>
    <t>AMAZON,AMAZONDS,JCPENNEY01,KOHLDSN,MACY02,OVERSTOCK01,TGTDVS,WALMARTDS</t>
  </si>
  <si>
    <t>11/20/2017</t>
  </si>
  <si>
    <t>TN20-0241</t>
  </si>
  <si>
    <t>AMAZON,JCPENNEY01,KOHLDSN,MACY02,OVERSTOCK01,TGTDVS,WALMARTDS</t>
  </si>
  <si>
    <t>TN20-0244</t>
  </si>
  <si>
    <t>AMAZON,BLK01,JCPENNEY01,KOHLDSN,TGTDVS</t>
  </si>
  <si>
    <t>TN20-0367</t>
  </si>
  <si>
    <t>Grey Penguins</t>
  </si>
  <si>
    <t>PP000954;PF004389</t>
  </si>
  <si>
    <t>AMAZON,AMAZONDS,KOHLDSN,MACY02,OVERSTOCK01,TGTDVS</t>
  </si>
  <si>
    <t>10/10/2018</t>
  </si>
  <si>
    <t>TN20-0368</t>
  </si>
  <si>
    <t>AMAZON,AMAZONDS,BLK01,JCPENNEY01,KOHLDSN,MACY02,TGTDVS</t>
  </si>
  <si>
    <t>TN20-0369</t>
  </si>
  <si>
    <t>AMAZON,AMAZONDS,BLK01,FINGERHUTDS,JCPENNEY01,KOHLDSN,MACY02,NRTPORT,TGTDVS,WALMARTDS</t>
  </si>
  <si>
    <t>11/6/2018</t>
  </si>
  <si>
    <t>TN20-0106</t>
  </si>
  <si>
    <t>Grey Solid</t>
  </si>
  <si>
    <t>PF002287</t>
  </si>
  <si>
    <t>AMAZON,AMAZONDS,FINGERHUTDS,JCPENNEY01,KOHLDSN,MACY02,WALMARTDS</t>
  </si>
  <si>
    <t>9/20/2016</t>
  </si>
  <si>
    <t>9/20/2018</t>
  </si>
  <si>
    <t>TN20-0107</t>
  </si>
  <si>
    <t>AMAZON,JCPENNEY01,KOHLDSN,MACY02,OVERSTOCK01,WALMARTDS</t>
  </si>
  <si>
    <t>9/19/2018</t>
  </si>
  <si>
    <t>TN20-0109</t>
  </si>
  <si>
    <t>10/5/2018</t>
  </si>
  <si>
    <t>TN20-0111</t>
  </si>
  <si>
    <t>Ivory Solid</t>
  </si>
  <si>
    <t>PF002286</t>
  </si>
  <si>
    <t>9/20/2017</t>
  </si>
  <si>
    <t>AMAZON,AMAZONDS,BLK01,FINGERHUTDS,KOHLDSN,MACY02,WALMARTDS</t>
  </si>
  <si>
    <t>9/24/2018</t>
  </si>
  <si>
    <t>TN20-0115</t>
  </si>
  <si>
    <t>TN20-0269</t>
  </si>
  <si>
    <t>Multi Forest Animals</t>
  </si>
  <si>
    <t>PF002296</t>
  </si>
  <si>
    <t>AMAZON,AMAZONDS,FINGERHUTDS,JCPENNEY01,KOHLDSN,MACY02,OLLIIX,TGTDVS,WALMARTDS</t>
  </si>
  <si>
    <t>9/21/2018</t>
  </si>
  <si>
    <t>TN20-0254</t>
  </si>
  <si>
    <t>Multi Leaves</t>
  </si>
  <si>
    <t>PF002294</t>
  </si>
  <si>
    <t>10/6/2017</t>
  </si>
  <si>
    <t>TN20-0227</t>
  </si>
  <si>
    <t>Pink French Bulldog</t>
  </si>
  <si>
    <t>PF002290</t>
  </si>
  <si>
    <t>AMAZON,AMAZONDS,DESINC,FINGERHUTDS,JCPENNEY01,KOHLDSN,MACY02,OVERSTOCK01,TGTDVS</t>
  </si>
  <si>
    <t>1/11/2019</t>
  </si>
  <si>
    <t>TN20-0228</t>
  </si>
  <si>
    <t>AMAZON,AMAZONDS,BLK01,DESINC,JCPENNEY01,KOHLDSN,TGTDVS</t>
  </si>
  <si>
    <t>1/29/2019</t>
  </si>
  <si>
    <t>TN20-0229</t>
  </si>
  <si>
    <t>AMAZON,AMAZONDS,KOHLDSN,MACY02,TGTDVS,WALMARTDS</t>
  </si>
  <si>
    <t>11/22/2017</t>
  </si>
  <si>
    <t>TN20-0231</t>
  </si>
  <si>
    <t>AMAZON,AMAZONDS,BLK01,JCPENNEY01,KOHLDSN,MACY02,NRTPORT,TGTDVS</t>
  </si>
  <si>
    <t>6/17/2020</t>
  </si>
  <si>
    <t>TN20-0275</t>
  </si>
  <si>
    <t>Pink Plaid</t>
  </si>
  <si>
    <t>PF002297</t>
  </si>
  <si>
    <t>AMAZON,AMAZONDS,BLK01,FINGERHUTDS,KOHLDSN,MACY02,TGTDVS</t>
  </si>
  <si>
    <t>TN20-0276</t>
  </si>
  <si>
    <t>AMAZON,AMAZONDS,JCPENNEY01,KOHLDSN,MACY02,TGTDVS,WALMARTDS</t>
  </si>
  <si>
    <t>TN20-0080</t>
  </si>
  <si>
    <t>PF002279</t>
  </si>
  <si>
    <t>AMAZON,JCPENNEY01,KOHLDSN,MACY02,TGTDVS,WALMARTDS</t>
  </si>
  <si>
    <t>12/27/2016</t>
  </si>
  <si>
    <t>TN20-0408</t>
  </si>
  <si>
    <t>Seafoam Llama</t>
  </si>
  <si>
    <t>PP000954;PF004713</t>
  </si>
  <si>
    <t>AMAZON,AMAZONDS,BLK01,KOHLDSN,MACY02,NRTPORT</t>
  </si>
  <si>
    <t>10/31/2019</t>
  </si>
  <si>
    <t>TN20-0072</t>
  </si>
  <si>
    <t>PF002278</t>
  </si>
  <si>
    <t>AMAZON,BLK01,DESINC,FINGERHUTDS,HSNDS,JCPENNEY01,KOHLDSN,MACY02,OVERSTOCK01,TGTDVS</t>
  </si>
  <si>
    <t>TN20-0075</t>
  </si>
  <si>
    <t>5/5/2017</t>
  </si>
  <si>
    <t>12/15/2016</t>
  </si>
  <si>
    <t>TN20-0116</t>
  </si>
  <si>
    <t>Tan Solid</t>
  </si>
  <si>
    <t>PF002285</t>
  </si>
  <si>
    <t>6/15/2018</t>
  </si>
  <si>
    <t>TN20-0120</t>
  </si>
  <si>
    <t>10/14/2018</t>
  </si>
  <si>
    <t>TN20-0061</t>
  </si>
  <si>
    <t>Tan/Blue Snowflakes</t>
  </si>
  <si>
    <t>PF002276</t>
  </si>
  <si>
    <t>AMAZON,AMAZONDS,DESINC,FINGERHUTDS,KOHLDSN,MACY02,OLLIIX,OVERSTOCK01</t>
  </si>
  <si>
    <t>TN20-0062</t>
  </si>
  <si>
    <t>10/10/2016</t>
  </si>
  <si>
    <t>ID20-1557</t>
  </si>
  <si>
    <t>Cozy Soft</t>
  </si>
  <si>
    <t>Cotton Flannel Printed Sheet Set</t>
  </si>
  <si>
    <t>Grey/Pink Dots</t>
  </si>
  <si>
    <t>PP000944;PF004357</t>
  </si>
  <si>
    <t>6/21/2018</t>
  </si>
  <si>
    <t>AMAZON,AMAZONDS,BLK01,JCPENNEY01,KOHLDSN,MACY02,OVERSTOCK01,TGTDVS,WALMARTDS</t>
  </si>
  <si>
    <t>JLZL1042</t>
  </si>
  <si>
    <t>7/24/2018</t>
  </si>
  <si>
    <t>12/30/2020</t>
  </si>
  <si>
    <t>ID20-1534</t>
  </si>
  <si>
    <t>Pink Llamas</t>
  </si>
  <si>
    <t>PP000944;PF004351</t>
  </si>
  <si>
    <t>8/27/2018</t>
  </si>
  <si>
    <t>ID20-1754</t>
  </si>
  <si>
    <t>Teal Dogs</t>
  </si>
  <si>
    <t>PP000944;PF004718</t>
  </si>
  <si>
    <t>IIF18-0054</t>
  </si>
  <si>
    <t>Crackle</t>
  </si>
  <si>
    <t>PF000207;PP000022</t>
  </si>
  <si>
    <t>HDDS,HOUZZ,OLLIIX,ROOMECOM</t>
  </si>
  <si>
    <t>MITN1468</t>
  </si>
  <si>
    <t>6/13/2016</t>
  </si>
  <si>
    <t>IIF20-0050</t>
  </si>
  <si>
    <t>PF000225;PP000022</t>
  </si>
  <si>
    <t>12/8/2024</t>
  </si>
  <si>
    <t>ASHFURNDS,MACY02F,OLLIIX,OVERSTOCK01</t>
  </si>
  <si>
    <t>MITN1465</t>
  </si>
  <si>
    <t>4/19/2016</t>
  </si>
  <si>
    <t>MP95B-0231</t>
  </si>
  <si>
    <t>Wall Decor</t>
  </si>
  <si>
    <t>Damask Wood Panel</t>
  </si>
  <si>
    <t>Two-tone Geometric Wall Decor</t>
  </si>
  <si>
    <t>Wood</t>
  </si>
  <si>
    <t>PP001412;PF004958</t>
  </si>
  <si>
    <t>Global</t>
  </si>
  <si>
    <t>10/2/2019</t>
  </si>
  <si>
    <t>AMAZON,DESINC,KIRKLANDDS,KOHLDSN,LAMPDS,MACY02,OLLIIX,TGTDVS</t>
  </si>
  <si>
    <t>NCWA1734</t>
  </si>
  <si>
    <t>12/3/2019</t>
  </si>
  <si>
    <t>1/9/2020</t>
  </si>
  <si>
    <t>ID10-176</t>
  </si>
  <si>
    <t>Daryl</t>
  </si>
  <si>
    <t>Chet</t>
  </si>
  <si>
    <t>PF001601</t>
  </si>
  <si>
    <t>HDDS,KOHLDSN,MACY02,OVERSTOCK01</t>
  </si>
  <si>
    <t>THRE7493</t>
  </si>
  <si>
    <t>ID10-177</t>
  </si>
  <si>
    <t>BLK01,KOHLDSN,MACY02,OLLIIX,OVERSTOCK01</t>
  </si>
  <si>
    <t>1/22/2015</t>
  </si>
  <si>
    <t>ID10-501</t>
  </si>
  <si>
    <t>BLK01,DESINC,HDDS,KOHLDSN,MACY02</t>
  </si>
  <si>
    <t>9/14/2015</t>
  </si>
  <si>
    <t>MP10-6868</t>
  </si>
  <si>
    <t>Dawn</t>
  </si>
  <si>
    <t>Vanessa</t>
  </si>
  <si>
    <t>Stella</t>
  </si>
  <si>
    <t>9 Piece Cotton Percale Comforter Set</t>
  </si>
  <si>
    <t>PP000407;PF004981</t>
  </si>
  <si>
    <t>9</t>
  </si>
  <si>
    <t>Shabby Chic|Transitional</t>
  </si>
  <si>
    <t>BLK01,JCPENNEY01,KOHLDSN,MACY02,NRTPORT,OVERSTOCK01</t>
  </si>
  <si>
    <t>ATGR7043</t>
  </si>
  <si>
    <t>1/16/2020</t>
  </si>
  <si>
    <t>2/7/2020</t>
  </si>
  <si>
    <t>MT104-0141</t>
  </si>
  <si>
    <t>Delaney</t>
  </si>
  <si>
    <t>25" Upholstered Counter Stool</t>
  </si>
  <si>
    <t>5/17/2022</t>
  </si>
  <si>
    <t>1/7/2025</t>
  </si>
  <si>
    <t>AMAZONDS,OLLIIX</t>
  </si>
  <si>
    <t>MSTT5301</t>
  </si>
  <si>
    <t>7/21/2022</t>
  </si>
  <si>
    <t>II95C-0150</t>
  </si>
  <si>
    <t>Desert Serenity</t>
  </si>
  <si>
    <t>Hand Embellished Abstract 2-piece Framed Canvas Wall Art Set</t>
  </si>
  <si>
    <t>PP001871</t>
  </si>
  <si>
    <t>4/13/2023</t>
  </si>
  <si>
    <t>AMAZON,KIRKLANDDS,OLLIIX,TGTDVS</t>
  </si>
  <si>
    <t>IKIY1121</t>
  </si>
  <si>
    <t>9/20/2023</t>
  </si>
  <si>
    <t>MP70-8302</t>
  </si>
  <si>
    <t>Donovan</t>
  </si>
  <si>
    <t>Blaine</t>
  </si>
  <si>
    <t>Perry</t>
  </si>
  <si>
    <t>Embroidered Shower Curtain</t>
  </si>
  <si>
    <t>PP000411;PF006063</t>
  </si>
  <si>
    <t>8/24/2023</t>
  </si>
  <si>
    <t>AMAZON,DESINC,HDDS,KOHLDSN,MACY02,OLLIIX,OVERSTOCK01,TGTDVS</t>
  </si>
  <si>
    <t>ASTG4915</t>
  </si>
  <si>
    <t>10/5/2023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</si>
  <si>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</si>
  <si>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</si>
  <si>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</si>
  <si>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</si>
  <si>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</si>
  <si>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</si>
  <si>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</si>
  <si>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10/16/2018</t>
  </si>
  <si>
    <t>AMAZON,AMAZONDS,DESINC,MACY02</t>
  </si>
  <si>
    <t>JLZL1058</t>
  </si>
  <si>
    <t>10/18/2018</t>
  </si>
  <si>
    <t>ID12-1593</t>
  </si>
  <si>
    <t>Floral Print Duvet Cover Set</t>
  </si>
  <si>
    <t>Close-out</t>
  </si>
  <si>
    <t>PF004478;PP001844</t>
  </si>
  <si>
    <t>JLZL1059</t>
  </si>
  <si>
    <t>BR51-4441</t>
  </si>
  <si>
    <t>Dream Soft</t>
  </si>
  <si>
    <t>PP001948;PF006208</t>
  </si>
  <si>
    <t>3/6/2024</t>
  </si>
  <si>
    <t>TCKF1648</t>
  </si>
  <si>
    <t>BR51-4442</t>
  </si>
  <si>
    <t>4/29/2024</t>
  </si>
  <si>
    <t>BR51-4446</t>
  </si>
  <si>
    <t>Navy Blue</t>
  </si>
  <si>
    <t>PP001948;PF006210</t>
  </si>
  <si>
    <t>KOHLDSN,MACY02,OVERSTOCK01</t>
  </si>
  <si>
    <t>BR51-4443</t>
  </si>
  <si>
    <t>PP001948;PF006209</t>
  </si>
  <si>
    <t>3/5/2024</t>
  </si>
  <si>
    <t>8/15/2024</t>
  </si>
  <si>
    <t>BR51-4445</t>
  </si>
  <si>
    <t>5/31/2024</t>
  </si>
  <si>
    <t>BR51-4437</t>
  </si>
  <si>
    <t>PP001948;PF006207</t>
  </si>
  <si>
    <t>BR51-4438</t>
  </si>
  <si>
    <t>BR51-4439</t>
  </si>
  <si>
    <t>II95G-0156</t>
  </si>
  <si>
    <t>Dreaming</t>
  </si>
  <si>
    <t>Abstract Landscape Diptych 2-Piece Framed Glass Wall Art Set</t>
  </si>
  <si>
    <t>Blue/Multi</t>
  </si>
  <si>
    <t>KIRKLANDDS,MACY02,OLLIIX,OVERSTOCK01,TGTDVS,ZOLA</t>
  </si>
  <si>
    <t>IKIY1145</t>
  </si>
  <si>
    <t>10/19/2023</t>
  </si>
  <si>
    <t>3/1/2024</t>
  </si>
  <si>
    <t>MP10-7633</t>
  </si>
  <si>
    <t>Duke</t>
  </si>
  <si>
    <t>York</t>
  </si>
  <si>
    <t>Faux Fur Comforter Mini Set</t>
  </si>
  <si>
    <t>PP000412;PF004332</t>
  </si>
  <si>
    <t>8/4/2021</t>
  </si>
  <si>
    <t>AMAZONDS,FINGERHUTDS,HDDS,KOHLDSN,MACY02,NRTPORT,OVERSTOCK01,TGTDVS</t>
  </si>
  <si>
    <t>WRLO7366</t>
  </si>
  <si>
    <t>8/17/2021</t>
  </si>
  <si>
    <t>11/24/2021</t>
  </si>
  <si>
    <t>MP30-2997</t>
  </si>
  <si>
    <t>Other Pillows</t>
  </si>
  <si>
    <t>Faux Fur Square Pillow</t>
  </si>
  <si>
    <t>PF003536;PP000412</t>
  </si>
  <si>
    <t>ASHFURNDS,HDDS,JCPENNEY01,KOHLDSN,MACY02,NRTPORT,WALMARTDS</t>
  </si>
  <si>
    <t>MRCR5883</t>
  </si>
  <si>
    <t>9/1/2016</t>
  </si>
  <si>
    <t>MP30-4963</t>
  </si>
  <si>
    <t>PF003568</t>
  </si>
  <si>
    <t>8/18/2017</t>
  </si>
  <si>
    <t>ASHFURNDS,JCPENNEY01,KOHLDSN,MACY02</t>
  </si>
  <si>
    <t>8/23/2017</t>
  </si>
  <si>
    <t>9/1/2017</t>
  </si>
  <si>
    <t>MP10-190</t>
  </si>
  <si>
    <t>Dune</t>
  </si>
  <si>
    <t>Meyers</t>
  </si>
  <si>
    <t>Connell</t>
  </si>
  <si>
    <t>PF001364;PP000413</t>
  </si>
  <si>
    <t>RDBL5119</t>
  </si>
  <si>
    <t>MP40-7799</t>
  </si>
  <si>
    <t>Eastfield</t>
  </si>
  <si>
    <t>Lyndon</t>
  </si>
  <si>
    <t>Wren</t>
  </si>
  <si>
    <t>Bamboo Light Filtering Roman Shade 64"L</t>
  </si>
  <si>
    <t>Natural Ash</t>
  </si>
  <si>
    <t>PP001722;PF005636</t>
  </si>
  <si>
    <t>Bamboo</t>
  </si>
  <si>
    <t>4/5/2022</t>
  </si>
  <si>
    <t>NCWA2285</t>
  </si>
  <si>
    <t>4/17/2022</t>
  </si>
  <si>
    <t>MP40-7809</t>
  </si>
  <si>
    <t>Teak</t>
  </si>
  <si>
    <t>PP001722;PF005638</t>
  </si>
  <si>
    <t>5/31/2022</t>
  </si>
  <si>
    <t>BR54-0194</t>
  </si>
  <si>
    <t>Electric Micro Fleece</t>
  </si>
  <si>
    <t>PF003414</t>
  </si>
  <si>
    <t>Fleece</t>
  </si>
  <si>
    <t>AAFESDS,AMAZON,KOHLDSN,MACY02,TGTDVS,WALMARTDS</t>
  </si>
  <si>
    <t>BTY1023</t>
  </si>
  <si>
    <t>12/31/2015</t>
  </si>
  <si>
    <t>2/2/2015</t>
  </si>
  <si>
    <t>MP50-3254</t>
  </si>
  <si>
    <t>Elma</t>
  </si>
  <si>
    <t>Celia</t>
  </si>
  <si>
    <t>Oversized Textured Plush Throw</t>
  </si>
  <si>
    <t>PF003441</t>
  </si>
  <si>
    <t>4/15/2017</t>
  </si>
  <si>
    <t>THRE8265</t>
  </si>
  <si>
    <t>8/12/2016</t>
  </si>
  <si>
    <t>MP50-3253</t>
  </si>
  <si>
    <t>PF003440</t>
  </si>
  <si>
    <t>FINGERHUTDS,JCPENNEY01,KOHLDSN,MACY02,OLLIIX</t>
  </si>
  <si>
    <t>10/5/2016</t>
  </si>
  <si>
    <t>MP50-3255</t>
  </si>
  <si>
    <t>PF003442</t>
  </si>
  <si>
    <t>BLK01,FINGERHUTDS,JCPENNEY01,KOHLDSN,MACY02,OLLIIX</t>
  </si>
  <si>
    <t>MP50-3252</t>
  </si>
  <si>
    <t>PF003439</t>
  </si>
  <si>
    <t>ASHFURNDS,FINGERHUTDS,JCPENNEY01,KOHLDSN,MACY02,TGTDVS</t>
  </si>
  <si>
    <t>MP40-8332</t>
  </si>
  <si>
    <t>Emilia</t>
  </si>
  <si>
    <t>Natalie</t>
  </si>
  <si>
    <t>Lillian</t>
  </si>
  <si>
    <t>Twist Tab Lined Window Curtain Panel</t>
  </si>
  <si>
    <t>50x120"</t>
  </si>
  <si>
    <t>PP001164;PF006098</t>
  </si>
  <si>
    <t>11/15/2023</t>
  </si>
  <si>
    <t>FMFC1009</t>
  </si>
  <si>
    <t>MP40-6368</t>
  </si>
  <si>
    <t>Twist Tab Total Blackout Window Curtain Panel</t>
  </si>
  <si>
    <t>50x84" Blackout</t>
  </si>
  <si>
    <t>Champagne</t>
  </si>
  <si>
    <t>PF003964</t>
  </si>
  <si>
    <t>6/26/2019</t>
  </si>
  <si>
    <t>AMAZON,ASHFURNDS,BLK01,DESINC,FINGERHUTDS,JCPENNEY01,KOHLDSN,OVERSTOCK01</t>
  </si>
  <si>
    <t>NCWA1609</t>
  </si>
  <si>
    <t>8/1/2019</t>
  </si>
  <si>
    <t>8/20/2019</t>
  </si>
  <si>
    <t>MP40-6369</t>
  </si>
  <si>
    <t>50x95" Blackout</t>
  </si>
  <si>
    <t>AMAZON,AMAZONDS,BLK01,DESINC,HDDS,JCPENNEY01,KOHLDSN,LOWESDS</t>
  </si>
  <si>
    <t>MP40-6559</t>
  </si>
  <si>
    <t>PP001164;PF004762</t>
  </si>
  <si>
    <t>7/27/2019</t>
  </si>
  <si>
    <t>MP40-6318</t>
  </si>
  <si>
    <t>PP001164;PF004653</t>
  </si>
  <si>
    <t>5/9/2019</t>
  </si>
  <si>
    <t>FINGERHUTDS,JCPENNEY01</t>
  </si>
  <si>
    <t>6/5/2019</t>
  </si>
  <si>
    <t>7/30/2019</t>
  </si>
  <si>
    <t>MP40-6329</t>
  </si>
  <si>
    <t>PP001164;PF004651</t>
  </si>
  <si>
    <t>7/12/2019</t>
  </si>
  <si>
    <t>MP41-6330</t>
  </si>
  <si>
    <t>Lightweight Faux Silk Valance With Beads</t>
  </si>
  <si>
    <t>50x26"</t>
  </si>
  <si>
    <t>AMAZON,HOUZZ,JCPENNEY01,KOHLDSN</t>
  </si>
  <si>
    <t>CHRL5756</t>
  </si>
  <si>
    <t>6/4/2019</t>
  </si>
  <si>
    <t>MP40-8259</t>
  </si>
  <si>
    <t>Twist Tab Lined Window Curtain Panel Pair</t>
  </si>
  <si>
    <t>PF003958</t>
  </si>
  <si>
    <t>9/27/2023</t>
  </si>
  <si>
    <t>AMAZON,KOHLDSN,OVERSTOCK01</t>
  </si>
  <si>
    <t>NCWA2529</t>
  </si>
  <si>
    <t>10/4/2023</t>
  </si>
  <si>
    <t>MP40-6366</t>
  </si>
  <si>
    <t>AMAZON,BLK01,DESINC,FINGERHUTDS,JCPENNEY01,KOHLDSN,OVERSTOCK01</t>
  </si>
  <si>
    <t>8/13/2019</t>
  </si>
  <si>
    <t>MP40-6367</t>
  </si>
  <si>
    <t>AMAZON,ASHFURNDS,BLK01,DESINC,FINGERHUTDS,LOWESDS</t>
  </si>
  <si>
    <t>MP104-1119</t>
  </si>
  <si>
    <t>Emmett</t>
  </si>
  <si>
    <t>Janet</t>
  </si>
  <si>
    <t>Cheryl</t>
  </si>
  <si>
    <t>25.75" Swivel Counter Stool</t>
  </si>
  <si>
    <t>10/13/2021</t>
  </si>
  <si>
    <t>AMAZONDS,AMERSIGNDS,HDDS,HOUZZ,KIRKLANDDS,KOHLDSN,MACY02F,OLLIIX</t>
  </si>
  <si>
    <t>RBSD7762</t>
  </si>
  <si>
    <t>10/26/2021</t>
  </si>
  <si>
    <t>11/11/2021</t>
  </si>
  <si>
    <t>MP104-0943</t>
  </si>
  <si>
    <t>2/6/2020</t>
  </si>
  <si>
    <t>AMAZONDS,JCPENNEY01,KOHLDSN,LAMPDS,MACY02F,OLLIIX,OVERSTOCK01</t>
  </si>
  <si>
    <t>2/13/2020</t>
  </si>
  <si>
    <t>MP40-6750</t>
  </si>
  <si>
    <t>Englewood</t>
  </si>
  <si>
    <t>Oslow</t>
  </si>
  <si>
    <t>Lincoln</t>
  </si>
  <si>
    <t>Solid Piece Dyed Grommet Top Curtain Panel</t>
  </si>
  <si>
    <t>50x63"</t>
  </si>
  <si>
    <t>PP001398;PF004938</t>
  </si>
  <si>
    <t>10/15/2019</t>
  </si>
  <si>
    <t>JCPENNEY01,KOHLDSN,OVERSTOCK01,WALMARTDS</t>
  </si>
  <si>
    <t>NCWA1709</t>
  </si>
  <si>
    <t>11/21/2019</t>
  </si>
  <si>
    <t>6/8/2020</t>
  </si>
  <si>
    <t>MP40-6751</t>
  </si>
  <si>
    <t>JCPENNEY01,KOHLDSN,OVERSTOCK01,TGTDVS,WALMARTDS</t>
  </si>
  <si>
    <t>MP40-6752</t>
  </si>
  <si>
    <t>ASHFURNDS,JCPENNEY01,KOHLDSN,OVERSTOCK01</t>
  </si>
  <si>
    <t>7/27/2020</t>
  </si>
  <si>
    <t>ID10-1942</t>
  </si>
  <si>
    <t>Felicia</t>
  </si>
  <si>
    <t>Isabel</t>
  </si>
  <si>
    <t>Alyssa</t>
  </si>
  <si>
    <t>Velvet Comforter Set with Throw Pillow</t>
  </si>
  <si>
    <t>PP001091;PF005199</t>
  </si>
  <si>
    <t>AMAZON,HDDS,KOHLDSN,MACY02,NRTPORT,OVERSTOCK01,TGTDVS</t>
  </si>
  <si>
    <t>HSHM2689</t>
  </si>
  <si>
    <t>9/28/2020</t>
  </si>
  <si>
    <t>10/26/2020</t>
  </si>
  <si>
    <t>ID12-1944</t>
  </si>
  <si>
    <t>Velvet Duvet Cover Set with Throw Pillow</t>
  </si>
  <si>
    <t>HSHM2690</t>
  </si>
  <si>
    <t>11/18/2020</t>
  </si>
  <si>
    <t>ID12-2159</t>
  </si>
  <si>
    <t>PP001091;PF005800</t>
  </si>
  <si>
    <t>1/29/2025</t>
  </si>
  <si>
    <t>AMAZONDS,JCPENNEY01,OLLIIX,OVERSTOCK01</t>
  </si>
  <si>
    <t>10/4/2022</t>
  </si>
  <si>
    <t>3/6/2023</t>
  </si>
  <si>
    <t>ID12-2161</t>
  </si>
  <si>
    <t>AMAZONDS,KOHLDSN,NRTPORT,TGTDVS</t>
  </si>
  <si>
    <t>ID12-1782</t>
  </si>
  <si>
    <t>PP001091;PF004575</t>
  </si>
  <si>
    <t>8/7/2019</t>
  </si>
  <si>
    <t>10/8/2019</t>
  </si>
  <si>
    <t>10/18/2019</t>
  </si>
  <si>
    <t>ID10-2400</t>
  </si>
  <si>
    <t>PP001091;PF006267</t>
  </si>
  <si>
    <t>6/20/2024</t>
  </si>
  <si>
    <t>1/24/2025</t>
  </si>
  <si>
    <t>AMAZON,AMAZONDS,HDDS,KOHLDSN,MACY02,NRTPORT,OLLIIX,TGTDVS</t>
  </si>
  <si>
    <t>8/9/2024</t>
  </si>
  <si>
    <t>8/29/2024</t>
  </si>
  <si>
    <t>ID10-2412</t>
  </si>
  <si>
    <t>PP001091;PF006269</t>
  </si>
  <si>
    <t>AMAZON,KOHLDSN,MACY02,OVERSTOCK01,TGTDVS</t>
  </si>
  <si>
    <t>8/13/2024</t>
  </si>
  <si>
    <t>ID10-2414</t>
  </si>
  <si>
    <t>ID12-1793</t>
  </si>
  <si>
    <t>PP001091;PF004858</t>
  </si>
  <si>
    <t>9/27/2019</t>
  </si>
  <si>
    <t>AMAZON,AMAZONDS,KOHLDSN,MACY02,OLLIIX</t>
  </si>
  <si>
    <t>10/29/2019</t>
  </si>
  <si>
    <t>ID12-1973</t>
  </si>
  <si>
    <t>3/3/2021</t>
  </si>
  <si>
    <t>AMAZON,KOHLDSN,NRTPORT,OVERSTOCK01</t>
  </si>
  <si>
    <t>3/5/2021</t>
  </si>
  <si>
    <t>ID10-1661</t>
  </si>
  <si>
    <t>PP001091;PF004576</t>
  </si>
  <si>
    <t>3/14/2019</t>
  </si>
  <si>
    <t>AMAZONDS,DESINC,FINGERHUTDS,HDDS,JCPENNEY01,KOHLDSN,MACY02,NRTPORT,OLLIIX,OVERSTOCK01,TGTDVS</t>
  </si>
  <si>
    <t>3/20/2019</t>
  </si>
  <si>
    <t>ID10-2406</t>
  </si>
  <si>
    <t>PP001091;PF006268</t>
  </si>
  <si>
    <t>8/21/2024</t>
  </si>
  <si>
    <t>ID10-1905</t>
  </si>
  <si>
    <t>PP001091;PF005084</t>
  </si>
  <si>
    <t>5/15/2020</t>
  </si>
  <si>
    <t>AMAZONDS,FINGERHUTDS,KOHLDSN,NRTPORT,TGTDVS</t>
  </si>
  <si>
    <t>5/18/2020</t>
  </si>
  <si>
    <t>ID12-1908</t>
  </si>
  <si>
    <t>FINGERHUTDS,JCPENNEY01,KOHLDSN,MACY02,TGTDVS</t>
  </si>
  <si>
    <t>ST54-0133</t>
  </si>
  <si>
    <t>Fleece to Sherpa</t>
  </si>
  <si>
    <t>FINGERHUTDS,JCPENNEY01,KOHLDSN,MACY02,OVERSTOCK01</t>
  </si>
  <si>
    <t>XS10653</t>
  </si>
  <si>
    <t>Tier 1-S</t>
  </si>
  <si>
    <t>7/30/2021</t>
  </si>
  <si>
    <t>10/1/2021</t>
  </si>
  <si>
    <t>ST54-0134</t>
  </si>
  <si>
    <t>BLK01,FINGERHUTDS,HDDS,JCPENNEY01,KOHLDSN,MACY02,OLLIIX,OVERSTOCK01</t>
  </si>
  <si>
    <t>8/16/2021</t>
  </si>
  <si>
    <t>ST54-0135</t>
  </si>
  <si>
    <t>BLK01,DESINC,FINGERHUTDS,JCPENNEY01,KOHLDSN,MACY02,OLLIIX,OVERSTOCK01</t>
  </si>
  <si>
    <t>10/4/2021</t>
  </si>
  <si>
    <t>ST54-0136</t>
  </si>
  <si>
    <t>BLK01,DESINC,FINGERHUTDS,JCPENNEY01,KOHLDSN,MACY02,OLLIIX,OVERSTOCK01,TGTDVS</t>
  </si>
  <si>
    <t>9/3/2021</t>
  </si>
  <si>
    <t>ST54-0141</t>
  </si>
  <si>
    <t>FINGERHUTDS,JCPENNEY01,KOHLDSN,MACY02,OLLIIX,OVERSTOCK01</t>
  </si>
  <si>
    <t>8/24/2021</t>
  </si>
  <si>
    <t>ST54-0142</t>
  </si>
  <si>
    <t>9/10/2021</t>
  </si>
  <si>
    <t>ST54-0143</t>
  </si>
  <si>
    <t>BLK01,DESINC,FINGERHUTDS,JCPENNEY01,KOHLDSN,MACY02,OLLIIX,OVERSTOCK01,WALMARTDS</t>
  </si>
  <si>
    <t>ST54-0106</t>
  </si>
  <si>
    <t>2/16/2021</t>
  </si>
  <si>
    <t>DESINC,FINGERHUTDS,JCPENNEY01,KOHLDSN,MACY02,OVERSTOCK01,TGTDVS,WALMARTDS</t>
  </si>
  <si>
    <t>2/22/2021</t>
  </si>
  <si>
    <t>7/7/2021</t>
  </si>
  <si>
    <t>ST54-0138</t>
  </si>
  <si>
    <t>9/7/2021</t>
  </si>
  <si>
    <t>ST54-0123</t>
  </si>
  <si>
    <t>Heated Throw</t>
  </si>
  <si>
    <t>6/28/2021</t>
  </si>
  <si>
    <t>XS10550</t>
  </si>
  <si>
    <t>10/18/2021</t>
  </si>
  <si>
    <t>ST54-0110</t>
  </si>
  <si>
    <t>FINGERHUTDS,JCPENNEY01,KOHLDSN,MACY02,OLLIIX,TGTDVS</t>
  </si>
  <si>
    <t>3/9/2021</t>
  </si>
  <si>
    <t>ST54-0111</t>
  </si>
  <si>
    <t>FINGERHUTDS,HDDS,JCPENNEY01,KOHLDSN,MACY02,OVERSTOCK01,TGTDVS</t>
  </si>
  <si>
    <t>3/23/2021</t>
  </si>
  <si>
    <t>ST54-0112</t>
  </si>
  <si>
    <t>3/21/2021</t>
  </si>
  <si>
    <t>II153-0150</t>
  </si>
  <si>
    <t>Flinn</t>
  </si>
  <si>
    <t>23" Resin Table Lamp with Faux Wood Texture</t>
  </si>
  <si>
    <t>Natural Whitewash</t>
  </si>
  <si>
    <t>KIRKLANDDS</t>
  </si>
  <si>
    <t>IKIY1156</t>
  </si>
  <si>
    <t>3/13/2024</t>
  </si>
  <si>
    <t>WR10-2481</t>
  </si>
  <si>
    <t>Flint</t>
  </si>
  <si>
    <t>CozySpun Down Alternative Comforter Mini Set</t>
  </si>
  <si>
    <t>PP001005;PF004483</t>
  </si>
  <si>
    <t>Softspun</t>
  </si>
  <si>
    <t>AMAZON,AMAZONDS,BLK01,HDDS,KOHLDSN,MACY02,OVERSTOCK01,TGTDVS</t>
  </si>
  <si>
    <t>XBYB1013</t>
  </si>
  <si>
    <t>11/26/2018</t>
  </si>
  <si>
    <t>1/2/2019</t>
  </si>
  <si>
    <t>MP95C-0041</t>
  </si>
  <si>
    <t>Forest Reflections</t>
  </si>
  <si>
    <t>Triptych 3-piece Canvas Wall Art Set</t>
  </si>
  <si>
    <t>Multi</t>
  </si>
  <si>
    <t>PF001911</t>
  </si>
  <si>
    <t>AMAZON,AMAZONDS,KIRKLANDDS,KOHLDSN,OLLIIX,TGTDVS</t>
  </si>
  <si>
    <t>ALCT6629</t>
  </si>
  <si>
    <t>9/23/2016</t>
  </si>
  <si>
    <t>MP51N-8382</t>
  </si>
  <si>
    <t>Freshspun Basketweave</t>
  </si>
  <si>
    <t>Cotton Blanket</t>
  </si>
  <si>
    <t>PP001933;PF006166</t>
  </si>
  <si>
    <t>2/14/2024</t>
  </si>
  <si>
    <t>EBRD5195</t>
  </si>
  <si>
    <t>5/30/2024</t>
  </si>
  <si>
    <t>BASI16-0190</t>
  </si>
  <si>
    <t>Mattress Pad</t>
  </si>
  <si>
    <t>Frisco</t>
  </si>
  <si>
    <t>Delta</t>
  </si>
  <si>
    <t>Ultra-Soft Microfiber Waterproof Sofa Bed Mattress Pad</t>
  </si>
  <si>
    <t>PF002070</t>
  </si>
  <si>
    <t>AMAZON,BLK01,JCPENNEY01,KOHLDSN,MACY02,OLLIIX,OVERSTOCK01</t>
  </si>
  <si>
    <t>ANEW3988</t>
  </si>
  <si>
    <t>FB153-1155</t>
  </si>
  <si>
    <t>Fulton</t>
  </si>
  <si>
    <t>Concrete Table Lamp</t>
  </si>
  <si>
    <t>BDIS1438</t>
  </si>
  <si>
    <t>AM10-0125</t>
  </si>
  <si>
    <t>Gabby</t>
  </si>
  <si>
    <t>Maddie</t>
  </si>
  <si>
    <t>Julie/Libby</t>
  </si>
  <si>
    <t>Reversible Floral Botanical Seersucker Comforter Set</t>
  </si>
  <si>
    <t>Plum/Grey</t>
  </si>
  <si>
    <t>PP001958;PF006235</t>
  </si>
  <si>
    <t>JCPENNEY01,KOHLDSN,MACY02,NRTPORT,OVERSTOCK01,TGTDVS</t>
  </si>
  <si>
    <t>NGIN1169</t>
  </si>
  <si>
    <t>3/14/2024</t>
  </si>
  <si>
    <t>AM10-0126</t>
  </si>
  <si>
    <t>AM10-0127</t>
  </si>
  <si>
    <t>HDDS,JCPENNEY01,KOHLDSN,MACY02,NRTPORT,OVERSTOCK01</t>
  </si>
  <si>
    <t>MP40-7319</t>
  </si>
  <si>
    <t>Galen</t>
  </si>
  <si>
    <t>Colm</t>
  </si>
  <si>
    <t>Paxton</t>
  </si>
  <si>
    <t>Basketweave Room Darkening Cordless Roman Shade</t>
  </si>
  <si>
    <t>PP001307;PF005661</t>
  </si>
  <si>
    <t>1/5/2021</t>
  </si>
  <si>
    <t>AMAZON,AMAZONDS,JCPENNEY01,KIRKLANDDS,KOHLDSN,TGTDVS</t>
  </si>
  <si>
    <t>NCWA1656</t>
  </si>
  <si>
    <t>MP40-6551</t>
  </si>
  <si>
    <t>PP001307;PF004746</t>
  </si>
  <si>
    <t>9/16/2019</t>
  </si>
  <si>
    <t>AMAZON,DESINC,KOHLDSN,TGTDVS</t>
  </si>
  <si>
    <t>9/24/2019</t>
  </si>
  <si>
    <t>12/29/2020</t>
  </si>
  <si>
    <t>MP40-6552</t>
  </si>
  <si>
    <t>31x64"</t>
  </si>
  <si>
    <t>ASHFURNDS,JCPENNEY01,KOHLDSN,TGTDVS</t>
  </si>
  <si>
    <t>MP40-7195</t>
  </si>
  <si>
    <t>6/16/2020</t>
  </si>
  <si>
    <t>AMAZON,AMAZONDS,HDDS,KOHLDSN,OVERSTOCK01,TGTDVS</t>
  </si>
  <si>
    <t>6/30/2020</t>
  </si>
  <si>
    <t>LCN51N-0027</t>
  </si>
  <si>
    <t>Clean Spaces</t>
  </si>
  <si>
    <t>Gauze</t>
  </si>
  <si>
    <t>100% Cotton Lightweight Blanket</t>
  </si>
  <si>
    <t>PP001581;PF005314</t>
  </si>
  <si>
    <t>1/15/2021</t>
  </si>
  <si>
    <t>AMAZONDS,KOHLDSN,MACY02,OLLIIX,TGTDVS,ZOLA</t>
  </si>
  <si>
    <t>CEAH1001</t>
  </si>
  <si>
    <t>2/5/2021</t>
  </si>
  <si>
    <t>3/2/2021</t>
  </si>
  <si>
    <t>LCN51N-0028</t>
  </si>
  <si>
    <t>AMAZONDS,BLK01,JCPENNEY01,KOHLDSN,MACY02,TGTDVS</t>
  </si>
  <si>
    <t>CSP51N-1531</t>
  </si>
  <si>
    <t>PP001581;PF006165</t>
  </si>
  <si>
    <t>2/13/2024</t>
  </si>
  <si>
    <t>PET63PT6028</t>
  </si>
  <si>
    <t>Geo</t>
  </si>
  <si>
    <t>Pet Throw</t>
  </si>
  <si>
    <t>Navy/Grey</t>
  </si>
  <si>
    <t>4/14/2023</t>
  </si>
  <si>
    <t>BFFS1128</t>
  </si>
  <si>
    <t>4/26/2023</t>
  </si>
  <si>
    <t>9/4/2023</t>
  </si>
  <si>
    <t>MP10-6209</t>
  </si>
  <si>
    <t>Gia</t>
  </si>
  <si>
    <t>Margot</t>
  </si>
  <si>
    <t>Back Print Long Fur Comforter Mini Set</t>
  </si>
  <si>
    <t>Blush/White</t>
  </si>
  <si>
    <t>PP001110;PF004609</t>
  </si>
  <si>
    <t>5/8/2019</t>
  </si>
  <si>
    <t>AMAZON,ASHFURNDS,KOHLDSN,MACY02,NRTPORT</t>
  </si>
  <si>
    <t>NCWA1506</t>
  </si>
  <si>
    <t>5/27/2019</t>
  </si>
  <si>
    <t>6/25/2019</t>
  </si>
  <si>
    <t>MP10-7237</t>
  </si>
  <si>
    <t>Gray/White</t>
  </si>
  <si>
    <t>PP001110;PF005210</t>
  </si>
  <si>
    <t>9/29/2020</t>
  </si>
  <si>
    <t>11/29/2020</t>
  </si>
  <si>
    <t>MP10-7239</t>
  </si>
  <si>
    <t>11/17/2020</t>
  </si>
  <si>
    <t>UH95C-0002</t>
  </si>
  <si>
    <t>Gilded Feathers</t>
  </si>
  <si>
    <t>Gold Foil 2-piece Canvas Wall Art Set</t>
  </si>
  <si>
    <t>PF001877</t>
  </si>
  <si>
    <t>AMAZON,DESINC,KIRKLANDDS,TGTDVS</t>
  </si>
  <si>
    <t>BNGL6845</t>
  </si>
  <si>
    <t>10/3/2016</t>
  </si>
  <si>
    <t>4/26/2017</t>
  </si>
  <si>
    <t>MP104-1173</t>
  </si>
  <si>
    <t>Glenwood</t>
  </si>
  <si>
    <t>Crimson</t>
  </si>
  <si>
    <t>Farwell</t>
  </si>
  <si>
    <t>2/22/2022</t>
  </si>
  <si>
    <t>AMERSIGNDS,HDDS,JCPENNEY01</t>
  </si>
  <si>
    <t>NCWA1521</t>
  </si>
  <si>
    <t>3/3/2022</t>
  </si>
  <si>
    <t>3/30/2022</t>
  </si>
  <si>
    <t>II153-0146</t>
  </si>
  <si>
    <t>Grace Ivy</t>
  </si>
  <si>
    <t>Textured Dot Table Lamp</t>
  </si>
  <si>
    <t>White/Gold</t>
  </si>
  <si>
    <t>6/9/2023</t>
  </si>
  <si>
    <t>AMAZON,HDDS,HOUZZ,JCPENNEY01,OLLIIX,OVERSTOCK01,ROOMECOM,TGTDVS,ZOLA</t>
  </si>
  <si>
    <t>IKIY1132</t>
  </si>
  <si>
    <t>6/23/2023</t>
  </si>
  <si>
    <t>3/22/2024</t>
  </si>
  <si>
    <t>TN50-0482</t>
  </si>
  <si>
    <t>Hadly</t>
  </si>
  <si>
    <t>Wearable Multipurpose Throw</t>
  </si>
  <si>
    <t>62x68"</t>
  </si>
  <si>
    <t>PP001804;PF005795</t>
  </si>
  <si>
    <t>11/15/2022</t>
  </si>
  <si>
    <t>AMAZONDS,BLK01,KOHLDSN,OLLIIX,TGTDVS</t>
  </si>
  <si>
    <t>SLPH1137</t>
  </si>
  <si>
    <t>TN50-0484</t>
  </si>
  <si>
    <t>PP001804;PF005797</t>
  </si>
  <si>
    <t>AMAZONDS,BLK01,KOHLDSN</t>
  </si>
  <si>
    <t>12/26/2022</t>
  </si>
  <si>
    <t>UHK12-0172</t>
  </si>
  <si>
    <t>Haisley</t>
  </si>
  <si>
    <t>Piper</t>
  </si>
  <si>
    <t>Cotton Duvet Cover Set with Chenille Trim</t>
  </si>
  <si>
    <t>PP001606;PF005391</t>
  </si>
  <si>
    <t>MACY02,OVERSTOCK01,TGTDVS</t>
  </si>
  <si>
    <t>VBDN1041</t>
  </si>
  <si>
    <t>7/6/2021</t>
  </si>
  <si>
    <t>3/8/2022</t>
  </si>
  <si>
    <t>HH10-1683</t>
  </si>
  <si>
    <t>Hallie</t>
  </si>
  <si>
    <t>6 Piece Cotton Comforter Set</t>
  </si>
  <si>
    <t>PF004246</t>
  </si>
  <si>
    <t>12/14/2017</t>
  </si>
  <si>
    <t>JCPENNEY01</t>
  </si>
  <si>
    <t>HUH1808</t>
  </si>
  <si>
    <t>6/5/2018</t>
  </si>
  <si>
    <t>NS12-3251</t>
  </si>
  <si>
    <t>Hanae</t>
  </si>
  <si>
    <t>Cotton Blend Yarn Dyed 3 Piece Duvet Cover Set</t>
  </si>
  <si>
    <t>PP000991;PF004456</t>
  </si>
  <si>
    <t>9/30/2018</t>
  </si>
  <si>
    <t>ASHFURNDS,BLK01,MACY02</t>
  </si>
  <si>
    <t>MBSA1019</t>
  </si>
  <si>
    <t>10/1/2018</t>
  </si>
  <si>
    <t>11/22/2018</t>
  </si>
  <si>
    <t>NS30-3248</t>
  </si>
  <si>
    <t>Embroidered Cotton Oblong Decorative Pillow</t>
  </si>
  <si>
    <t>PP000991</t>
  </si>
  <si>
    <t>MACY02,NRTPORT,OLLIIX,OVERSTOCK01</t>
  </si>
  <si>
    <t>MBSA1006</t>
  </si>
  <si>
    <t>FPF18-0403</t>
  </si>
  <si>
    <t>Isa</t>
  </si>
  <si>
    <t>Lilith</t>
  </si>
  <si>
    <t>Button Tufted Wing Chair</t>
  </si>
  <si>
    <t>PF000694;PP000170</t>
  </si>
  <si>
    <t>HDDS,MACY02F,OLLIIX,OVERSTOCK01,TGTDVS</t>
  </si>
  <si>
    <t>DRBC5877</t>
  </si>
  <si>
    <t>1/22/2016</t>
  </si>
  <si>
    <t>5DS153-0021</t>
  </si>
  <si>
    <t>Harmony</t>
  </si>
  <si>
    <t>Angular Glass Table Lamp, Set of 2</t>
  </si>
  <si>
    <t>AMERSIGNDS,JCPENNEY01,KIRKLANDDS,KOHLDSN,OLLIIX,OVERSTOCK01</t>
  </si>
  <si>
    <t>HGLN3668</t>
  </si>
  <si>
    <t>11/19/2018</t>
  </si>
  <si>
    <t>11/21/2018</t>
  </si>
  <si>
    <t>MP40-4486</t>
  </si>
  <si>
    <t>Harper</t>
  </si>
  <si>
    <t>Kaylee</t>
  </si>
  <si>
    <t>Avery</t>
  </si>
  <si>
    <t>Solid Crushed Curtain Panel Pair</t>
  </si>
  <si>
    <t>PF003910</t>
  </si>
  <si>
    <t>7/14/2017</t>
  </si>
  <si>
    <t>JCPENNEY01,KOHLDSN</t>
  </si>
  <si>
    <t>CHRL6702</t>
  </si>
  <si>
    <t>8/24/2017</t>
  </si>
  <si>
    <t>11/3/2017</t>
  </si>
  <si>
    <t>PET63PC5690</t>
  </si>
  <si>
    <t>Modern Couch</t>
  </si>
  <si>
    <t>25"x20"+5.5"(2.5+3")</t>
  </si>
  <si>
    <t>9/23/2021</t>
  </si>
  <si>
    <t>AMAZON,CHEWYDS</t>
  </si>
  <si>
    <t>BFFS1120</t>
  </si>
  <si>
    <t>12/17/2021</t>
  </si>
  <si>
    <t>3/2/2022</t>
  </si>
  <si>
    <t>PET63PC5691</t>
  </si>
  <si>
    <t>36"x28"+9"(4+5")</t>
  </si>
  <si>
    <t>AMAZONDS,CHEWYDS</t>
  </si>
  <si>
    <t>3/7/2022</t>
  </si>
  <si>
    <t>MP40-4502</t>
  </si>
  <si>
    <t>PF003912</t>
  </si>
  <si>
    <t>10/20/2017</t>
  </si>
  <si>
    <t>MP40-4498</t>
  </si>
  <si>
    <t>PF003913</t>
  </si>
  <si>
    <t>JCPENNEY01,KOHLDSN,WALMARTDS</t>
  </si>
  <si>
    <t>11/6/2017</t>
  </si>
  <si>
    <t>BR54-0310</t>
  </si>
  <si>
    <t>Heated Microlight to Berber</t>
  </si>
  <si>
    <t>PF003571</t>
  </si>
  <si>
    <t>AMAZON,KOHLDSN,MACY02,OLLIIX,OVERSTOCK01,TGTDVS,WALMARTDS</t>
  </si>
  <si>
    <t>GACQ1129</t>
  </si>
  <si>
    <t>9/25/2015</t>
  </si>
  <si>
    <t>BR54-0387</t>
  </si>
  <si>
    <t>Chocolate</t>
  </si>
  <si>
    <t>PF003603</t>
  </si>
  <si>
    <t>AMAZON,AMAZONDS,FINGERHUTDS,HDDS,KOHLDSN,MACY02,WALMARTDS</t>
  </si>
  <si>
    <t>QMP2248</t>
  </si>
  <si>
    <t>12/3/2015</t>
  </si>
  <si>
    <t>BR54-0415</t>
  </si>
  <si>
    <t>PF003574</t>
  </si>
  <si>
    <t>AMAZON,BLK01,FINGERHUTDS,HDDS,HSNDS,KOHLDSN,MACY02,NORDSTRACKDS,TGTDVS,ZOLA</t>
  </si>
  <si>
    <t>12/14/2015</t>
  </si>
  <si>
    <t>BR54-1927</t>
  </si>
  <si>
    <t>PP001523;PF005169</t>
  </si>
  <si>
    <t>AMAZON,BLK01,FINGERHUTDS,HDDS,KOHLDSN,MACY02,NORDSTRACKDS,OVERSTOCK01,TGTDVS</t>
  </si>
  <si>
    <t>10/27/2020</t>
  </si>
  <si>
    <t>BR54-0391</t>
  </si>
  <si>
    <t>PF003604</t>
  </si>
  <si>
    <t>1/5/2025</t>
  </si>
  <si>
    <t>FINGERHUTDS,KOHLDSN,OLLIIX,TGTDVS,WALMARTDS</t>
  </si>
  <si>
    <t>BR54-0381</t>
  </si>
  <si>
    <t>PF003602</t>
  </si>
  <si>
    <t>10/11/2017</t>
  </si>
  <si>
    <t>AMAZON,AMAZONDS,BLK01,KOHLDSN,OLLIIX</t>
  </si>
  <si>
    <t>8/25/2015</t>
  </si>
  <si>
    <t>BR54-1926</t>
  </si>
  <si>
    <t>PP001523;PF005168</t>
  </si>
  <si>
    <t>AMAZON,AMAZONDS,BLK01,HDDS,KOHLDSN,MACY02,NORDSTRACKDS,TGTDVS</t>
  </si>
  <si>
    <t>10/19/2020</t>
  </si>
  <si>
    <t>BR54-0903</t>
  </si>
  <si>
    <t>Heated Plush</t>
  </si>
  <si>
    <t>PF004401</t>
  </si>
  <si>
    <t>BTY1111</t>
  </si>
  <si>
    <t>11/29/2018</t>
  </si>
  <si>
    <t>BR54-0908</t>
  </si>
  <si>
    <t>PF004402</t>
  </si>
  <si>
    <t>AMAZON,AMAZONDS,BLK01,KOHLDSN,MACY02,NORDSTRACKDS,OVERSTOCK01,TGTDVS</t>
  </si>
  <si>
    <t>12/5/2018</t>
  </si>
  <si>
    <t>BR54-0513</t>
  </si>
  <si>
    <t>PF003417</t>
  </si>
  <si>
    <t>AAFESDS,AMAZON,BLK01,FINGERHUTDS,KOHLDSN,MACY02,OVERSTOCK01</t>
  </si>
  <si>
    <t>4/28/2016</t>
  </si>
  <si>
    <t>BR54-0521</t>
  </si>
  <si>
    <t>PF003419</t>
  </si>
  <si>
    <t>AAFESDS,AMAZON,BLK01,BLOOM02,KOHLDSN,MACY02,OVERSTOCK01,TGTDVS,WALMARTDS</t>
  </si>
  <si>
    <t>BR54-1932</t>
  </si>
  <si>
    <t>PP001522;PF005167</t>
  </si>
  <si>
    <t>AMAZONDS,KOHLDSN,MACY02,OVERSTOCK01,TGTDVS</t>
  </si>
  <si>
    <t>10/21/2020</t>
  </si>
  <si>
    <t>BR54-1935</t>
  </si>
  <si>
    <t>9/16/2020</t>
  </si>
  <si>
    <t>AMAZON,AMAZONDS,FINGERHUTDS,HDDS,KOHLDSN,MACY02,OVERSTOCK01,TGTDVS</t>
  </si>
  <si>
    <t>BR54-1928</t>
  </si>
  <si>
    <t>PP001522;PF005166</t>
  </si>
  <si>
    <t>AMAZON,AMAZONDS,BLK01,FINGERHUTDS,KOHLDSN,MACY02,NORDSTRACKDS,OVERSTOCK01,TGTDVS</t>
  </si>
  <si>
    <t>WR54-1752</t>
  </si>
  <si>
    <t>Heated Plush to Berber</t>
  </si>
  <si>
    <t>PF003611</t>
  </si>
  <si>
    <t>AMAZON,AMAZONDS,HDDS,JCPENNEY01,KOHLDSN</t>
  </si>
  <si>
    <t>WLR1302</t>
  </si>
  <si>
    <t>11/30/2016</t>
  </si>
  <si>
    <t>WR54-1754</t>
  </si>
  <si>
    <t>FINGERHUTDS,JCPENNEY01,KOHLDSN,OVERSTOCK01</t>
  </si>
  <si>
    <t>8/8/2017</t>
  </si>
  <si>
    <t>WR54-1755</t>
  </si>
  <si>
    <t>Garnet</t>
  </si>
  <si>
    <t>PF003612</t>
  </si>
  <si>
    <t>WR54-1757</t>
  </si>
  <si>
    <t>AMAZON,FINGERHUTDS,JCPENNEY01,KOHLDSN,MACY02</t>
  </si>
  <si>
    <t>11/5/2018</t>
  </si>
  <si>
    <t>WR54-1758</t>
  </si>
  <si>
    <t>FINGERHUTDS,HDDS,JCPENNEY01,KOHLDSN,WALMARTDS</t>
  </si>
  <si>
    <t>WR54-1739</t>
  </si>
  <si>
    <t>PF003613</t>
  </si>
  <si>
    <t>1/3/2017</t>
  </si>
  <si>
    <t>WR54-1741</t>
  </si>
  <si>
    <t>AMAZON,BLK01,HDDS,HSNDS,JCPENNEY01,KOHLDSN,MACY02,OVERSTOCK01,WALMARTDS</t>
  </si>
  <si>
    <t>1/18/2017</t>
  </si>
  <si>
    <t>WR54-1760</t>
  </si>
  <si>
    <t>Indigo</t>
  </si>
  <si>
    <t>PF003614</t>
  </si>
  <si>
    <t>AMAZON,BLK01,FINGERHUTDS,KOHLDSN,MACY02,WALMARTDS</t>
  </si>
  <si>
    <t>9/5/2017</t>
  </si>
  <si>
    <t>WR54-1761</t>
  </si>
  <si>
    <t>10/4/2017</t>
  </si>
  <si>
    <t>WR54-1763</t>
  </si>
  <si>
    <t>PF003615</t>
  </si>
  <si>
    <t>WR54-1764</t>
  </si>
  <si>
    <t>AMAZON,HDDS,HSNDS,KOHLDSN,MACY02</t>
  </si>
  <si>
    <t>11/25/2016</t>
  </si>
  <si>
    <t>WR54-1771</t>
  </si>
  <si>
    <t>PF003580</t>
  </si>
  <si>
    <t>AMAZON,AMAZONDS,FINGERHUTDS,JCPENNEY01,KOHLDSN,MACY02</t>
  </si>
  <si>
    <t>WLR1300</t>
  </si>
  <si>
    <t>12/13/2016</t>
  </si>
  <si>
    <t>WR54-1743</t>
  </si>
  <si>
    <t>Sapphire Blue</t>
  </si>
  <si>
    <t>PF003609</t>
  </si>
  <si>
    <t>AMAZON,AMAZONDS,KOHLDSN,MACY02,OVERSTOCK01,WALMARTDS</t>
  </si>
  <si>
    <t>7/5/2017</t>
  </si>
  <si>
    <t>WR54-1746</t>
  </si>
  <si>
    <t>1/16/2017</t>
  </si>
  <si>
    <t>WR54-1768</t>
  </si>
  <si>
    <t>PF003577</t>
  </si>
  <si>
    <t>AMAZON,FINGERHUTDS,HDDS,HSNDS,JCPENNEY01,KOHLDSN,MACY02,TGTDVS</t>
  </si>
  <si>
    <t>WR54-1747</t>
  </si>
  <si>
    <t>PF003610</t>
  </si>
  <si>
    <t>WR54-1749</t>
  </si>
  <si>
    <t>HDDS,JCPENNEY01,KOHLDSN,MACY02,OLLIIX,OVERSTOCK01</t>
  </si>
  <si>
    <t>6/24/2017</t>
  </si>
  <si>
    <t>TN10-0539</t>
  </si>
  <si>
    <t>Down Comforter Filler</t>
  </si>
  <si>
    <t>Heavy Warmth</t>
  </si>
  <si>
    <t>Goose Feather and Down Oversize Comforter</t>
  </si>
  <si>
    <t>PP001803;PF006107</t>
  </si>
  <si>
    <t>JCPENNEY01,KOHLDSN,MACY02,OLLIIX,TGTDVS</t>
  </si>
  <si>
    <t>SLPH1138</t>
  </si>
  <si>
    <t>TN10-0540</t>
  </si>
  <si>
    <t>1/10/2024</t>
  </si>
  <si>
    <t>TN10-0541</t>
  </si>
  <si>
    <t>TN10-0490</t>
  </si>
  <si>
    <t>PP001803;PF005794</t>
  </si>
  <si>
    <t>BLK01,DESINC,JCPENNEY01,KOHLDSN,MACY02,NRTPORT,OLLIIX,OVERSTOCK01,TGTDVS</t>
  </si>
  <si>
    <t>12/30/2022</t>
  </si>
  <si>
    <t>II150-0122</t>
  </si>
  <si>
    <t>Helena</t>
  </si>
  <si>
    <t>6-Light Frosted Glass Globe Linear Chandelier</t>
  </si>
  <si>
    <t>Antique Brass/Black</t>
  </si>
  <si>
    <t>Industrial</t>
  </si>
  <si>
    <t>3/4/2022</t>
  </si>
  <si>
    <t>OLLIIX,OVERSTOCK01,ROOMECOM,ZOLA</t>
  </si>
  <si>
    <t>JLZF1311</t>
  </si>
  <si>
    <t>4/21/2022</t>
  </si>
  <si>
    <t>6/20/2022</t>
  </si>
  <si>
    <t>MPS100-0115</t>
  </si>
  <si>
    <t>Dining Side Chair</t>
  </si>
  <si>
    <t>Cream/Grey</t>
  </si>
  <si>
    <t>PF001230;PP000300</t>
  </si>
  <si>
    <t>HDDS,KIRKLANDDS,LAMPDS,OLLIIX,OVERSTOCK01</t>
  </si>
  <si>
    <t>BDIS1298</t>
  </si>
  <si>
    <t>BASI16-0238</t>
  </si>
  <si>
    <t>Highline</t>
  </si>
  <si>
    <t>Montview</t>
  </si>
  <si>
    <t>3M Microfiber Mattress Pad</t>
  </si>
  <si>
    <t>PF002082</t>
  </si>
  <si>
    <t>ANEW3989</t>
  </si>
  <si>
    <t>3/12/2015</t>
  </si>
  <si>
    <t>BASI16-0239</t>
  </si>
  <si>
    <t>2/27/2015</t>
  </si>
  <si>
    <t>BASI16-0240</t>
  </si>
  <si>
    <t>MP10-8264</t>
  </si>
  <si>
    <t>Hollis</t>
  </si>
  <si>
    <t>Asher</t>
  </si>
  <si>
    <t>Sherpa Comforter Set</t>
  </si>
  <si>
    <t>Green/Ivory</t>
  </si>
  <si>
    <t>PP001895;PF006045</t>
  </si>
  <si>
    <t>7/19/2023</t>
  </si>
  <si>
    <t>NCWA2516</t>
  </si>
  <si>
    <t>9/18/2023</t>
  </si>
  <si>
    <t>II120-0553</t>
  </si>
  <si>
    <t>OCCASIONL TABLE</t>
  </si>
  <si>
    <t>Coffee Table</t>
  </si>
  <si>
    <t>Honey</t>
  </si>
  <si>
    <t>Fluted Hexagon Coffee Table</t>
  </si>
  <si>
    <t>10/10/2023</t>
  </si>
  <si>
    <t>1/19/2025</t>
  </si>
  <si>
    <t>AMERSIGNDS,HDDS,OLLIIX,OVERSTOCK01</t>
  </si>
  <si>
    <t>IKIY1147</t>
  </si>
  <si>
    <t>10/28/2023</t>
  </si>
  <si>
    <t>MP10-8277</t>
  </si>
  <si>
    <t>Honeycomb Textured</t>
  </si>
  <si>
    <t>PP001896;PF006053</t>
  </si>
  <si>
    <t>9/8/2023</t>
  </si>
  <si>
    <t>HDDS,KOHLDSN,MACY02,OLLIIX</t>
  </si>
  <si>
    <t>NCWA2522</t>
  </si>
  <si>
    <t>9/13/2023</t>
  </si>
  <si>
    <t>MP10-8278</t>
  </si>
  <si>
    <t>HDDS,JCPENNEY01,KOHLDSN,MACY02,OLLIIX,OVERSTOCK01,TGTDVS</t>
  </si>
  <si>
    <t>1/8/2024</t>
  </si>
  <si>
    <t>MP10-8279</t>
  </si>
  <si>
    <t>11/9/2023</t>
  </si>
  <si>
    <t>MP12-8339</t>
  </si>
  <si>
    <t>Ibiza</t>
  </si>
  <si>
    <t>Alba</t>
  </si>
  <si>
    <t>Triana</t>
  </si>
  <si>
    <t>4 Piece Printed Duvet Cover Set with Throw Pillow</t>
  </si>
  <si>
    <t>Black/Ivory</t>
  </si>
  <si>
    <t>PP001913;PF006112</t>
  </si>
  <si>
    <t>Boho</t>
  </si>
  <si>
    <t>1/31/2024</t>
  </si>
  <si>
    <t>NCWA2591</t>
  </si>
  <si>
    <t>1/30/2024</t>
  </si>
  <si>
    <t>MP12-8340</t>
  </si>
  <si>
    <t>4/18/2024</t>
  </si>
  <si>
    <t>LAF04-0017</t>
  </si>
  <si>
    <t>APL</t>
  </si>
  <si>
    <t>ROBE</t>
  </si>
  <si>
    <t>Robe</t>
  </si>
  <si>
    <t>II000133</t>
  </si>
  <si>
    <t>Cotton Solid Terry Robe</t>
  </si>
  <si>
    <t>S/M</t>
  </si>
  <si>
    <t>7/28/2017</t>
  </si>
  <si>
    <t>AMAZONDS,JCPENNEY01,MACY02</t>
  </si>
  <si>
    <t>IKIY1161</t>
  </si>
  <si>
    <t>LAF04-0018</t>
  </si>
  <si>
    <t>L/XL</t>
  </si>
  <si>
    <t>AMAZONDS,BLK01,JCPENNEY01,MACY02</t>
  </si>
  <si>
    <t>8/7/2024</t>
  </si>
  <si>
    <t>II04-3016</t>
  </si>
  <si>
    <t>Cotton Terry Solid Robe</t>
  </si>
  <si>
    <t>Mint</t>
  </si>
  <si>
    <t>AMAZON,BLK01,JCPENNEY01,MACY02</t>
  </si>
  <si>
    <t>LAF04-0021</t>
  </si>
  <si>
    <t>Rose</t>
  </si>
  <si>
    <t>BLK01,JCPENNEY01,MACY02,OVERSTOCK01</t>
  </si>
  <si>
    <t>LAF04-0022</t>
  </si>
  <si>
    <t>3/18/2024</t>
  </si>
  <si>
    <t>LAF04-0019</t>
  </si>
  <si>
    <t>BLK01,JCPENNEY01,MACY02</t>
  </si>
  <si>
    <t>LAF04-0020</t>
  </si>
  <si>
    <t>6/3/2024</t>
  </si>
  <si>
    <t>II04-1585</t>
  </si>
  <si>
    <t>II317125</t>
  </si>
  <si>
    <t>L/S Paisley Print Lite Micro 42" Robe</t>
  </si>
  <si>
    <t>Bedouin blue 447</t>
  </si>
  <si>
    <t>IKIY1159</t>
  </si>
  <si>
    <t>6/17/2024</t>
  </si>
  <si>
    <t>II04-1586</t>
  </si>
  <si>
    <t>AMAZONDS,BLK01,MACY02</t>
  </si>
  <si>
    <t>II04-1587</t>
  </si>
  <si>
    <t>Bedouin gray 057</t>
  </si>
  <si>
    <t>II04-1588</t>
  </si>
  <si>
    <t>II04-8099</t>
  </si>
  <si>
    <t>II422156</t>
  </si>
  <si>
    <t>Women's Zip front plush robe</t>
  </si>
  <si>
    <t>XS</t>
  </si>
  <si>
    <t>Chalky Rose</t>
  </si>
  <si>
    <t>5/2/2022</t>
  </si>
  <si>
    <t>AMAZONDS,MACY02</t>
  </si>
  <si>
    <t>IKIY1167</t>
  </si>
  <si>
    <t>II04-8100</t>
  </si>
  <si>
    <t>S</t>
  </si>
  <si>
    <t>II04-8102</t>
  </si>
  <si>
    <t>II04-8103</t>
  </si>
  <si>
    <t>AMAZONDS,MACY02,OVERSTOCK01</t>
  </si>
  <si>
    <t>II04-8104</t>
  </si>
  <si>
    <t>XXL</t>
  </si>
  <si>
    <t>II04-8093</t>
  </si>
  <si>
    <t>Quiet Gray</t>
  </si>
  <si>
    <t>3/25/2024</t>
  </si>
  <si>
    <t>II04-8095</t>
  </si>
  <si>
    <t>II04-8097</t>
  </si>
  <si>
    <t>II04-8098</t>
  </si>
  <si>
    <t>II04-8105</t>
  </si>
  <si>
    <t>Rich Concord</t>
  </si>
  <si>
    <t>II04-8106</t>
  </si>
  <si>
    <t>II04-9609</t>
  </si>
  <si>
    <t>IM222101</t>
  </si>
  <si>
    <t>XS/S IM222101 Robe</t>
  </si>
  <si>
    <t>XS/S</t>
  </si>
  <si>
    <t>Black 001</t>
  </si>
  <si>
    <t>JCPENNEY01,MACY02</t>
  </si>
  <si>
    <t>IKIY1166</t>
  </si>
  <si>
    <t>II04-9610</t>
  </si>
  <si>
    <t>M/L IM222101 Robe</t>
  </si>
  <si>
    <t>M/L</t>
  </si>
  <si>
    <t>II04-9611</t>
  </si>
  <si>
    <t>XL/XXL IM222101 Robe</t>
  </si>
  <si>
    <t>XL/XXL</t>
  </si>
  <si>
    <t>II04-8419</t>
  </si>
  <si>
    <t>Men cotton robe</t>
  </si>
  <si>
    <t>Claret 657</t>
  </si>
  <si>
    <t>11/4/2022</t>
  </si>
  <si>
    <t>II04-8420</t>
  </si>
  <si>
    <t>II04-8421</t>
  </si>
  <si>
    <t>II04-8416</t>
  </si>
  <si>
    <t>Denim 459</t>
  </si>
  <si>
    <t>II04-8417</t>
  </si>
  <si>
    <t>II04-8418</t>
  </si>
  <si>
    <t>II04-8410</t>
  </si>
  <si>
    <t>Med Navy 411</t>
  </si>
  <si>
    <t>II04-8411</t>
  </si>
  <si>
    <t>II04-8412</t>
  </si>
  <si>
    <t>II04-8413</t>
  </si>
  <si>
    <t>Steel 030</t>
  </si>
  <si>
    <t>II04-8414</t>
  </si>
  <si>
    <t>II04-8415</t>
  </si>
  <si>
    <t>II04-8407</t>
  </si>
  <si>
    <t>White 100</t>
  </si>
  <si>
    <t>II04-8409</t>
  </si>
  <si>
    <t>MP40-4942</t>
  </si>
  <si>
    <t>Window Scarf</t>
  </si>
  <si>
    <t>Irina</t>
  </si>
  <si>
    <t>Iris</t>
  </si>
  <si>
    <t>Clarissa</t>
  </si>
  <si>
    <t>Diamond Sheer Embroidered Window Scarf</t>
  </si>
  <si>
    <t>50x144"</t>
  </si>
  <si>
    <t>PF004007</t>
  </si>
  <si>
    <t>8/22/2017</t>
  </si>
  <si>
    <t>BLK01,KOHLDSN</t>
  </si>
  <si>
    <t>CHRL6945</t>
  </si>
  <si>
    <t>8/28/2017</t>
  </si>
  <si>
    <t>9/14/2017</t>
  </si>
  <si>
    <t>MP40-1065</t>
  </si>
  <si>
    <t>Diamond Sheer Window Curtain Panel</t>
  </si>
  <si>
    <t>PF004006</t>
  </si>
  <si>
    <t>JCPENNEY01,OVERSTOCK01</t>
  </si>
  <si>
    <t>BL19323</t>
  </si>
  <si>
    <t>MP40-2333</t>
  </si>
  <si>
    <t>6/21/2016</t>
  </si>
  <si>
    <t>MP40-2332</t>
  </si>
  <si>
    <t>PF004005</t>
  </si>
  <si>
    <t>3/28/2016</t>
  </si>
  <si>
    <t>MP41-4933</t>
  </si>
  <si>
    <t>Diamond Sheer Embroidered Waterfall Valance</t>
  </si>
  <si>
    <t>38x46"</t>
  </si>
  <si>
    <t>CHRL6947</t>
  </si>
  <si>
    <t>MP40-2010</t>
  </si>
  <si>
    <t>White/Grey</t>
  </si>
  <si>
    <t>PF004008</t>
  </si>
  <si>
    <t>HDDS,JCPENNEY01,KOHLDSN,TGTDVS</t>
  </si>
  <si>
    <t>3/7/2016</t>
  </si>
  <si>
    <t>MP40-2331</t>
  </si>
  <si>
    <t>AMAZONDS,ASHFURNDS,KOHLDSN</t>
  </si>
  <si>
    <t>3/14/2016</t>
  </si>
  <si>
    <t>MP41-4945</t>
  </si>
  <si>
    <t>BEALLSDS,KOHLDSN,OVERSTOCK01,TGTDVS,WALMARTDS</t>
  </si>
  <si>
    <t>UHK13-0224</t>
  </si>
  <si>
    <t>Coverlet Mini Set</t>
  </si>
  <si>
    <t>Kinsley</t>
  </si>
  <si>
    <t>Woodland Animals Reversible Cotton Quilt Set</t>
  </si>
  <si>
    <t>PF005316</t>
  </si>
  <si>
    <t>7/12/2023</t>
  </si>
  <si>
    <t>AMAZON,AMAZONDS,JCPENNEY01,TGTDVS</t>
  </si>
  <si>
    <t>VBDN1052</t>
  </si>
  <si>
    <t>11/20/2023</t>
  </si>
  <si>
    <t>MPE10-1032</t>
  </si>
  <si>
    <t>Jaxon</t>
  </si>
  <si>
    <t>Deacon</t>
  </si>
  <si>
    <t>Ryder</t>
  </si>
  <si>
    <t>Stripe Comforter Set with Bed Sheets</t>
  </si>
  <si>
    <t>Aqua/Grey</t>
  </si>
  <si>
    <t>PP001834;PF006113</t>
  </si>
  <si>
    <t>12/22/2023</t>
  </si>
  <si>
    <t>AMAZON,JCPENNEY01,KOHLDSN,MACY02,NRTPORT,OVERSTOCK01</t>
  </si>
  <si>
    <t>BADI1248</t>
  </si>
  <si>
    <t>12/26/2023</t>
  </si>
  <si>
    <t>1/5/2024</t>
  </si>
  <si>
    <t>MT100-0123</t>
  </si>
  <si>
    <t>Jayco</t>
  </si>
  <si>
    <t>MT Perry Street</t>
  </si>
  <si>
    <t>2/17/2021</t>
  </si>
  <si>
    <t>AMAZONDS,ASHFURNDS,JCPENNEY01,OLLIIX</t>
  </si>
  <si>
    <t>MSTT1639</t>
  </si>
  <si>
    <t>3/30/2021</t>
  </si>
  <si>
    <t>MT100-0177</t>
  </si>
  <si>
    <t>10/24/2023</t>
  </si>
  <si>
    <t>II153-0106</t>
  </si>
  <si>
    <t>Jayda</t>
  </si>
  <si>
    <t>Geometric Ceramic Table Lamp</t>
  </si>
  <si>
    <t>12/23/2021</t>
  </si>
  <si>
    <t>AMERSIGNDS,JCPENNEY01,KOHLDSN,ROOMECOM</t>
  </si>
  <si>
    <t>JLZF1282</t>
  </si>
  <si>
    <t>1/18/2022</t>
  </si>
  <si>
    <t>MT153-0015</t>
  </si>
  <si>
    <t>Jemma</t>
  </si>
  <si>
    <t>6/2/2019</t>
  </si>
  <si>
    <t>MSTT1121</t>
  </si>
  <si>
    <t>7/10/2019</t>
  </si>
  <si>
    <t>8/19/2019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</si>
  <si>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</si>
  <si>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</si>
  <si>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</si>
  <si>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</si>
  <si>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</si>
  <si>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</si>
  <si>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</si>
  <si>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NCWA2590</t>
  </si>
  <si>
    <t>1/28/2024</t>
  </si>
  <si>
    <t>MP10-8324</t>
  </si>
  <si>
    <t>Spice</t>
  </si>
  <si>
    <t>PP001911;PF006095</t>
  </si>
  <si>
    <t>1/26/2024</t>
  </si>
  <si>
    <t>MP104-1074</t>
  </si>
  <si>
    <t>Jillian</t>
  </si>
  <si>
    <t>Marshall</t>
  </si>
  <si>
    <t>Ellery</t>
  </si>
  <si>
    <t>Counter Stool with Swivel Seat</t>
  </si>
  <si>
    <t>12/15/2020</t>
  </si>
  <si>
    <t>AMERSIGNDS,HOUZZ,KIRKLANDDS,KOHLDSN,LAMPDS,OVERSTOCK01,TGTDVS</t>
  </si>
  <si>
    <t>GRCS6752</t>
  </si>
  <si>
    <t>1/22/2021</t>
  </si>
  <si>
    <t>MP10-459</t>
  </si>
  <si>
    <t>Juliana</t>
  </si>
  <si>
    <t>Melanie</t>
  </si>
  <si>
    <t>9 Piece Charmeuse Comforter Set</t>
  </si>
  <si>
    <t>PF003372</t>
  </si>
  <si>
    <t>Border</t>
  </si>
  <si>
    <t>Traditional|Cottage/Country</t>
  </si>
  <si>
    <t>AMAZON,JCPENNEY01,KOHLDSN,NRTPORT,OVERSTOCK01</t>
  </si>
  <si>
    <t>RDBT5051</t>
  </si>
  <si>
    <t>1/8/2015</t>
  </si>
  <si>
    <t>SS40-0025</t>
  </si>
  <si>
    <t>Julie</t>
  </si>
  <si>
    <t>April</t>
  </si>
  <si>
    <t>Lila</t>
  </si>
  <si>
    <t>Printed Botanical Blackout Curtain Panel</t>
  </si>
  <si>
    <t>PF003952</t>
  </si>
  <si>
    <t>9/19/2017</t>
  </si>
  <si>
    <t>DESINC,JCPENNEY01,OLLIIX</t>
  </si>
  <si>
    <t>ALTH3078</t>
  </si>
  <si>
    <t>9/25/2017</t>
  </si>
  <si>
    <t>CCL10-0064</t>
  </si>
  <si>
    <t>Julius</t>
  </si>
  <si>
    <t>4 Piece Comforter Set</t>
  </si>
  <si>
    <t>Blue/Grey</t>
  </si>
  <si>
    <t>AMAZON,AMAZONDS,KOHLDSN,OVERSTOCK01</t>
  </si>
  <si>
    <t>CKSC1004</t>
  </si>
  <si>
    <t>7/27/2023</t>
  </si>
  <si>
    <t>8/7/2023</t>
  </si>
  <si>
    <t>CCL10-0003</t>
  </si>
  <si>
    <t>10/21/2022</t>
  </si>
  <si>
    <t>AMAZON,AMAZONDS,KOHLDSN,MACY02,OVERSTOCK01</t>
  </si>
  <si>
    <t>4/5/2023</t>
  </si>
  <si>
    <t>MP103-1215</t>
  </si>
  <si>
    <t>Kaley</t>
  </si>
  <si>
    <t>Paloma</t>
  </si>
  <si>
    <t>Adobe</t>
  </si>
  <si>
    <t>1/9/2023</t>
  </si>
  <si>
    <t>AMERSIGNDS,MACY02F,OLLIIX</t>
  </si>
  <si>
    <t>NCWA2478</t>
  </si>
  <si>
    <t>1/16/2023</t>
  </si>
  <si>
    <t>II12-1107</t>
  </si>
  <si>
    <t>Kara</t>
  </si>
  <si>
    <t>3 Piece Cotton Jacquard Duvet Cover Set</t>
  </si>
  <si>
    <t>PP001486;PF005087</t>
  </si>
  <si>
    <t>Farmhouse</t>
  </si>
  <si>
    <t>4/7/2020</t>
  </si>
  <si>
    <t>AMAZON,AMAZONDS,BLK01,JCPENNEY01,KOHLDSN,MACY02,OVERSTOCK01</t>
  </si>
  <si>
    <t>DKFS1082</t>
  </si>
  <si>
    <t>4/22/2020</t>
  </si>
  <si>
    <t>II10-1270</t>
  </si>
  <si>
    <t>3 Piece Cotton Jacquard Comforter Set</t>
  </si>
  <si>
    <t>PP001486;PF005762</t>
  </si>
  <si>
    <t>8/23/2022</t>
  </si>
  <si>
    <t>KOHLDSN,MACY02,OLLIIX,OVERSTOCK01,TGTDVS,ZOLA</t>
  </si>
  <si>
    <t>9/2/2022</t>
  </si>
  <si>
    <t>9/28/2022</t>
  </si>
  <si>
    <t>II12-1272</t>
  </si>
  <si>
    <t>9/20/2022</t>
  </si>
  <si>
    <t>II10-1271</t>
  </si>
  <si>
    <t>AMAZONDS,JCPENNEY01,KOHLDSN,MACY02,OLLIIX,OVERSTOCK01,TGTDVS,ZOLA</t>
  </si>
  <si>
    <t>11/9/2022</t>
  </si>
  <si>
    <t>II12-1273</t>
  </si>
  <si>
    <t>AMAZONDS,JCPENNEY01,KOHLDSN,MACY02,OVERSTOCK01,ZOLA</t>
  </si>
  <si>
    <t>10/6/2022</t>
  </si>
  <si>
    <t>MP13-3457</t>
  </si>
  <si>
    <t>Keaton</t>
  </si>
  <si>
    <t>Jaxson</t>
  </si>
  <si>
    <t>Mitchell</t>
  </si>
  <si>
    <t>2 Piece Quilt Set</t>
  </si>
  <si>
    <t>PF003412</t>
  </si>
  <si>
    <t>LFMF1127</t>
  </si>
  <si>
    <t>9/13/2016</t>
  </si>
  <si>
    <t>10/12/2016</t>
  </si>
  <si>
    <t>MPE10-158</t>
  </si>
  <si>
    <t>Knowles</t>
  </si>
  <si>
    <t>Glendale</t>
  </si>
  <si>
    <t>Cabrillo</t>
  </si>
  <si>
    <t>7 Piece Comforter Set with Cotton Bed Sheets</t>
  </si>
  <si>
    <t>PF003652</t>
  </si>
  <si>
    <t>BCHH2244</t>
  </si>
  <si>
    <t>2/24/2017</t>
  </si>
  <si>
    <t>MPE13-308</t>
  </si>
  <si>
    <t>6 Piece Quilt Set with Cotton Bed Sheets</t>
  </si>
  <si>
    <t>PF003651</t>
  </si>
  <si>
    <t>JCPENNEY01,OVERSTOCK01,WALMARTDS</t>
  </si>
  <si>
    <t>SEHO8981</t>
  </si>
  <si>
    <t>12/1/2016</t>
  </si>
  <si>
    <t>5/8/2017</t>
  </si>
  <si>
    <t>MPE10-008</t>
  </si>
  <si>
    <t>9 Piece Comforter Set with Cotton Bed Sheets</t>
  </si>
  <si>
    <t>PF003651;PP000436</t>
  </si>
  <si>
    <t>AMAZON,HSNDS,JCPENNEY01,KOHLDSN,MACY02,OVERSTOCK01,TGTDVS</t>
  </si>
  <si>
    <t>1/4/2015</t>
  </si>
  <si>
    <t>MPE10-030</t>
  </si>
  <si>
    <t>AMAZON,AMAZONDS,JCPENNEY01,MACY02,TGTDVS</t>
  </si>
  <si>
    <t>MPE13-312</t>
  </si>
  <si>
    <t>8 Piece Quilt Set with Cotton Bed Sheets</t>
  </si>
  <si>
    <t>3/10/2017</t>
  </si>
  <si>
    <t>MPE70-038</t>
  </si>
  <si>
    <t>PF001451;PP000436</t>
  </si>
  <si>
    <t>DESINC,JCPENNEY01,KOHLDSN,MACY02,OLLIIX,OVERSTOCK01,TGTDVS</t>
  </si>
  <si>
    <t>ZPCD6741</t>
  </si>
  <si>
    <t>MP40-7983</t>
  </si>
  <si>
    <t>Kyler</t>
  </si>
  <si>
    <t>Suvi</t>
  </si>
  <si>
    <t>Juno</t>
  </si>
  <si>
    <t>Linen Blend Light Filtering Curtain Panel Pair</t>
  </si>
  <si>
    <t>2-PK 52x84"</t>
  </si>
  <si>
    <t>PP001787;PF005748</t>
  </si>
  <si>
    <t>8/12/2022</t>
  </si>
  <si>
    <t>AMAZON,ASHFURNDS,JCPENNEY01,KIRKLANDDS,KOHLDSN,OLLIIX</t>
  </si>
  <si>
    <t>NCWA2379</t>
  </si>
  <si>
    <t>8/17/2022</t>
  </si>
  <si>
    <t>9/29/2022</t>
  </si>
  <si>
    <t>MP10-8346</t>
  </si>
  <si>
    <t>Lacey</t>
  </si>
  <si>
    <t>Marla</t>
  </si>
  <si>
    <t>Arliss</t>
  </si>
  <si>
    <t>7 Piece Lace Trim Comforter Set with Throw Pillows</t>
  </si>
  <si>
    <t>PP001915;PF006121</t>
  </si>
  <si>
    <t>1/13/2024</t>
  </si>
  <si>
    <t>1/10/2025</t>
  </si>
  <si>
    <t>NCWA2576</t>
  </si>
  <si>
    <t>Tier 4</t>
  </si>
  <si>
    <t>MP13-5880</t>
  </si>
  <si>
    <t>Laetitia</t>
  </si>
  <si>
    <t>Virginia</t>
  </si>
  <si>
    <t>Tufted Cotton Chenille Medallion Fringe Coverlet Mini Set</t>
  </si>
  <si>
    <t>PF004301;PP000898</t>
  </si>
  <si>
    <t>Casual|BOHO</t>
  </si>
  <si>
    <t>5/29/2018</t>
  </si>
  <si>
    <t>AMAZON,BLK01,HDDS,JCPENNEY01,KOHLDSN,MACY02,OLLIIX,OVERSTOCK01,TGTDVS</t>
  </si>
  <si>
    <t>HSHM1794</t>
  </si>
  <si>
    <t>7/11/2018</t>
  </si>
  <si>
    <t>8/13/2018</t>
  </si>
  <si>
    <t>MPE10-379</t>
  </si>
  <si>
    <t>Lafael</t>
  </si>
  <si>
    <t>Eden</t>
  </si>
  <si>
    <t>Rowan</t>
  </si>
  <si>
    <t>PF003696</t>
  </si>
  <si>
    <t>RDBE1901</t>
  </si>
  <si>
    <t>3/2/2017</t>
  </si>
  <si>
    <t>FPF20-0377</t>
  </si>
  <si>
    <t>Lancaster</t>
  </si>
  <si>
    <t>PF000795;PP000034</t>
  </si>
  <si>
    <t>TRNT4639</t>
  </si>
  <si>
    <t>7/29/2016</t>
  </si>
  <si>
    <t>BASI10-0281</t>
  </si>
  <si>
    <t>Larkspur</t>
  </si>
  <si>
    <t>Windsor</t>
  </si>
  <si>
    <t>3M Scotchgard Diamond Quilting Reversible Down Alternative Comforter Set</t>
  </si>
  <si>
    <t>Black/Black</t>
  </si>
  <si>
    <t>PF002062</t>
  </si>
  <si>
    <t>BLK01,FINGERHUTDS,JCPENNEY01,KOHLDSN,MACY02,TGTDVS</t>
  </si>
  <si>
    <t>EBDG3311</t>
  </si>
  <si>
    <t>7/28/2015</t>
  </si>
  <si>
    <t>BASI10-0282</t>
  </si>
  <si>
    <t>5/9/2017</t>
  </si>
  <si>
    <t>BLK01,FINGERHUTDS,HDDS,JCPENNEY01,KOHLDSN,MACY02,OLLIIX,OVERSTOCK01,TGTDVS</t>
  </si>
  <si>
    <t>7/17/2015</t>
  </si>
  <si>
    <t>BASI10-0201</t>
  </si>
  <si>
    <t>PF002061</t>
  </si>
  <si>
    <t>FINGERHUTDS,JCPENNEY01,KOHLDSN,MACY02,TGTDVS,WALMARTDS</t>
  </si>
  <si>
    <t>1/12/2015</t>
  </si>
  <si>
    <t>BASI10-0195</t>
  </si>
  <si>
    <t>Brown/Sand</t>
  </si>
  <si>
    <t>PF002059</t>
  </si>
  <si>
    <t>FINGERHUTDS,KOHLDSN,MACY02,TGTDVS</t>
  </si>
  <si>
    <t>1/23/2015</t>
  </si>
  <si>
    <t>BASI10-0196</t>
  </si>
  <si>
    <t>MPE10-614</t>
  </si>
  <si>
    <t>Charcoal/Grey</t>
  </si>
  <si>
    <t>PF002064</t>
  </si>
  <si>
    <t>ASHFURNDS,KOHLDSN,MACY02,WALMARTDS</t>
  </si>
  <si>
    <t>10/16/2017</t>
  </si>
  <si>
    <t>BASI10-0199</t>
  </si>
  <si>
    <t>Navy/Light Blue</t>
  </si>
  <si>
    <t>PF002060</t>
  </si>
  <si>
    <t>ASHFURNDS,FINGERHUTDS,JCPENNEY01,KOHLDSN,MACY02,NRTPORT,OLLIIX,TGTDVS</t>
  </si>
  <si>
    <t>BASI10-0200</t>
  </si>
  <si>
    <t>BLK01,FINGERHUTDS,JCPENNEY01,KOHLDSN,MACY02</t>
  </si>
  <si>
    <t>MP72-5830</t>
  </si>
  <si>
    <t>Lasso</t>
  </si>
  <si>
    <t>Copula</t>
  </si>
  <si>
    <t>Braide</t>
  </si>
  <si>
    <t>100% Cotton Chenille Chain Stitch Rug</t>
  </si>
  <si>
    <t>PP000880;PF004257</t>
  </si>
  <si>
    <t>5/8/2018</t>
  </si>
  <si>
    <t>HDDS,JCPENNEY01,KIRKLANDDS,KOHLDSN,MACY02,OLLIIX,TGTDVS</t>
  </si>
  <si>
    <t>NCWA9680</t>
  </si>
  <si>
    <t>7/20/2018</t>
  </si>
  <si>
    <t>MP10-5116</t>
  </si>
  <si>
    <t>Laurel</t>
  </si>
  <si>
    <t>Vivian</t>
  </si>
  <si>
    <t>Piedmont</t>
  </si>
  <si>
    <t>7 Piece Tufted Comforter Set</t>
  </si>
  <si>
    <t>PF002423;PP000440</t>
  </si>
  <si>
    <t>BLK01,KOHLDSN,MACY02,NRTPORT,OLLIIX,TGTDVS</t>
  </si>
  <si>
    <t>WLAO4825</t>
  </si>
  <si>
    <t>10/2/2017</t>
  </si>
  <si>
    <t>10/13/2017</t>
  </si>
  <si>
    <t>MP10-1330</t>
  </si>
  <si>
    <t>PF002428;PP000440</t>
  </si>
  <si>
    <t>4/12/2017</t>
  </si>
  <si>
    <t>AMAZON,AMAZONDS,BLK01,DESINC,JCPENNEY01,KOHLDSN,MACY02,NRTPORT,OLLIIX,OVERSTOCK01,TGTDVS</t>
  </si>
  <si>
    <t>5/4/2015</t>
  </si>
  <si>
    <t>MP10-660</t>
  </si>
  <si>
    <t>PF002430;PP000440</t>
  </si>
  <si>
    <t>MP10-434</t>
  </si>
  <si>
    <t>DESINC,HSNDS,KOHLDSN,MACY02,NRTPORT,TGTDVS</t>
  </si>
  <si>
    <t>MP10-2242</t>
  </si>
  <si>
    <t>PF002429;PP000440</t>
  </si>
  <si>
    <t>1/11/2016</t>
  </si>
  <si>
    <t>MP10-641</t>
  </si>
  <si>
    <t>PF002425;PP000440</t>
  </si>
  <si>
    <t>JCPENNEY01,KOHLDSN,MACY02,NRTPORT,OVERSTOCK01</t>
  </si>
  <si>
    <t>1/7/2015</t>
  </si>
  <si>
    <t>MP10-1666</t>
  </si>
  <si>
    <t>Lavine</t>
  </si>
  <si>
    <t>Anouk</t>
  </si>
  <si>
    <t>Octavia</t>
  </si>
  <si>
    <t>PF002739;PP000441</t>
  </si>
  <si>
    <t>DRBH6341</t>
  </si>
  <si>
    <t>8/24/2015</t>
  </si>
  <si>
    <t>MP121-1223</t>
  </si>
  <si>
    <t>DINING TABLE</t>
  </si>
  <si>
    <t>Dining Table</t>
  </si>
  <si>
    <t>Lexi</t>
  </si>
  <si>
    <t>Hemlock</t>
  </si>
  <si>
    <t>Wesley</t>
  </si>
  <si>
    <t>46" Round Pedestal Dining Table</t>
  </si>
  <si>
    <t>46" Dia.</t>
  </si>
  <si>
    <t>Reclaimed Walnut</t>
  </si>
  <si>
    <t>1/20/2023</t>
  </si>
  <si>
    <t>NCWA1422</t>
  </si>
  <si>
    <t>2/2/2023</t>
  </si>
  <si>
    <t>2/7/2023</t>
  </si>
  <si>
    <t>WR54-3252</t>
  </si>
  <si>
    <t>Linden</t>
  </si>
  <si>
    <t>PP001629;PF005471</t>
  </si>
  <si>
    <t>XBYB1032</t>
  </si>
  <si>
    <t>3/16/2022</t>
  </si>
  <si>
    <t>WR54-3251</t>
  </si>
  <si>
    <t>PP001629;PF005470</t>
  </si>
  <si>
    <t>AMAZON,BLK01,JCPENNEY01,KOHLDSN,MACY02,OVERSTOCK01,TGTDVS</t>
  </si>
  <si>
    <t>10/9/2023</t>
  </si>
  <si>
    <t>MP95C-0037</t>
  </si>
  <si>
    <t>Linen Botanicals</t>
  </si>
  <si>
    <t>Illustration 3-piece Canvas Wall Art Set</t>
  </si>
  <si>
    <t>PF001908</t>
  </si>
  <si>
    <t>BLK01,KIRKLANDDS,KOHLDSN,MACY02,OLLIIX,TGTDVS</t>
  </si>
  <si>
    <t>LARK7186</t>
  </si>
  <si>
    <t>10/25/2016</t>
  </si>
  <si>
    <t>5DS153-0049</t>
  </si>
  <si>
    <t>Liora</t>
  </si>
  <si>
    <t>2-Tone Ceramic Table Lamp Set of 2</t>
  </si>
  <si>
    <t>Black/Gold</t>
  </si>
  <si>
    <t>1/21/2024</t>
  </si>
  <si>
    <t>NGIN1163</t>
  </si>
  <si>
    <t>5DS153-0048</t>
  </si>
  <si>
    <t>White/Silver</t>
  </si>
  <si>
    <t>MP10-6833</t>
  </si>
  <si>
    <t>Lola</t>
  </si>
  <si>
    <t>Brianna</t>
  </si>
  <si>
    <t>Victoria</t>
  </si>
  <si>
    <t>Printed Cotton Sateen Comforter Set</t>
  </si>
  <si>
    <t>PF002455;PP000448</t>
  </si>
  <si>
    <t>Farm House|Casual</t>
  </si>
  <si>
    <t>JCPENNEY01,KOHLDSN,MACY02,NRTPORT</t>
  </si>
  <si>
    <t>RBSD4978</t>
  </si>
  <si>
    <t>12/19/2019</t>
  </si>
  <si>
    <t>4/14/2020</t>
  </si>
  <si>
    <t>MP10-6832</t>
  </si>
  <si>
    <t>Grey/Peach</t>
  </si>
  <si>
    <t>PP000448;PF004226</t>
  </si>
  <si>
    <t>12/31/2019</t>
  </si>
  <si>
    <t>AMAZON,AMAZONDS,FINGERHUTDS,JCPENNEY01,KOHLDSN,MACY02,OLLIIX,OVERSTOCK01</t>
  </si>
  <si>
    <t>12/30/2019</t>
  </si>
  <si>
    <t>3/6/2020</t>
  </si>
  <si>
    <t>MP13-6835</t>
  </si>
  <si>
    <t>6 Piece Printed Cotton Quilt Set with Throw Pillows</t>
  </si>
  <si>
    <t>AMAZON,JCPENNEY01,KOHLDSN,MACY02,OLLIIX,OVERSTOCK01</t>
  </si>
  <si>
    <t>RDBS3541</t>
  </si>
  <si>
    <t>MP10-5672</t>
  </si>
  <si>
    <t>4/16/2018</t>
  </si>
  <si>
    <t>5/24/2018</t>
  </si>
  <si>
    <t>MP10-436</t>
  </si>
  <si>
    <t>Taupe Grey/Purple</t>
  </si>
  <si>
    <t>PF002454;PP000448</t>
  </si>
  <si>
    <t>1/13/2015</t>
  </si>
  <si>
    <t>MP12-260</t>
  </si>
  <si>
    <t>6 Piece Printed Duvet Cover Set</t>
  </si>
  <si>
    <t>AMAZON,JCPENNEY01,KOHLDSN,OLLIIX,OVERSTOCK01,TGTDVS</t>
  </si>
  <si>
    <t>RBSD9463</t>
  </si>
  <si>
    <t>MP13-325</t>
  </si>
  <si>
    <t>Taupe Grey/Yellow</t>
  </si>
  <si>
    <t>PF002451;PP000448</t>
  </si>
  <si>
    <t>MP12-177</t>
  </si>
  <si>
    <t>PF002450;PP000448</t>
  </si>
  <si>
    <t>HH10-1621</t>
  </si>
  <si>
    <t>Lorelai</t>
  </si>
  <si>
    <t>Cotton Printed 6 Piece Comforter Set</t>
  </si>
  <si>
    <t>PF003337</t>
  </si>
  <si>
    <t>AMAZON,AMAZONDS,JCPENNEY01,KOHLDSN,MACY02,OVERSTOCK01</t>
  </si>
  <si>
    <t>HUH1725</t>
  </si>
  <si>
    <t>2/27/2017</t>
  </si>
  <si>
    <t>ID10-1217</t>
  </si>
  <si>
    <t>Loretta</t>
  </si>
  <si>
    <t>Eleni</t>
  </si>
  <si>
    <t>Boho Comforter Set with Bed Sheets</t>
  </si>
  <si>
    <t>PF001689</t>
  </si>
  <si>
    <t>6/27/2017</t>
  </si>
  <si>
    <t>AAFESDS,KOHLDSN</t>
  </si>
  <si>
    <t>HBEE2890</t>
  </si>
  <si>
    <t>7/10/2017</t>
  </si>
  <si>
    <t>MPS73-477</t>
  </si>
  <si>
    <t>Luce</t>
  </si>
  <si>
    <t>100% Egyptian Cotton 6 Piece Towel Set</t>
  </si>
  <si>
    <t>PP001119</t>
  </si>
  <si>
    <t>AMAZON,BLK01,HDDS,JCPENNEY01,KOHLDSN,MACY02,OLLIIX,OVERSTOCK01</t>
  </si>
  <si>
    <t>NCWB1173</t>
  </si>
  <si>
    <t>MPS73-476</t>
  </si>
  <si>
    <t>AMAZON,HOUZZ,JCPENNEY01,KOHLDSN,MACY02,OVERSTOCK01</t>
  </si>
  <si>
    <t>MPS73-426</t>
  </si>
  <si>
    <t>Sand</t>
  </si>
  <si>
    <t>5/2/2019</t>
  </si>
  <si>
    <t>AMAZON,JCPENNEY01,KOHLDSN,MACY02,OLLIIX,OVERSTOCK01,ZOLA</t>
  </si>
  <si>
    <t>6/19/2019</t>
  </si>
  <si>
    <t>4/21/2020</t>
  </si>
  <si>
    <t>MPS73-425</t>
  </si>
  <si>
    <t>BLK01,JCPENNEY01,KOHLDSN,MACY02,OLLIIX,OVERSTOCK01,ZOLA</t>
  </si>
  <si>
    <t>1/28/2020</t>
  </si>
  <si>
    <t>ID10-2369</t>
  </si>
  <si>
    <t>Lucy</t>
  </si>
  <si>
    <t>Elise</t>
  </si>
  <si>
    <t>Clip Jacquard Comforter Set</t>
  </si>
  <si>
    <t>PP001813;PF006254</t>
  </si>
  <si>
    <t>6/1/2024</t>
  </si>
  <si>
    <t>JLZL1262</t>
  </si>
  <si>
    <t>ID12-2285</t>
  </si>
  <si>
    <t>Clip Jacquard Duvet Cover Set</t>
  </si>
  <si>
    <t>PP001813;PF006085</t>
  </si>
  <si>
    <t>JLZL1268</t>
  </si>
  <si>
    <t>5/7/2024</t>
  </si>
  <si>
    <t>ID12-2286</t>
  </si>
  <si>
    <t>ID10-2277</t>
  </si>
  <si>
    <t>PP001813;PF006084</t>
  </si>
  <si>
    <t>ID12-2280</t>
  </si>
  <si>
    <t>2/5/2024</t>
  </si>
  <si>
    <t>ID12-2275</t>
  </si>
  <si>
    <t>PP001813;PF006083</t>
  </si>
  <si>
    <t>6/27/2024</t>
  </si>
  <si>
    <t>UHK10-0230</t>
  </si>
  <si>
    <t>Lulu</t>
  </si>
  <si>
    <t>Thea</t>
  </si>
  <si>
    <t>Maisie</t>
  </si>
  <si>
    <t>Floral Reversible Cotton Comforter Set with Throw Pillow</t>
  </si>
  <si>
    <t>PF006170</t>
  </si>
  <si>
    <t>4/5/2024</t>
  </si>
  <si>
    <t>VBDN1057</t>
  </si>
  <si>
    <t>MP95C-0155</t>
  </si>
  <si>
    <t>Luminous</t>
  </si>
  <si>
    <t>Heavily Embellished 3-piece Canvas Wall Art Set</t>
  </si>
  <si>
    <t>PF004270</t>
  </si>
  <si>
    <t>3/18/2018</t>
  </si>
  <si>
    <t>AMAZON,AMERSIGNDS</t>
  </si>
  <si>
    <t>NCWA1167</t>
  </si>
  <si>
    <t>PET63HD5681</t>
  </si>
  <si>
    <t>Luna</t>
  </si>
  <si>
    <t>Hooded Round Bed</t>
  </si>
  <si>
    <t>9/17/2021</t>
  </si>
  <si>
    <t>BFFS1123</t>
  </si>
  <si>
    <t>2/2/2022</t>
  </si>
  <si>
    <t>PET63HD5680</t>
  </si>
  <si>
    <t>9/18/2021</t>
  </si>
  <si>
    <t>AMAZON,AMAZONDS,CHEWYDS</t>
  </si>
  <si>
    <t>2/1/2022</t>
  </si>
  <si>
    <t>FB153-1180</t>
  </si>
  <si>
    <t>Luxuria</t>
  </si>
  <si>
    <t>Textured Glass and Acrylic Base Table Lamp</t>
  </si>
  <si>
    <t>Antique Silver</t>
  </si>
  <si>
    <t>1/16/2024</t>
  </si>
  <si>
    <t>HTN10023</t>
  </si>
  <si>
    <t>5/21/2024</t>
  </si>
  <si>
    <t>CCS20-015</t>
  </si>
  <si>
    <t>Croscill</t>
  </si>
  <si>
    <t>Luxury Egyptian</t>
  </si>
  <si>
    <t>500TC Cotton Pillowcases</t>
  </si>
  <si>
    <t>CFSC1004</t>
  </si>
  <si>
    <t>3/17/2023</t>
  </si>
  <si>
    <t>CCS20-038</t>
  </si>
  <si>
    <t>500TC Cotton Sheet Set</t>
  </si>
  <si>
    <t>BLK01,HDDS,JCPENNEY01,KOHLDSN,OLLIIX,OVERSTOCK01</t>
  </si>
  <si>
    <t>CFSC1017</t>
  </si>
  <si>
    <t>CCS20-014</t>
  </si>
  <si>
    <t>CCS20-010</t>
  </si>
  <si>
    <t>AMAZON,HDDS,OVERSTOCK01</t>
  </si>
  <si>
    <t>CCS20-009</t>
  </si>
  <si>
    <t>AMAZONDS,HDDS,KOHLDSN,MACY02,OLLIIX,OVERSTOCK01</t>
  </si>
  <si>
    <t>9/11/2023</t>
  </si>
  <si>
    <t>CCS20-005</t>
  </si>
  <si>
    <t>4/14/2024</t>
  </si>
  <si>
    <t>CCS20-004</t>
  </si>
  <si>
    <t>JCPENNEY01,MACY02,OLLIIX,OVERSTOCK01</t>
  </si>
  <si>
    <t>MP153-0179</t>
  </si>
  <si>
    <t>Macon</t>
  </si>
  <si>
    <t>Glass Cylinder Table Lamp</t>
  </si>
  <si>
    <t>Clear</t>
  </si>
  <si>
    <t>3/13/2018</t>
  </si>
  <si>
    <t>AMERSIGNDS,OLLIIX,OVERSTOCK01</t>
  </si>
  <si>
    <t>NCWA1215</t>
  </si>
  <si>
    <t>8/2/2018</t>
  </si>
  <si>
    <t>MP104-1079</t>
  </si>
  <si>
    <t>Maison</t>
  </si>
  <si>
    <t>Marc</t>
  </si>
  <si>
    <t>Eugene</t>
  </si>
  <si>
    <t>Charcoal/Antique Gold</t>
  </si>
  <si>
    <t>2/4/2021</t>
  </si>
  <si>
    <t>HDDS,JCPENNEY01,KOHLDSN,LAMPDS,OLLIIX,OVERSTOCK01,ROOMECOM,TGTDVS</t>
  </si>
  <si>
    <t>NCWA1962</t>
  </si>
  <si>
    <t>MP100-0538</t>
  </si>
  <si>
    <t>Malabar</t>
  </si>
  <si>
    <t>Leigh</t>
  </si>
  <si>
    <t>Daly</t>
  </si>
  <si>
    <t>PP000671</t>
  </si>
  <si>
    <t>1/19/2018</t>
  </si>
  <si>
    <t>GOLV4186</t>
  </si>
  <si>
    <t>ID10-2042</t>
  </si>
  <si>
    <t>Malea</t>
  </si>
  <si>
    <t>Leena</t>
  </si>
  <si>
    <t>Shaggy Long Fur Comforter Mini Set</t>
  </si>
  <si>
    <t>PP001109;PF005482</t>
  </si>
  <si>
    <t>8/3/2021</t>
  </si>
  <si>
    <t>JCPENNEY01,KOHLDSN,MACY02,NRTPORT,TGTDVS</t>
  </si>
  <si>
    <t>RSDP1914</t>
  </si>
  <si>
    <t>9/27/2021</t>
  </si>
  <si>
    <t>ID10-2043</t>
  </si>
  <si>
    <t>AMAZONDS,DESINC,FINGERHUTDS,JCPENNEY01,KOHLDSN,MACY02,OLLIIX,OVERSTOCK01,TGTDVS</t>
  </si>
  <si>
    <t>ID10-2234</t>
  </si>
  <si>
    <t>PP001109;PF006032</t>
  </si>
  <si>
    <t>8/3/2023</t>
  </si>
  <si>
    <t>1/8/2025</t>
  </si>
  <si>
    <t>ID10-2235</t>
  </si>
  <si>
    <t>JCPENNEY01,KOHLDSN,MACY02,NRTPORT,OLLIIX,OVERSTOCK01</t>
  </si>
  <si>
    <t>8/28/2023</t>
  </si>
  <si>
    <t>ID10-2236</t>
  </si>
  <si>
    <t>10/2/2023</t>
  </si>
  <si>
    <t>TN54-0509</t>
  </si>
  <si>
    <t>Marbled Sherpa</t>
  </si>
  <si>
    <t>PP001894;PF006044</t>
  </si>
  <si>
    <t>9/9/2023</t>
  </si>
  <si>
    <t>BLK01,HDDS,JCPENNEY01,KOHLDSN,MACY02,OVERSTOCK01,TGTDVS</t>
  </si>
  <si>
    <t>SLPH1141</t>
  </si>
  <si>
    <t>TN54-0507</t>
  </si>
  <si>
    <t>PP001894;PF006042</t>
  </si>
  <si>
    <t>TN54-0508</t>
  </si>
  <si>
    <t>PP001894;PF006043</t>
  </si>
  <si>
    <t>MP13-7949</t>
  </si>
  <si>
    <t>Marina</t>
  </si>
  <si>
    <t>Anchorage</t>
  </si>
  <si>
    <t>Fairbanks</t>
  </si>
  <si>
    <t>PP001782;PF005733</t>
  </si>
  <si>
    <t>8/19/2022</t>
  </si>
  <si>
    <t>AMAZONDS,BLK01,HDDS,JCPENNEY01,KOHLDSN,MACY02,OVERSTOCK01,TGTDVS</t>
  </si>
  <si>
    <t>SEHO8017</t>
  </si>
  <si>
    <t>8/24/2022</t>
  </si>
  <si>
    <t>9/19/2022</t>
  </si>
  <si>
    <t>MP10-7943</t>
  </si>
  <si>
    <t>8 Piece Printed Seersucker Comforter and Quilt Set Collection</t>
  </si>
  <si>
    <t>PP001782;PF005730</t>
  </si>
  <si>
    <t>8/16/2022</t>
  </si>
  <si>
    <t>NCWA1419</t>
  </si>
  <si>
    <t>9/13/2022</t>
  </si>
  <si>
    <t>ID10-1729</t>
  </si>
  <si>
    <t>Marsden</t>
  </si>
  <si>
    <t>James</t>
  </si>
  <si>
    <t>Eddie</t>
  </si>
  <si>
    <t>Striped Comforter Set with Bed Sheets</t>
  </si>
  <si>
    <t>PF004648</t>
  </si>
  <si>
    <t>3/7/2025</t>
  </si>
  <si>
    <t>JLZL1099</t>
  </si>
  <si>
    <t>5/12/2019</t>
  </si>
  <si>
    <t>ID10-1730</t>
  </si>
  <si>
    <t>II10-596</t>
  </si>
  <si>
    <t>Masie</t>
  </si>
  <si>
    <t>3 Piece Elastic Embroidered Cotton Comforter Set</t>
  </si>
  <si>
    <t>PF001679;PP000451</t>
  </si>
  <si>
    <t>JCPENNEY01,MACY02,OLLIIX,OVERSTOCK01,TGTDVS</t>
  </si>
  <si>
    <t>CHMB2441</t>
  </si>
  <si>
    <t>6/22/2016</t>
  </si>
  <si>
    <t>II10-597</t>
  </si>
  <si>
    <t>AMAZON,HOUZZ,HSNDS,JCPENNEY01,KOHLDSN,MACY02,OLLIIX,OVERSTOCK01,TGTDVS</t>
  </si>
  <si>
    <t>7/14/2016</t>
  </si>
  <si>
    <t>MP95D-0239</t>
  </si>
  <si>
    <t>CLOCKS</t>
  </si>
  <si>
    <t>Clocks(161)</t>
  </si>
  <si>
    <t>Mason</t>
  </si>
  <si>
    <t>23.6" Wood Wall Clock</t>
  </si>
  <si>
    <t>Natural/Grey</t>
  </si>
  <si>
    <t>PP001422;PF004974</t>
  </si>
  <si>
    <t>12/6/2019</t>
  </si>
  <si>
    <t>AMAZON,AMERSIGNDS,ASHFURNDS,BLK01,HDDS,JCPENNEY01,KIRKLANDDS,KOHLDSN,LAMPDS,MACY02,OLLIIX,ZOLA</t>
  </si>
  <si>
    <t>NCWA1784</t>
  </si>
  <si>
    <t>MP104-1104</t>
  </si>
  <si>
    <t>Mateo</t>
  </si>
  <si>
    <t>Quarry</t>
  </si>
  <si>
    <t>5/18/2021</t>
  </si>
  <si>
    <t>NCWA1814</t>
  </si>
  <si>
    <t>5/30/2021</t>
  </si>
  <si>
    <t>SS40-0028</t>
  </si>
  <si>
    <t>Maya</t>
  </si>
  <si>
    <t>Arlie</t>
  </si>
  <si>
    <t>Rune</t>
  </si>
  <si>
    <t>Printed Heathered Blackout Grommet Top Curtain Panel</t>
  </si>
  <si>
    <t>PF003955</t>
  </si>
  <si>
    <t>AMAZON,AMAZONDS,BEALLSDS,BLK01,JCPENNEY01,KOHLDSN,OLLIIX,TGTDVS</t>
  </si>
  <si>
    <t>TDFM1003</t>
  </si>
  <si>
    <t>SS40-0026</t>
  </si>
  <si>
    <t>50x54"</t>
  </si>
  <si>
    <t>ASHFURNDS,JCPENNEY01,OLLIIX,TGTDVS</t>
  </si>
  <si>
    <t>9/22/2017</t>
  </si>
  <si>
    <t>SS40-0108</t>
  </si>
  <si>
    <t>Printed Heathered Blackout Window Patio Panel</t>
  </si>
  <si>
    <t>100x84" Blackout</t>
  </si>
  <si>
    <t>AMAZON,AMAZONDS,BLK01,JCPENNEY01,KOHLDSN,OLLIIX,OVERSTOCK01,TGTDVS</t>
  </si>
  <si>
    <t>HH11-1228A</t>
  </si>
  <si>
    <t>Maya Bay</t>
  </si>
  <si>
    <t>PF003324</t>
  </si>
  <si>
    <t>HDDS,JCPENNEY01,MACY02,OLLIIX,OVERSTOCK01</t>
  </si>
  <si>
    <t>HUH1332</t>
  </si>
  <si>
    <t>HH10-1225</t>
  </si>
  <si>
    <t>AMAZON,OLLIIX,OVERSTOCK01</t>
  </si>
  <si>
    <t>HUH1351</t>
  </si>
  <si>
    <t>1/27/2015</t>
  </si>
  <si>
    <t>MP10-1659</t>
  </si>
  <si>
    <t>Medina</t>
  </si>
  <si>
    <t>Barrett</t>
  </si>
  <si>
    <t>Ryland</t>
  </si>
  <si>
    <t>8 Piece Jacquard Comforter Set</t>
  </si>
  <si>
    <t>PF002737</t>
  </si>
  <si>
    <t>Transitional|Glam/Luxury</t>
  </si>
  <si>
    <t>AMAZON,BLK01,JCPENNEY01,KOHLDSN,MACY02,OLLIIX,OVERSTOCK01,TGTDVS</t>
  </si>
  <si>
    <t>TRPT6757</t>
  </si>
  <si>
    <t>7/20/2015</t>
  </si>
  <si>
    <t>BASI30-0523</t>
  </si>
  <si>
    <t>Pillow Insert</t>
  </si>
  <si>
    <t>Memory Foam</t>
  </si>
  <si>
    <t>Wedge Pillow</t>
  </si>
  <si>
    <t>22x24x7"</t>
  </si>
  <si>
    <t>AMAZON,BEALLSDS,BLK01,HSNDS,JCPENNEY01,KOHLDSN,MACY02,OLLIIX,OVERSTOCK01,TGTDVS,ZOLA</t>
  </si>
  <si>
    <t>CEXA1015</t>
  </si>
  <si>
    <t>12/11/2017</t>
  </si>
  <si>
    <t>8/3/2020</t>
  </si>
  <si>
    <t>UH13-2321</t>
  </si>
  <si>
    <t>Mercer</t>
  </si>
  <si>
    <t>Ronan</t>
  </si>
  <si>
    <t>3 Piece Cotton Quilt Set with Chenille Trims</t>
  </si>
  <si>
    <t>PP001460;PF005049</t>
  </si>
  <si>
    <t>OLLIIX,TGTDVS</t>
  </si>
  <si>
    <t>UBHB1213</t>
  </si>
  <si>
    <t>5/19/2020</t>
  </si>
  <si>
    <t>UH12-2320</t>
  </si>
  <si>
    <t>3 Piece Cotton Chenille Duvet Cover Set</t>
  </si>
  <si>
    <t>3/30/2020</t>
  </si>
  <si>
    <t>BLK01,HDDS,JCPENNEY01,KOHLDSN,OLLIIX,OVERSTOCK01,TGTDVS</t>
  </si>
  <si>
    <t>UBHB1214</t>
  </si>
  <si>
    <t>ID20-1473</t>
  </si>
  <si>
    <t>Metallic Dot</t>
  </si>
  <si>
    <t>Blush/Gold</t>
  </si>
  <si>
    <t>PP000922</t>
  </si>
  <si>
    <t>5/25/2018</t>
  </si>
  <si>
    <t>JLZL1004</t>
  </si>
  <si>
    <t>5/27/2018</t>
  </si>
  <si>
    <t>ID20-1474</t>
  </si>
  <si>
    <t>7/18/2018</t>
  </si>
  <si>
    <t>MP95F-0327</t>
  </si>
  <si>
    <t>Mia</t>
  </si>
  <si>
    <t>Gold Metal Arch Wall Mirror</t>
  </si>
  <si>
    <t>4/4/2024</t>
  </si>
  <si>
    <t>NCWA2689</t>
  </si>
  <si>
    <t>4/23/2024</t>
  </si>
  <si>
    <t>7/3/2024</t>
  </si>
  <si>
    <t>TN20-0460</t>
  </si>
  <si>
    <t>Micro Fleece</t>
  </si>
  <si>
    <t>PP001622;PF005448</t>
  </si>
  <si>
    <t>5/27/2021</t>
  </si>
  <si>
    <t>AMAZON,AMAZONDS,KOHLDSN,MACY02,TGTDVS</t>
  </si>
  <si>
    <t>CRLM1550</t>
  </si>
  <si>
    <t>TN20-0461</t>
  </si>
  <si>
    <t>TN20-0462</t>
  </si>
  <si>
    <t>10/25/2021</t>
  </si>
  <si>
    <t>TN20-0464</t>
  </si>
  <si>
    <t>TN20-0465</t>
  </si>
  <si>
    <t>FINGERHUTDS,KOHLDSN,MACY02</t>
  </si>
  <si>
    <t>10/7/2021</t>
  </si>
  <si>
    <t>PC20-010</t>
  </si>
  <si>
    <t>PF001563</t>
  </si>
  <si>
    <t>AMAZONDS,BLK01,JCPENNEY01,KOHLDSN,MACY02,OLLIIX,OVERSTOCK01</t>
  </si>
  <si>
    <t>1/14/2015</t>
  </si>
  <si>
    <t>SHET20-746</t>
  </si>
  <si>
    <t>TN20-0522</t>
  </si>
  <si>
    <t>PP001622;PF006086</t>
  </si>
  <si>
    <t>10/26/2023</t>
  </si>
  <si>
    <t>11/16/2023</t>
  </si>
  <si>
    <t>TN20-0526</t>
  </si>
  <si>
    <t>AMAZON,KOHLDSN,OLLIIX,OVERSTOCK01,TGTDVS</t>
  </si>
  <si>
    <t>TN20-0527</t>
  </si>
  <si>
    <t>SHET20-530</t>
  </si>
  <si>
    <t>PF001775</t>
  </si>
  <si>
    <t>8/20/2015</t>
  </si>
  <si>
    <t>SHET20-737</t>
  </si>
  <si>
    <t>AMAZON,AMAZONDS,JCPENNEY01,KOHLDSN,MACY02</t>
  </si>
  <si>
    <t>8/29/2016</t>
  </si>
  <si>
    <t>12/29/2016</t>
  </si>
  <si>
    <t>SHET20-743</t>
  </si>
  <si>
    <t>PF001735</t>
  </si>
  <si>
    <t>10/5/2015</t>
  </si>
  <si>
    <t>SHET20-526</t>
  </si>
  <si>
    <t>PF001774</t>
  </si>
  <si>
    <t>SHET20-735</t>
  </si>
  <si>
    <t>11/20/2016</t>
  </si>
  <si>
    <t>SHET20-527</t>
  </si>
  <si>
    <t>6/29/2015</t>
  </si>
  <si>
    <t>SHET20-528</t>
  </si>
  <si>
    <t>AMAZON,BLK01,DESINC,FINGERHUTDS,KOHLDSN,MACY02,OVERSTOCK01,TGTDVS</t>
  </si>
  <si>
    <t>SHET20-736</t>
  </si>
  <si>
    <t>AMAZON,FINGERHUTDS,KOHLDSN,MACY02,OVERSTOCK01</t>
  </si>
  <si>
    <t>TN20-0528</t>
  </si>
  <si>
    <t>PP001622;PF006087</t>
  </si>
  <si>
    <t>TN20-0529</t>
  </si>
  <si>
    <t>TN20-0531</t>
  </si>
  <si>
    <t>SHET20-999</t>
  </si>
  <si>
    <t>PF002215</t>
  </si>
  <si>
    <t>AMAZON,AMAZONDS,BLK01,DESINC,JCPENNEY01,KOHLDSN,MACY02,OVERSTOCK01</t>
  </si>
  <si>
    <t>10/13/2016</t>
  </si>
  <si>
    <t>TN20-0532</t>
  </si>
  <si>
    <t>Grey Snowflake</t>
  </si>
  <si>
    <t>PP001622;PF006088</t>
  </si>
  <si>
    <t>SHET20-747</t>
  </si>
  <si>
    <t>PF001746</t>
  </si>
  <si>
    <t>9/28/2015</t>
  </si>
  <si>
    <t>SHET20-748</t>
  </si>
  <si>
    <t>AMAZONDS,DESINC,KOHLDSN,MACY02,OVERSTOCK01,WALMARTDS</t>
  </si>
  <si>
    <t>12/2/2015</t>
  </si>
  <si>
    <t>PC20-001</t>
  </si>
  <si>
    <t>PF001674</t>
  </si>
  <si>
    <t>1/30/2015</t>
  </si>
  <si>
    <t>SHET20-741</t>
  </si>
  <si>
    <t>9/29/2016</t>
  </si>
  <si>
    <t>PC20-004</t>
  </si>
  <si>
    <t>AMAZON,BLK01,FINGERHUTDS,KOHLDSN,MACY02,OVERSTOCK01,WALMARTDS</t>
  </si>
  <si>
    <t>SHET20-792</t>
  </si>
  <si>
    <t>PF001777</t>
  </si>
  <si>
    <t>AMAZON,AMAZONDS,KOHLDSN,MACY02,OLLIIX,OVERSTOCK01</t>
  </si>
  <si>
    <t>10/26/2016</t>
  </si>
  <si>
    <t>SHET20-797</t>
  </si>
  <si>
    <t>SHET20-534</t>
  </si>
  <si>
    <t>PF001776</t>
  </si>
  <si>
    <t>SHET20-537</t>
  </si>
  <si>
    <t>9/16/2015</t>
  </si>
  <si>
    <t>SHET20-740</t>
  </si>
  <si>
    <t>10/7/2016</t>
  </si>
  <si>
    <t>ID20-2208</t>
  </si>
  <si>
    <t>All Season Soft Touch Sheet Set</t>
  </si>
  <si>
    <t>PP001853;PF005933</t>
  </si>
  <si>
    <t>AMAZON,OLLIIX,TGTDVS</t>
  </si>
  <si>
    <t>WLAO2945</t>
  </si>
  <si>
    <t>ID20-2209</t>
  </si>
  <si>
    <t>ID20-2210</t>
  </si>
  <si>
    <t>ID20-2211</t>
  </si>
  <si>
    <t>AMAZON,BEALLSDS,JCPENNEY01,KOHLDSN,MACY02</t>
  </si>
  <si>
    <t>ID20-2212</t>
  </si>
  <si>
    <t>ID20-2203</t>
  </si>
  <si>
    <t>PP001853;PF005932</t>
  </si>
  <si>
    <t>AMAZON,KOHLDSN,OLLIIX,TGTDVS</t>
  </si>
  <si>
    <t>4/19/2024</t>
  </si>
  <si>
    <t>ID20-2204</t>
  </si>
  <si>
    <t>ID20-2205</t>
  </si>
  <si>
    <t>AMAZON,JCPENNEY01,OLLIIX,TGTDVS</t>
  </si>
  <si>
    <t>ID20-2206</t>
  </si>
  <si>
    <t>AMAZON,JCPENNEY01,KOHLDSN,NRTPORT,TGTDVS</t>
  </si>
  <si>
    <t>ID20-2207</t>
  </si>
  <si>
    <t>ID20-1074</t>
  </si>
  <si>
    <t>PF001772</t>
  </si>
  <si>
    <t>AMAZONDS,HSNDS,MACY02,OLLIIX</t>
  </si>
  <si>
    <t>2/6/2017</t>
  </si>
  <si>
    <t>ID20-1914</t>
  </si>
  <si>
    <t>Sheet Set with Side Storage Pockets</t>
  </si>
  <si>
    <t>5/13/2020</t>
  </si>
  <si>
    <t>JLZL1005</t>
  </si>
  <si>
    <t>6/9/2020</t>
  </si>
  <si>
    <t>12/16/2021</t>
  </si>
  <si>
    <t>ID20-1075</t>
  </si>
  <si>
    <t>AMAZONDS,FINGERHUTDS,HSNDS,KOHLDSN,MACY02,OVERSTOCK01</t>
  </si>
  <si>
    <t>ID20-1915</t>
  </si>
  <si>
    <t>KOHLDSN,MACY02,TGTDVS,WALMARTDS</t>
  </si>
  <si>
    <t>8/10/2020</t>
  </si>
  <si>
    <t>ID20-1076</t>
  </si>
  <si>
    <t>AMAZON,HSNDS,JCPENNEY01,KOHLDSN,MACY02,OLLIIX,OVERSTOCK01</t>
  </si>
  <si>
    <t>3/20/2017</t>
  </si>
  <si>
    <t>ID20-1916</t>
  </si>
  <si>
    <t>KOHLDSN,MACY02,OLLIIX,TGTDVS</t>
  </si>
  <si>
    <t>9/17/2020</t>
  </si>
  <si>
    <t>ID20-1077</t>
  </si>
  <si>
    <t>AMAZONDS,FINGERHUTDS,HSNDS,JCPENNEY01,KOHLDSN,MACY02,OLLIIX</t>
  </si>
  <si>
    <t>3/7/2017</t>
  </si>
  <si>
    <t>ID20-1917</t>
  </si>
  <si>
    <t>HDDS,JCPENNEY01,KOHLDSN,MACY02,OLLIIX,TGTDVS</t>
  </si>
  <si>
    <t>9/14/2020</t>
  </si>
  <si>
    <t>ID20-1078</t>
  </si>
  <si>
    <t>AMAZON,BLK01,FINGERHUTDS,HSNDS,KOHLDSN,MACY02,OLLIIX,TGTDVS</t>
  </si>
  <si>
    <t>ID20-132</t>
  </si>
  <si>
    <t>PF001767</t>
  </si>
  <si>
    <t>AMAZONDS,MACY02,OLLIIX,TGTDVS</t>
  </si>
  <si>
    <t>ID20-1454</t>
  </si>
  <si>
    <t>8/30/2018</t>
  </si>
  <si>
    <t>ID20-133</t>
  </si>
  <si>
    <t>FINGERHUTDS,MACY02,TGTDVS</t>
  </si>
  <si>
    <t>ID20-1455</t>
  </si>
  <si>
    <t>6/25/2018</t>
  </si>
  <si>
    <t>ID20-134</t>
  </si>
  <si>
    <t>AMAZONDS,HSNDS,KOHLDSN,MACY02,OLLIIX</t>
  </si>
  <si>
    <t>2/3/2015</t>
  </si>
  <si>
    <t>ID20-1456</t>
  </si>
  <si>
    <t>ID20-135</t>
  </si>
  <si>
    <t>AMAZONDS,FINGERHUTDS,HSNDS,JCPENNEY01,KOHLDSN,MACY02,OLLIIX,TGTDVS,WALMARTDS</t>
  </si>
  <si>
    <t>1/15/2015</t>
  </si>
  <si>
    <t>ID20-1457</t>
  </si>
  <si>
    <t>ID20-136</t>
  </si>
  <si>
    <t>AMAZON,FINGERHUTDS,HSNDS,KOHLDSN,MACY02,OLLIIX,TGTDVS</t>
  </si>
  <si>
    <t>ID20-2213</t>
  </si>
  <si>
    <t>PP001853;PF005934</t>
  </si>
  <si>
    <t>AMAZON,KOHLDSN,NRTPORT,TGTDVS</t>
  </si>
  <si>
    <t>ID20-2214</t>
  </si>
  <si>
    <t>ID20-2215</t>
  </si>
  <si>
    <t>JCPENNEY01,KOHLDSN,TGTDVS</t>
  </si>
  <si>
    <t>ID20-2216</t>
  </si>
  <si>
    <t>JCPENNEY01,KOHLDSN,OLLIIX,TGTDVS</t>
  </si>
  <si>
    <t>ID20-2217</t>
  </si>
  <si>
    <t>ID20-137</t>
  </si>
  <si>
    <t>PF001769</t>
  </si>
  <si>
    <t>ID20-1458</t>
  </si>
  <si>
    <t>8/8/2018</t>
  </si>
  <si>
    <t>ID20-138</t>
  </si>
  <si>
    <t>1/26/2015</t>
  </si>
  <si>
    <t>ID20-1459</t>
  </si>
  <si>
    <t>HDDS,KOHLDSN,MACY02</t>
  </si>
  <si>
    <t>ID20-139</t>
  </si>
  <si>
    <t>JCPENNEY01,MACY02,TGTDVS</t>
  </si>
  <si>
    <t>ID20-1460</t>
  </si>
  <si>
    <t>HDDS,KOHLDSN,MACY02,OLLIIX,OVERSTOCK01,TGTDVS</t>
  </si>
  <si>
    <t>ID20-140</t>
  </si>
  <si>
    <t>BLK01,FINGERHUTDS,HSNDS,JCPENNEY01,KOHLDSN,MACY02,TGTDVS</t>
  </si>
  <si>
    <t>1/20/2015</t>
  </si>
  <si>
    <t>ID20-1461</t>
  </si>
  <si>
    <t>BLK01,HDDS,JCPENNEY01,KOHLDSN,MACY02,NRTPORT,OLLIIX,OVERSTOCK01,TGTDVS</t>
  </si>
  <si>
    <t>ID20-141</t>
  </si>
  <si>
    <t>ID20-1080</t>
  </si>
  <si>
    <t>PF001773</t>
  </si>
  <si>
    <t>AMAZONDS,HSNDS,MACY02,TGTDVS,WALMARTDS</t>
  </si>
  <si>
    <t>ID20-1081</t>
  </si>
  <si>
    <t>AMAZON,FINGERHUTDS,HSNDS,MACY02,TGTDVS,WALMARTDS</t>
  </si>
  <si>
    <t>4/5/2017</t>
  </si>
  <si>
    <t>ID20-1083</t>
  </si>
  <si>
    <t>BLK01,FINGERHUTDS,HSNDS,JCPENNEY01,KOHLDSN,MACY02,OVERSTOCK01,TGTDVS</t>
  </si>
  <si>
    <t>ID20-1084</t>
  </si>
  <si>
    <t>AMAZON,BLK01,FINGERHUTDS,HSNDS,KOHLDSN,MACY02</t>
  </si>
  <si>
    <t>2/28/2017</t>
  </si>
  <si>
    <t>ID20-142</t>
  </si>
  <si>
    <t>PF001770</t>
  </si>
  <si>
    <t>4/25/2017</t>
  </si>
  <si>
    <t>AMAZON,KOHLDSN,MACY02,OLLIIX</t>
  </si>
  <si>
    <t>ID20-1910</t>
  </si>
  <si>
    <t>7/6/2020</t>
  </si>
  <si>
    <t>ID20-143</t>
  </si>
  <si>
    <t>FINGERHUTDS,KOHLDSN,OLLIIX,TGTDVS</t>
  </si>
  <si>
    <t>3/26/2015</t>
  </si>
  <si>
    <t>ID20-1911</t>
  </si>
  <si>
    <t>AMAZONDS,JCPENNEY01,KOHLDSN,MACY02,OLLIIX,TGTDVS</t>
  </si>
  <si>
    <t>7/25/2022</t>
  </si>
  <si>
    <t>ID20-144</t>
  </si>
  <si>
    <t>ID20-1912</t>
  </si>
  <si>
    <t>2/1/2021</t>
  </si>
  <si>
    <t>ID20-145</t>
  </si>
  <si>
    <t>ID20-1913</t>
  </si>
  <si>
    <t>AMAZON,HDDS,JCPENNEY01,MACY02,OVERSTOCK01,TGTDVS</t>
  </si>
  <si>
    <t>ID20-146</t>
  </si>
  <si>
    <t>AMAZON,HSNDS,KOHLDSN,MACY02,OLLIIX,TGTDVS</t>
  </si>
  <si>
    <t>2/9/2015</t>
  </si>
  <si>
    <t>ST55-0266</t>
  </si>
  <si>
    <t>Microfiber Heated</t>
  </si>
  <si>
    <t>PP001880;PF005997</t>
  </si>
  <si>
    <t>BLK01,DESINC,JCPENNEY01,KOHLDSN,MACY02,OLLIIX,OVERSTOCK01</t>
  </si>
  <si>
    <t>LF10302</t>
  </si>
  <si>
    <t>11/17/2023</t>
  </si>
  <si>
    <t>ST55-0270</t>
  </si>
  <si>
    <t>6/28/2023</t>
  </si>
  <si>
    <t>BLK01,DESINC,HDDS,JCPENNEY01,KOHLDSN,MACY02,OLLIIX,OVERSTOCK01</t>
  </si>
  <si>
    <t>BR54-4126</t>
  </si>
  <si>
    <t>Microplush</t>
  </si>
  <si>
    <t>Heated Blanket with Wifi Technology</t>
  </si>
  <si>
    <t>PP001882;PF006001</t>
  </si>
  <si>
    <t>AMAZON,BLK01,HDDS,JCPENNEY01,KOHLDSN,OLLIIX,OVERSTOCK01</t>
  </si>
  <si>
    <t>TCKF1624</t>
  </si>
  <si>
    <t>BR54-4130</t>
  </si>
  <si>
    <t>PP001882;PF006003</t>
  </si>
  <si>
    <t>BR54-4131</t>
  </si>
  <si>
    <t>II10-1248</t>
  </si>
  <si>
    <t>3 Piece Cotton Comforter Set with Chenille Tufting</t>
  </si>
  <si>
    <t>PP001321;PF005708</t>
  </si>
  <si>
    <t>AMAZONDS,JCPENNEY01,KOHLDSN,MACY02,OVERSTOCK01,TGTDVS</t>
  </si>
  <si>
    <t>MITN5067</t>
  </si>
  <si>
    <t>5/12/2022</t>
  </si>
  <si>
    <t>7/20/2022</t>
  </si>
  <si>
    <t>II12-1250</t>
  </si>
  <si>
    <t>3 Piece Cotton Duvet Cover Set with Chenille Tufting</t>
  </si>
  <si>
    <t>KOHLDSN,MACY02,OLLIIX,OVERSTOCK01</t>
  </si>
  <si>
    <t>MITN5068</t>
  </si>
  <si>
    <t>II10-1249</t>
  </si>
  <si>
    <t>7/1/2022</t>
  </si>
  <si>
    <t>II12-1251</t>
  </si>
  <si>
    <t>II12-1126</t>
  </si>
  <si>
    <t>PP001321;PF005135</t>
  </si>
  <si>
    <t>9/30/2020</t>
  </si>
  <si>
    <t>II10-1125</t>
  </si>
  <si>
    <t>AMAZON,HDDS,JCPENNEY01,KOHLDSN,MACY02,OLLIIX,OVERSTOCK01,TGTDVS</t>
  </si>
  <si>
    <t>II40-1183</t>
  </si>
  <si>
    <t>Cotton Printed Curtain Panel with Chenille detail and Lining</t>
  </si>
  <si>
    <t>5/20/2021</t>
  </si>
  <si>
    <t>AMAZON,ASHFURNDS,HDDS,JCPENNEY01,KIRKLANDDS,KOHLDSN,OVERSTOCK01,TGTDVS</t>
  </si>
  <si>
    <t>IKIY1022</t>
  </si>
  <si>
    <t>6/22/2021</t>
  </si>
  <si>
    <t>ID10-2320</t>
  </si>
  <si>
    <t>Miley</t>
  </si>
  <si>
    <t>Lana</t>
  </si>
  <si>
    <t>Harlow</t>
  </si>
  <si>
    <t>Checkered Comforter Set</t>
  </si>
  <si>
    <t>PF006199</t>
  </si>
  <si>
    <t>JLZL1322</t>
  </si>
  <si>
    <t>4/3/2024</t>
  </si>
  <si>
    <t>AM10-0010</t>
  </si>
  <si>
    <t>Mina</t>
  </si>
  <si>
    <t>Hanna</t>
  </si>
  <si>
    <t>Aera</t>
  </si>
  <si>
    <t>Waffle Weave Textured Comforter Set</t>
  </si>
  <si>
    <t>PP001928;PF006153</t>
  </si>
  <si>
    <t>BLK01,HDDS,JCPENNEY01,KOHLDSN,MACY02,NRTPORT,OVERSTOCK01,TGTDVS</t>
  </si>
  <si>
    <t>NGIN1150</t>
  </si>
  <si>
    <t>AM12-0043</t>
  </si>
  <si>
    <t>Waffle Weave Textured Duvet Cover Set</t>
  </si>
  <si>
    <t>NGIN1151</t>
  </si>
  <si>
    <t>AM10-0016</t>
  </si>
  <si>
    <t>PP001928;PF006155</t>
  </si>
  <si>
    <t>AMAZON,DESINC,HDDS,JCPENNEY01,KOHLDSN,MACY02,NRTPORT,OVERSTOCK01</t>
  </si>
  <si>
    <t>AM12-0049</t>
  </si>
  <si>
    <t>1/9/2024</t>
  </si>
  <si>
    <t>ID10-2263</t>
  </si>
  <si>
    <t>Mira</t>
  </si>
  <si>
    <t>Gemma</t>
  </si>
  <si>
    <t>Arabella</t>
  </si>
  <si>
    <t>Crushed Velvet Sherpa Reversible Comforter Set</t>
  </si>
  <si>
    <t>PP001907;PF006080</t>
  </si>
  <si>
    <t>JLZL1286</t>
  </si>
  <si>
    <t>ID10-2264</t>
  </si>
  <si>
    <t>SS40-0237</t>
  </si>
  <si>
    <t>Mirage</t>
  </si>
  <si>
    <t>Elysia</t>
  </si>
  <si>
    <t>Azalea</t>
  </si>
  <si>
    <t>Knitted Jacquard Damask Total Blackout Grommet Top Curtain Panel Pair</t>
  </si>
  <si>
    <t>PP001653;PF005527</t>
  </si>
  <si>
    <t>TDFM1035</t>
  </si>
  <si>
    <t>II100-0544</t>
  </si>
  <si>
    <t>SECTIONAL SOFA</t>
  </si>
  <si>
    <t>Sectional Sofa</t>
  </si>
  <si>
    <t>Molly</t>
  </si>
  <si>
    <t>Modular Armless Chair</t>
  </si>
  <si>
    <t>Armless Chair</t>
  </si>
  <si>
    <t>Linen</t>
  </si>
  <si>
    <t>1/4/2024</t>
  </si>
  <si>
    <t>OLLIIX,OVERSTOCK01</t>
  </si>
  <si>
    <t>IKIY1110</t>
  </si>
  <si>
    <t>3/19/2024</t>
  </si>
  <si>
    <t>MP95C-0325</t>
  </si>
  <si>
    <t>Moody Coast</t>
  </si>
  <si>
    <t>Hand Embellished Landscape Framed Canvas Wall Art</t>
  </si>
  <si>
    <t>Blue/Pink</t>
  </si>
  <si>
    <t>10/21/2023</t>
  </si>
  <si>
    <t>NCWA2540</t>
  </si>
  <si>
    <t>HH12-1828</t>
  </si>
  <si>
    <t>Morgan</t>
  </si>
  <si>
    <t>5 Piece Cotton Jaquard Duvet Set</t>
  </si>
  <si>
    <t>PF005694;PP001753</t>
  </si>
  <si>
    <t>Farm House|Lodge/Cabin</t>
  </si>
  <si>
    <t>HUH10117</t>
  </si>
  <si>
    <t>12/22/2022</t>
  </si>
  <si>
    <t>5/19/2023</t>
  </si>
  <si>
    <t>HH12-1829</t>
  </si>
  <si>
    <t>UHK13-0222</t>
  </si>
  <si>
    <t>Noah</t>
  </si>
  <si>
    <t>Stripe Printed Quilt Set</t>
  </si>
  <si>
    <t>PF005207</t>
  </si>
  <si>
    <t>VBDN1053</t>
  </si>
  <si>
    <t>MP95C-0284</t>
  </si>
  <si>
    <t>Moving Midas</t>
  </si>
  <si>
    <t>Gold Foil Abstract 2-piece Framed Canvas Wall Art Set</t>
  </si>
  <si>
    <t>PP001663</t>
  </si>
  <si>
    <t>AMERSIGNDS,JCPENNEY01,KIRKLANDDS,KOHLDSN,OLLIIX,ROOMECOM,TGTDVS</t>
  </si>
  <si>
    <t>NCWA2050</t>
  </si>
  <si>
    <t>9/6/2021</t>
  </si>
  <si>
    <t>ID91-525</t>
  </si>
  <si>
    <t>FASHION TOWEL</t>
  </si>
  <si>
    <t>Nadia</t>
  </si>
  <si>
    <t>Laila</t>
  </si>
  <si>
    <t>Darcy</t>
  </si>
  <si>
    <t>Cotton Jacquard Bath Towel 6 Piece Set</t>
  </si>
  <si>
    <t>PF001471;PP000465</t>
  </si>
  <si>
    <t>Chevron</t>
  </si>
  <si>
    <t>12/4/2024</t>
  </si>
  <si>
    <t>ZPCD6717</t>
  </si>
  <si>
    <t>5/27/2016</t>
  </si>
  <si>
    <t>ID73-2061</t>
  </si>
  <si>
    <t>Nadia AZ</t>
  </si>
  <si>
    <t>6 Piece Cotton Jacquard Towel Set</t>
  </si>
  <si>
    <t>9/28/2021</t>
  </si>
  <si>
    <t>JLZL1335</t>
  </si>
  <si>
    <t>6/12/2024</t>
  </si>
  <si>
    <t>PET63HM6012</t>
  </si>
  <si>
    <t>Nala</t>
  </si>
  <si>
    <t>Hide Mat SM</t>
  </si>
  <si>
    <t>BFFS1130</t>
  </si>
  <si>
    <t>II40-1184</t>
  </si>
  <si>
    <t>Nea</t>
  </si>
  <si>
    <t>Cotton Printed Curtain Panel with tassel trim and Lining</t>
  </si>
  <si>
    <t>Off White/Gray</t>
  </si>
  <si>
    <t>PP001095;PF004583</t>
  </si>
  <si>
    <t>2/26/2021</t>
  </si>
  <si>
    <t>ASHFURNDS,KOHLDSN,OLLIIX,OVERSTOCK01,TGTDVS</t>
  </si>
  <si>
    <t>JLZF1243</t>
  </si>
  <si>
    <t>4/28/2021</t>
  </si>
  <si>
    <t>II70-1120</t>
  </si>
  <si>
    <t>Cotton Printed Shower Curtain with Trims</t>
  </si>
  <si>
    <t>AMAZON,DESINC,HDDS,JCPENNEY01,KIRKLANDDS,KOHLDSN,MACY02,OLLIIX,OVERSTOCK01,TGTDVS</t>
  </si>
  <si>
    <t>JLZF1205</t>
  </si>
  <si>
    <t>7/16/2020</t>
  </si>
  <si>
    <t>7/30/2020</t>
  </si>
  <si>
    <t>5DS153-0037</t>
  </si>
  <si>
    <t>Nicolo</t>
  </si>
  <si>
    <t>Textured Ceramic Table Lamp</t>
  </si>
  <si>
    <t>AMERSIGNDS,JCPENNEY01,KOHLDSN,OLLIIX,ROOMECOM,TGTDVS</t>
  </si>
  <si>
    <t>NGIN1100</t>
  </si>
  <si>
    <t>3/11/2022</t>
  </si>
  <si>
    <t>MP70-7542</t>
  </si>
  <si>
    <t>Norah</t>
  </si>
  <si>
    <t>Quinn</t>
  </si>
  <si>
    <t>Bridget</t>
  </si>
  <si>
    <t>Printed Floral Cotton Shower Curtain</t>
  </si>
  <si>
    <t>PP001644;PF005496</t>
  </si>
  <si>
    <t>6/23/2021</t>
  </si>
  <si>
    <t>AMAZON,AMAZONDS,HDDS,JCPENNEY01,KOHLDSN,MACY02,OLLIIX</t>
  </si>
  <si>
    <t>LDER4429</t>
  </si>
  <si>
    <t>9/2/2021</t>
  </si>
  <si>
    <t>9/29/2021</t>
  </si>
  <si>
    <t>PET63CM6018</t>
  </si>
  <si>
    <t>Back Printed Microberber Bumper Crate Mat</t>
  </si>
  <si>
    <t>BFFS1127</t>
  </si>
  <si>
    <t>PET63CM6021</t>
  </si>
  <si>
    <t>7/7/2023</t>
  </si>
  <si>
    <t>PET63CM6014</t>
  </si>
  <si>
    <t>Oxford Bumper Crate Mat</t>
  </si>
  <si>
    <t>Olive Green</t>
  </si>
  <si>
    <t>4/11/2023</t>
  </si>
  <si>
    <t>BFFS1129</t>
  </si>
  <si>
    <t>PET63CM6015</t>
  </si>
  <si>
    <t>PET63CM6017</t>
  </si>
  <si>
    <t>ID20-1438</t>
  </si>
  <si>
    <t>Print Sheet Set</t>
  </si>
  <si>
    <t>Aqua Dogs</t>
  </si>
  <si>
    <t>PP000909;PF004369</t>
  </si>
  <si>
    <t>5/10/2018</t>
  </si>
  <si>
    <t>MACK1101</t>
  </si>
  <si>
    <t>7/9/2018</t>
  </si>
  <si>
    <t>ID20-1439</t>
  </si>
  <si>
    <t>TXL</t>
  </si>
  <si>
    <t>ID20-1440</t>
  </si>
  <si>
    <t>AMAZON,BLK01,KOHLDSN,MACY02,NRTPORT</t>
  </si>
  <si>
    <t>7/2/2018</t>
  </si>
  <si>
    <t>ID20-1428</t>
  </si>
  <si>
    <t>Grey/Blue Road Trip</t>
  </si>
  <si>
    <t>PP000909;PF004366</t>
  </si>
  <si>
    <t>ID20-1429</t>
  </si>
  <si>
    <t>2/25/2025</t>
  </si>
  <si>
    <t>8/21/2018</t>
  </si>
  <si>
    <t>ID20-1430</t>
  </si>
  <si>
    <t>Pink Cats</t>
  </si>
  <si>
    <t>PP000909;PF004367</t>
  </si>
  <si>
    <t>7/16/2018</t>
  </si>
  <si>
    <t>ID20-1432</t>
  </si>
  <si>
    <t>7/30/2018</t>
  </si>
  <si>
    <t>ID20-1433</t>
  </si>
  <si>
    <t>AMAZON,AMAZONDS,BLK01,HDDS,KOHLDSN,MACY02,OLLIIX,OVERSTOCK01</t>
  </si>
  <si>
    <t>BR73-3755</t>
  </si>
  <si>
    <t>Nuage</t>
  </si>
  <si>
    <t>Cotton Tencel Blend Antimicrobial 6 Piece Towel Set</t>
  </si>
  <si>
    <t>PP001792;PF005774</t>
  </si>
  <si>
    <t>1/31/2025</t>
  </si>
  <si>
    <t>AMAZONDS,BLK01,JCPENNEY01,KOHLDSN,MACY02,OVERSTOCK01,TGTDVS,ZOLA</t>
  </si>
  <si>
    <t>TCKF1569</t>
  </si>
  <si>
    <t>BR73-3750</t>
  </si>
  <si>
    <t>PP001792;PF005769</t>
  </si>
  <si>
    <t>JCPENNEY01,KOHLDSN,MACY02,OLLIIX,OVERSTOCK01,ZOLA</t>
  </si>
  <si>
    <t>5/17/2023</t>
  </si>
  <si>
    <t>BR73-3751</t>
  </si>
  <si>
    <t>PP001792;PF005770</t>
  </si>
  <si>
    <t>JCPENNEY01,OLLIIX,OVERSTOCK01,TGTDVS,ZOLA</t>
  </si>
  <si>
    <t>LCN73-0132</t>
  </si>
  <si>
    <t>Nurture</t>
  </si>
  <si>
    <t>Sustainable Antimicrobial Bath Towel 6 Piece Set</t>
  </si>
  <si>
    <t>PP001624;PF005453</t>
  </si>
  <si>
    <t>BLK01,HDDS,JCPENNEY01,MACY02,OLLIIX,TGTDVS,ZOLA</t>
  </si>
  <si>
    <t>CEAH1019</t>
  </si>
  <si>
    <t>LCN73-0130</t>
  </si>
  <si>
    <t>PP001624;PF005451</t>
  </si>
  <si>
    <t>JCPENNEY01,KOHLDSN,MACY02,OLLIIX,OVERSTOCK01,TGTDVS,ZOLA</t>
  </si>
  <si>
    <t>11/22/2021</t>
  </si>
  <si>
    <t>LCN73-0131</t>
  </si>
  <si>
    <t>PP001624;PF005452</t>
  </si>
  <si>
    <t>JCPENNEY01,MACY02,TGTDVS,ZOLA</t>
  </si>
  <si>
    <t>11/17/2021</t>
  </si>
  <si>
    <t>LCN73-0129</t>
  </si>
  <si>
    <t>PP001624;PF005450</t>
  </si>
  <si>
    <t>OLLIIX,TGTDVS,ZOLA</t>
  </si>
  <si>
    <t>11/18/2021</t>
  </si>
  <si>
    <t>MP95C-0062</t>
  </si>
  <si>
    <t>Ocean Seashells</t>
  </si>
  <si>
    <t>4-piece Framed Canvas Wall Art Set</t>
  </si>
  <si>
    <t>PF001950</t>
  </si>
  <si>
    <t>AMAZON,KIRKLANDDS,KOHLDSN,OLLIIX</t>
  </si>
  <si>
    <t>TRPT4938</t>
  </si>
  <si>
    <t>9/14/2016</t>
  </si>
  <si>
    <t>MP70-6876</t>
  </si>
  <si>
    <t>Odette</t>
  </si>
  <si>
    <t>Dillon</t>
  </si>
  <si>
    <t>Eliot</t>
  </si>
  <si>
    <t>Jacquard Shower Curtain</t>
  </si>
  <si>
    <t>Navy/Silver</t>
  </si>
  <si>
    <t>PP000900;PF004968</t>
  </si>
  <si>
    <t>12/17/2019</t>
  </si>
  <si>
    <t>NCWA1708</t>
  </si>
  <si>
    <t>12/20/2019</t>
  </si>
  <si>
    <t>MP50-1729</t>
  </si>
  <si>
    <t>Ogee</t>
  </si>
  <si>
    <t>Oversized Throw</t>
  </si>
  <si>
    <t>PF003630;PP000475</t>
  </si>
  <si>
    <t>AMAZON,FINGERHUTDS,JCPENNEY01,KOHLDSN,MACY02,TGTDVS</t>
  </si>
  <si>
    <t>ANDV1356</t>
  </si>
  <si>
    <t>10/23/2015</t>
  </si>
  <si>
    <t>MP50-3509</t>
  </si>
  <si>
    <t>PF003637;PP000475</t>
  </si>
  <si>
    <t>AMAZON,AMAZONDS,ASHFURNDS,FINGERHUTDS,HSNDS,JCPENNEY01,KOHLDSN,MACY02,TGTDVS</t>
  </si>
  <si>
    <t>MP50-1731</t>
  </si>
  <si>
    <t>PF003634;PP000475</t>
  </si>
  <si>
    <t>1/14/2025</t>
  </si>
  <si>
    <t>AMAZON,ASHFURNDS,FINGERHUTDS,HSNDS,JCPENNEY01,KOHLDSN,MACY02,OLLIIX,TGTDVS</t>
  </si>
  <si>
    <t>10/26/2015</t>
  </si>
  <si>
    <t>ID10-2322</t>
  </si>
  <si>
    <t>Oliena</t>
  </si>
  <si>
    <t>Elodie</t>
  </si>
  <si>
    <t>Colette</t>
  </si>
  <si>
    <t>Floral Paisley Comforter Set</t>
  </si>
  <si>
    <t>PF006200</t>
  </si>
  <si>
    <t>JLZL1318</t>
  </si>
  <si>
    <t>ID10-168</t>
  </si>
  <si>
    <t>Olivia</t>
  </si>
  <si>
    <t>Ashley</t>
  </si>
  <si>
    <t>Skye</t>
  </si>
  <si>
    <t>PF001604;PP000477</t>
  </si>
  <si>
    <t>EBDG5396</t>
  </si>
  <si>
    <t>ID10-166</t>
  </si>
  <si>
    <t>PF001605;PP000477</t>
  </si>
  <si>
    <t>AMAZON,DESINC,FINGERHUTDS,JCPENNEY01,KOHLDSN,MACY02,TGTDVS</t>
  </si>
  <si>
    <t>ID10-238</t>
  </si>
  <si>
    <t>AMAZON,BEALLSDS,BLK01,FINGERHUTDS,HDDS,KIRKLANDDS,KOHLDSN,MACY02,NRTPORT,OVERSTOCK01,WALMARTDS</t>
  </si>
  <si>
    <t>WR13-3904</t>
  </si>
  <si>
    <t>Quilt</t>
  </si>
  <si>
    <t>Olsen</t>
  </si>
  <si>
    <t>Olsen 3 Piece Oversized Cotton Quilt Set</t>
  </si>
  <si>
    <t>PP001704;PF005929</t>
  </si>
  <si>
    <t>2/10/2023</t>
  </si>
  <si>
    <t>XBYB1042</t>
  </si>
  <si>
    <t>2/14/2023</t>
  </si>
  <si>
    <t>MP73-5137</t>
  </si>
  <si>
    <t>Organic</t>
  </si>
  <si>
    <t>6 Piece Organic Cotton Towel Set</t>
  </si>
  <si>
    <t>EULA2163</t>
  </si>
  <si>
    <t>MP73-5138</t>
  </si>
  <si>
    <t>AMAZON,KOHLDSN,MACY02,TGTDVS,ZOLA</t>
  </si>
  <si>
    <t>6/22/2020</t>
  </si>
  <si>
    <t>MP73-7472</t>
  </si>
  <si>
    <t>PP001101</t>
  </si>
  <si>
    <t>6/8/2021</t>
  </si>
  <si>
    <t>12/29/2021</t>
  </si>
  <si>
    <t>MP73-6629</t>
  </si>
  <si>
    <t>9/20/2019</t>
  </si>
  <si>
    <t>AMAZONDS,JCPENNEY01,KOHLDSN,MACY02,OVERSTOCK01,TGTDVS,WALMARTDS,ZOLA</t>
  </si>
  <si>
    <t>10/24/2019</t>
  </si>
  <si>
    <t>6/5/2020</t>
  </si>
  <si>
    <t>MP73-6182</t>
  </si>
  <si>
    <t>AMAZONDS,BLK01,HDDS,JCPENNEY01,KOHLDSN,LOWESDS,MACY02,OLLIIX,OVERSTOCK01,TGTDVS,ZOLA</t>
  </si>
  <si>
    <t>4/20/2020</t>
  </si>
  <si>
    <t>5DS13-0024</t>
  </si>
  <si>
    <t>Otto</t>
  </si>
  <si>
    <t>Nash</t>
  </si>
  <si>
    <t>Trace</t>
  </si>
  <si>
    <t>3 Piece Reversible Quilt Set</t>
  </si>
  <si>
    <t>PF004284;PP000894</t>
  </si>
  <si>
    <t>2/8/2018</t>
  </si>
  <si>
    <t>GOLV5231</t>
  </si>
  <si>
    <t>5/7/2018</t>
  </si>
  <si>
    <t>5DS13-0032</t>
  </si>
  <si>
    <t>PF004288;PP000894</t>
  </si>
  <si>
    <t>BLK01,JCPENNEY01,KIRKLANDDS,KOHLDSN,MACY02,OLLIIX,OVERSTOCK01,TGTDVS</t>
  </si>
  <si>
    <t>5/30/2018</t>
  </si>
  <si>
    <t>5DS13-0028</t>
  </si>
  <si>
    <t>PF004286;PP000894</t>
  </si>
  <si>
    <t>ASHFURNDS,JCPENNEY01,KIRKLANDDS,KOHLDSN,MACY02,OLLIIX,OVERSTOCK01,TGTDVS</t>
  </si>
  <si>
    <t>4/12/2018</t>
  </si>
  <si>
    <t>5DS13-0029</t>
  </si>
  <si>
    <t>BLK01,HDDS,JCPENNEY01,KIRKLANDDS,KOHLDSN,MACY02,OLLIIX,OVERSTOCK01,TGTDVS</t>
  </si>
  <si>
    <t>5/11/2018</t>
  </si>
  <si>
    <t>BR20-4171</t>
  </si>
  <si>
    <t>Oversized Cotton Flannel</t>
  </si>
  <si>
    <t>4 Piece Sheet Set</t>
  </si>
  <si>
    <t>Beige/White Stripes</t>
  </si>
  <si>
    <t>PP001510;PF006052</t>
  </si>
  <si>
    <t>HDDS,JCPENNEY01,MACY02,OVERSTOCK01,TGTDVS</t>
  </si>
  <si>
    <t>TCKF1507</t>
  </si>
  <si>
    <t>BR20-1847</t>
  </si>
  <si>
    <t>Seafoam Solid</t>
  </si>
  <si>
    <t>PP001510;PF005124</t>
  </si>
  <si>
    <t>9/2/2020</t>
  </si>
  <si>
    <t>9/10/2020</t>
  </si>
  <si>
    <t>2/21/2022</t>
  </si>
  <si>
    <t>BR20-4168</t>
  </si>
  <si>
    <t>White Tossed Botanical</t>
  </si>
  <si>
    <t>PP001510;PF006051</t>
  </si>
  <si>
    <t>AMAZON,JCPENNEY01,MACY02</t>
  </si>
  <si>
    <t>FPF21-0367</t>
  </si>
  <si>
    <t>Pacific</t>
  </si>
  <si>
    <t>Metal Tripod Floor Lamp with Glass Shade</t>
  </si>
  <si>
    <t>PF002773</t>
  </si>
  <si>
    <t>AMERSIGNDS,HDDS,KOHLDSN,OVERSTOCK01</t>
  </si>
  <si>
    <t>LGYT1466</t>
  </si>
  <si>
    <t>3/23/2016</t>
  </si>
  <si>
    <t>MP10-4026</t>
  </si>
  <si>
    <t>Palisades</t>
  </si>
  <si>
    <t>Hanover</t>
  </si>
  <si>
    <t>Overland</t>
  </si>
  <si>
    <t>PF002698</t>
  </si>
  <si>
    <t>4/8/2017</t>
  </si>
  <si>
    <t>AMAZON,AMAZONDS,FINGERHUTDS,KOHLDSN,MACY02,OVERSTOCK01,TGTDVS</t>
  </si>
  <si>
    <t>ZPCD1732</t>
  </si>
  <si>
    <t>11/24/2016</t>
  </si>
  <si>
    <t>12/16/2016</t>
  </si>
  <si>
    <t>MP10-184</t>
  </si>
  <si>
    <t>PF002694</t>
  </si>
  <si>
    <t>AMAZON,BEALLSDS,DESINC,FINGERHUTDS,JCPENNEY01,KOHLDSN,MACY02,NRTPORT,OLLIIX,OVERSTOCK01</t>
  </si>
  <si>
    <t>MP95B-0224</t>
  </si>
  <si>
    <t>Paper Cloaked Leaves</t>
  </si>
  <si>
    <t>Metal Framed Decor Panel</t>
  </si>
  <si>
    <t>9/13/2019</t>
  </si>
  <si>
    <t>JCPENNEY01,KIRKLANDDS,KOHLDSN,OLLIIX,TGTDVS</t>
  </si>
  <si>
    <t>NCWA1726</t>
  </si>
  <si>
    <t>MPE10-826</t>
  </si>
  <si>
    <t>Parkston</t>
  </si>
  <si>
    <t>Hartford</t>
  </si>
  <si>
    <t>3M Scotchgard Down Alternative All Season Comforter Set</t>
  </si>
  <si>
    <t>PF004814;PP001340</t>
  </si>
  <si>
    <t>ANDV4795</t>
  </si>
  <si>
    <t>11/13/2019</t>
  </si>
  <si>
    <t>MPE10-948</t>
  </si>
  <si>
    <t>PP001340;PF005481</t>
  </si>
  <si>
    <t>MPE10-949</t>
  </si>
  <si>
    <t>AMAZON,FINGERHUTDS,JCPENNEY01,KOHLDSN,MACY02,OVERSTOCK01,TGTDVS</t>
  </si>
  <si>
    <t>12/2/2021</t>
  </si>
  <si>
    <t>MPE10-950</t>
  </si>
  <si>
    <t>1/3/2022</t>
  </si>
  <si>
    <t>MPE10-946</t>
  </si>
  <si>
    <t>PP001340;PF005480</t>
  </si>
  <si>
    <t>11/29/2021</t>
  </si>
  <si>
    <t>II95B-0159</t>
  </si>
  <si>
    <t>Paths Collide</t>
  </si>
  <si>
    <t>Textured Framed Carved Resin Dimensional Wall Décor</t>
  </si>
  <si>
    <t>Off-White</t>
  </si>
  <si>
    <t>MACY02,OLLIIX,TGTDVS</t>
  </si>
  <si>
    <t>IKIY1150</t>
  </si>
  <si>
    <t>ID80-406</t>
  </si>
  <si>
    <t>Paul</t>
  </si>
  <si>
    <t>Matteo</t>
  </si>
  <si>
    <t>Blain</t>
  </si>
  <si>
    <t>Reversible Quilt Set with Throw Pillows</t>
  </si>
  <si>
    <t>PF001628</t>
  </si>
  <si>
    <t>JCPENNEY01,KOHLDSN,ROOMECOM</t>
  </si>
  <si>
    <t>BKWT6978</t>
  </si>
  <si>
    <t>3/21/2016</t>
  </si>
  <si>
    <t>MP95C-0323</t>
  </si>
  <si>
    <t>Peaceful River</t>
  </si>
  <si>
    <t>Hand Embellished Framed Canvas Abstract Landscape Wall Art</t>
  </si>
  <si>
    <t>Green Multi</t>
  </si>
  <si>
    <t>AMAZON,AMAZONDS,DESINC,JCPENNEY01,MACY02,OLLIIX,TGTDVS</t>
  </si>
  <si>
    <t>NCWA2535</t>
  </si>
  <si>
    <t>2/20/2024</t>
  </si>
  <si>
    <t>MP20-5411</t>
  </si>
  <si>
    <t>Peached Percale</t>
  </si>
  <si>
    <t>200 Thread Count Relaxed Cotton Percale Sheet Set</t>
  </si>
  <si>
    <t>PF004094</t>
  </si>
  <si>
    <t>3/23/2018</t>
  </si>
  <si>
    <t>BLK01,KOHLDSN,MACY02,OLLIIX</t>
  </si>
  <si>
    <t>RCLF2248</t>
  </si>
  <si>
    <t>4/8/2018</t>
  </si>
  <si>
    <t>1/26/2021</t>
  </si>
  <si>
    <t>MP20-5413</t>
  </si>
  <si>
    <t>3/27/2019</t>
  </si>
  <si>
    <t>MP20-5414</t>
  </si>
  <si>
    <t>BLK01,FINGERHUTDS,HDDS,JCPENNEY01,KOHLDSN,MACY02,OLLIIX,TGTDVS</t>
  </si>
  <si>
    <t>5/1/2020</t>
  </si>
  <si>
    <t>MP20-5416</t>
  </si>
  <si>
    <t>7/3/2018</t>
  </si>
  <si>
    <t>MP20-5387</t>
  </si>
  <si>
    <t>PF004090</t>
  </si>
  <si>
    <t>MP20-5389</t>
  </si>
  <si>
    <t>12/13/2019</t>
  </si>
  <si>
    <t>MP20-5390</t>
  </si>
  <si>
    <t>BLK01,DESINC,HDDS,JCPENNEY01,KOHLDSN,MACY02,OLLIIX,OVERSTOCK01,TGTDVS</t>
  </si>
  <si>
    <t>4/3/2020</t>
  </si>
  <si>
    <t>MP20-5391</t>
  </si>
  <si>
    <t>3/27/2020</t>
  </si>
  <si>
    <t>MP20-5392</t>
  </si>
  <si>
    <t>6/11/2018</t>
  </si>
  <si>
    <t>MP20-5378</t>
  </si>
  <si>
    <t>PF004088</t>
  </si>
  <si>
    <t>MP20-5380</t>
  </si>
  <si>
    <t>MP20-5397</t>
  </si>
  <si>
    <t>PF004091</t>
  </si>
  <si>
    <t>MP20-5398</t>
  </si>
  <si>
    <t>MP20-5382</t>
  </si>
  <si>
    <t>PF004089</t>
  </si>
  <si>
    <t>6/22/2018</t>
  </si>
  <si>
    <t>MP20-5383</t>
  </si>
  <si>
    <t>7/26/2019</t>
  </si>
  <si>
    <t>MP20-5386</t>
  </si>
  <si>
    <t>7/8/2019</t>
  </si>
  <si>
    <t>MP20-5399</t>
  </si>
  <si>
    <t>PF004092</t>
  </si>
  <si>
    <t>4/15/2019</t>
  </si>
  <si>
    <t>MP20-5401</t>
  </si>
  <si>
    <t>8/21/2019</t>
  </si>
  <si>
    <t>MP20-5403</t>
  </si>
  <si>
    <t>MP20-5404</t>
  </si>
  <si>
    <t>JCPENNEY01,MACY02,OLLIIX,TGTDVS</t>
  </si>
  <si>
    <t>8/12/2019</t>
  </si>
  <si>
    <t>MP10-2705</t>
  </si>
  <si>
    <t>Pebble Beach</t>
  </si>
  <si>
    <t>Pacific Grove</t>
  </si>
  <si>
    <t>Ocean View</t>
  </si>
  <si>
    <t>7 Piece Cotton Sateen Comforter Set</t>
  </si>
  <si>
    <t>PF002758;PP000484</t>
  </si>
  <si>
    <t>Transitional|Casual</t>
  </si>
  <si>
    <t>AMAZON,BLK01,DESINC,JCPENNEY01,KOHLDSN</t>
  </si>
  <si>
    <t>SEHO8030</t>
  </si>
  <si>
    <t>5/5/2016</t>
  </si>
  <si>
    <t>ID95C-0041</t>
  </si>
  <si>
    <t>Pet Portrait</t>
  </si>
  <si>
    <t>Bohemian Cat In Forest Framed Canvas Wall Art</t>
  </si>
  <si>
    <t>Bohemian Cat</t>
  </si>
  <si>
    <t>JLZL1294</t>
  </si>
  <si>
    <t>ID95C-0043</t>
  </si>
  <si>
    <t>Rosie the Feline Framed Canvas Wall Art</t>
  </si>
  <si>
    <t>Rosie Feline</t>
  </si>
  <si>
    <t>AMAZON,DESINC,JCPENNEY01,OLLIIX,TGTDVS</t>
  </si>
  <si>
    <t>JLZL1287</t>
  </si>
  <si>
    <t>AM10-0185</t>
  </si>
  <si>
    <t>Phoebe</t>
  </si>
  <si>
    <t>Himari</t>
  </si>
  <si>
    <t>Diamond Quilted Ruffle Edge Comforter Set</t>
  </si>
  <si>
    <t>PP001981;PF006323</t>
  </si>
  <si>
    <t>NGIN1178</t>
  </si>
  <si>
    <t>6/4/2024</t>
  </si>
  <si>
    <t>9/6/2024</t>
  </si>
  <si>
    <t>AM10-0188</t>
  </si>
  <si>
    <t>PP001981;PF006324</t>
  </si>
  <si>
    <t>AMAZON,HDDS,JCPENNEY01,KOHLDSN,MACY02,OVERSTOCK01</t>
  </si>
  <si>
    <t>6/5/2024</t>
  </si>
  <si>
    <t>8/28/2024</t>
  </si>
  <si>
    <t>AM10-0194</t>
  </si>
  <si>
    <t>PP001981;PF006326</t>
  </si>
  <si>
    <t>7/23/2024</t>
  </si>
  <si>
    <t>AM10-0191</t>
  </si>
  <si>
    <t>PP001981;PF006325</t>
  </si>
  <si>
    <t>KOHLDSN,OVERSTOCK01</t>
  </si>
  <si>
    <t>7/30/2024</t>
  </si>
  <si>
    <t>AM10-0193</t>
  </si>
  <si>
    <t>7/12/2024</t>
  </si>
  <si>
    <t>AM10-0197</t>
  </si>
  <si>
    <t>Sage</t>
  </si>
  <si>
    <t>PP001981;PF006327</t>
  </si>
  <si>
    <t>7/16/2024</t>
  </si>
  <si>
    <t>AM10-0199</t>
  </si>
  <si>
    <t>BLK01,DESINC,HDDS,JCPENNEY01,KIRKLANDDS,KOHLDSN,MACY02,NRTPORT,OVERSTOCK01</t>
  </si>
  <si>
    <t>8/5/2024</t>
  </si>
  <si>
    <t>MZ10-062</t>
  </si>
  <si>
    <t>Pipeline</t>
  </si>
  <si>
    <t>Switch</t>
  </si>
  <si>
    <t>Maverick</t>
  </si>
  <si>
    <t>PF000002</t>
  </si>
  <si>
    <t>EBDG5397</t>
  </si>
  <si>
    <t>BR73-2438</t>
  </si>
  <si>
    <t>Plume</t>
  </si>
  <si>
    <t>100% Cotton Feather Touch Antimicrobial Towel 6 Piece Set</t>
  </si>
  <si>
    <t>PP001590;PF005339</t>
  </si>
  <si>
    <t>5/24/2021</t>
  </si>
  <si>
    <t>AMAZON,AMAZONDS,JCPENNEY01,KOHLDSN,MACY02,NORDSTRACKDS,OLLIIX,OVERSTOCK01,TGTDVS</t>
  </si>
  <si>
    <t>AAHR1067</t>
  </si>
  <si>
    <t>BR73-2440</t>
  </si>
  <si>
    <t>PP001590;PF005341</t>
  </si>
  <si>
    <t>AMAZON,JCPENNEY01,MACY02,OLLIIX,ZOLA</t>
  </si>
  <si>
    <t>BR73-2436</t>
  </si>
  <si>
    <t>PP001590;PF005337</t>
  </si>
  <si>
    <t>AMAZON,AMAZONDS,JCPENNEY01,MACY02,OVERSTOCK01</t>
  </si>
  <si>
    <t>BR73-4070</t>
  </si>
  <si>
    <t>PP001590;PF005957</t>
  </si>
  <si>
    <t>6/27/2023</t>
  </si>
  <si>
    <t>KOHLDSN,MACY02,OLLIIX,TGTDVS,ZOLA</t>
  </si>
  <si>
    <t>8/2/2023</t>
  </si>
  <si>
    <t>ST54-0131</t>
  </si>
  <si>
    <t>Plush Heated</t>
  </si>
  <si>
    <t>6/25/2021</t>
  </si>
  <si>
    <t>XS10549</t>
  </si>
  <si>
    <t>8/23/2021</t>
  </si>
  <si>
    <t>ST54-0126</t>
  </si>
  <si>
    <t>9/20/2021</t>
  </si>
  <si>
    <t>ST54-0127</t>
  </si>
  <si>
    <t>ST54-0077</t>
  </si>
  <si>
    <t>FINGERHUTDS,HDDS,JCPENNEY01,KOHLDSN,MACY02,OVERSTOCK01</t>
  </si>
  <si>
    <t>XS10551</t>
  </si>
  <si>
    <t>II13-1201</t>
  </si>
  <si>
    <t>Pomona</t>
  </si>
  <si>
    <t>3 Piece Embroidered Cotton Quilt Set</t>
  </si>
  <si>
    <t>PP000486;PF005524</t>
  </si>
  <si>
    <t>9/1/2021</t>
  </si>
  <si>
    <t>MCRW7039</t>
  </si>
  <si>
    <t>12/27/2021</t>
  </si>
  <si>
    <t>AM12-0149</t>
  </si>
  <si>
    <t>Porter</t>
  </si>
  <si>
    <t>Evans</t>
  </si>
  <si>
    <t>Walker</t>
  </si>
  <si>
    <t>Soft Washed Pleated Duvet Cover Set</t>
  </si>
  <si>
    <t>PP001927;PF006240</t>
  </si>
  <si>
    <t>NGIN1144</t>
  </si>
  <si>
    <t>AM12-0034</t>
  </si>
  <si>
    <t>PP001927;PF006150</t>
  </si>
  <si>
    <t>2/18/2025</t>
  </si>
  <si>
    <t>AM12-0146</t>
  </si>
  <si>
    <t>PP001927;PF006242</t>
  </si>
  <si>
    <t>AMAZON,DESINC,JCPENNEY01,KOHLDSN,MACY02,OVERSTOCK01,TGTDVS</t>
  </si>
  <si>
    <t>6/7/2024</t>
  </si>
  <si>
    <t>AM12-0040</t>
  </si>
  <si>
    <t>PP001927;PF006152</t>
  </si>
  <si>
    <t>MP13-7966</t>
  </si>
  <si>
    <t>Bedspread</t>
  </si>
  <si>
    <t>Princeton</t>
  </si>
  <si>
    <t>Dartmouth</t>
  </si>
  <si>
    <t>Cambridge</t>
  </si>
  <si>
    <t>5 Piece Reversible Jacquard Bedspread Set</t>
  </si>
  <si>
    <t>PP000487;PF005738</t>
  </si>
  <si>
    <t>7/8/2022</t>
  </si>
  <si>
    <t>AMAZONDS,BLK01,JCPENNEY01,KOHLDSN,OVERSTOCK01,TGTDVS</t>
  </si>
  <si>
    <t>RDBL6665</t>
  </si>
  <si>
    <t>7/26/2022</t>
  </si>
  <si>
    <t>MP10-696</t>
  </si>
  <si>
    <t>PF003392;PP000487</t>
  </si>
  <si>
    <t>AMAZON,AMAZONDS,BLK01,NRTPORT,OVERSTOCK01</t>
  </si>
  <si>
    <t>RBSD4377</t>
  </si>
  <si>
    <t>MP10-697</t>
  </si>
  <si>
    <t>MP10-699</t>
  </si>
  <si>
    <t>AMAZON,JCPENNEY01,KOHLDSN,MACY02,NRTPORT</t>
  </si>
  <si>
    <t>ID20-2218</t>
  </si>
  <si>
    <t>Printed Microfiber</t>
  </si>
  <si>
    <t>Black Floral</t>
  </si>
  <si>
    <t>PP001852;PF005930</t>
  </si>
  <si>
    <t>3/2/2023</t>
  </si>
  <si>
    <t>RBSE3564</t>
  </si>
  <si>
    <t>ID20-2219</t>
  </si>
  <si>
    <t>ID20-2220</t>
  </si>
  <si>
    <t>5/23/2024</t>
  </si>
  <si>
    <t>5/29/2024</t>
  </si>
  <si>
    <t>ID20-2222</t>
  </si>
  <si>
    <t>Blue Chevron</t>
  </si>
  <si>
    <t>PP001852;PF005931</t>
  </si>
  <si>
    <t>AMAZON,JCPENNEY01,KOHLDSN,NRTPORT,OVERSTOCK01,TGTDVS</t>
  </si>
  <si>
    <t>ID20-2223</t>
  </si>
  <si>
    <t>ID20-2224</t>
  </si>
  <si>
    <t>MPE20-999</t>
  </si>
  <si>
    <t>Printed Satin</t>
  </si>
  <si>
    <t>Gray Leopard</t>
  </si>
  <si>
    <t>PP001851;PF005928</t>
  </si>
  <si>
    <t>Satin</t>
  </si>
  <si>
    <t>3/1/2023</t>
  </si>
  <si>
    <t>ORLS2430</t>
  </si>
  <si>
    <t>5/29/2023</t>
  </si>
  <si>
    <t>MPE20-992</t>
  </si>
  <si>
    <t>Taupe Leopard</t>
  </si>
  <si>
    <t>PP001851;PF005927</t>
  </si>
  <si>
    <t>MPE20-993</t>
  </si>
  <si>
    <t>6/15/2023</t>
  </si>
  <si>
    <t>MP13-480</t>
  </si>
  <si>
    <t>Quebec</t>
  </si>
  <si>
    <t>Mansfield</t>
  </si>
  <si>
    <t>Vancouver</t>
  </si>
  <si>
    <t>Reversible Quilt Set</t>
  </si>
  <si>
    <t>PF002442;PP000488</t>
  </si>
  <si>
    <t>AMAZONDS,HDDS,JCPENNEY01,KOHLDSN,MACY02,OLLIIX,TGTDVS</t>
  </si>
  <si>
    <t>CHMB2542</t>
  </si>
  <si>
    <t>MP13-481</t>
  </si>
  <si>
    <t>PF002453;PP000488</t>
  </si>
  <si>
    <t>AMAZONDS,JCPENNEY01,KOHLDSN,MACY02,TGTDVS</t>
  </si>
  <si>
    <t>MP13-6479</t>
  </si>
  <si>
    <t>Fitted Bedspread</t>
  </si>
  <si>
    <t>3 Piece Split Corner Pleated Quilted Bedspread</t>
  </si>
  <si>
    <t>PP000640</t>
  </si>
  <si>
    <t>7/18/2019</t>
  </si>
  <si>
    <t>AMAZON,HSNDS,JCPENNEY01,KOHLDSN,MACY02,OLLIIX,OVERSTOCK01,TGTDVS</t>
  </si>
  <si>
    <t>NCWA1608</t>
  </si>
  <si>
    <t>MP13-6486</t>
  </si>
  <si>
    <t>Mocha</t>
  </si>
  <si>
    <t>PP000488</t>
  </si>
  <si>
    <t>8/2/2019</t>
  </si>
  <si>
    <t>8/11/2019</t>
  </si>
  <si>
    <t>MP13-4972</t>
  </si>
  <si>
    <t>PF002402</t>
  </si>
  <si>
    <t>3/15/2018</t>
  </si>
  <si>
    <t>MP13-1387</t>
  </si>
  <si>
    <t>PF002486;PP000488</t>
  </si>
  <si>
    <t>AMAZONDS,JCPENNEY01,TGTDVS</t>
  </si>
  <si>
    <t>8/17/2015</t>
  </si>
  <si>
    <t>ID40-1407</t>
  </si>
  <si>
    <t>Raina</t>
  </si>
  <si>
    <t>Khloe</t>
  </si>
  <si>
    <t>Arielle</t>
  </si>
  <si>
    <t>Total Blackout Metallic Print Grommet Top Curtain Panel</t>
  </si>
  <si>
    <t>Aqua/Silver</t>
  </si>
  <si>
    <t>PF001694;PP000896</t>
  </si>
  <si>
    <t>1/3/2018</t>
  </si>
  <si>
    <t>WLAO4351</t>
  </si>
  <si>
    <t>ID70-1291</t>
  </si>
  <si>
    <t>Printed Metallic Shower Curtain</t>
  </si>
  <si>
    <t>7/19/2017</t>
  </si>
  <si>
    <t>HDDS,JCPENNEY01,KOHLDSN,MACY02,OVERSTOCK01,TGTDVS,WALMARTDS</t>
  </si>
  <si>
    <t>WLAO3752</t>
  </si>
  <si>
    <t>8/3/2017</t>
  </si>
  <si>
    <t>ID10-1248</t>
  </si>
  <si>
    <t>Metallic Printed Comforter Set</t>
  </si>
  <si>
    <t>PF001696;PP000896</t>
  </si>
  <si>
    <t>AMAZON,DESINC,FINGERHUTDS,HDDS,JCPENNEY01,MACY02,NRTPORT</t>
  </si>
  <si>
    <t>WLAO3751</t>
  </si>
  <si>
    <t>7/24/2017</t>
  </si>
  <si>
    <t>ID12-1394</t>
  </si>
  <si>
    <t>Metallic Printed Duvet Cover Set</t>
  </si>
  <si>
    <t>Grey/Silver</t>
  </si>
  <si>
    <t>PF004172</t>
  </si>
  <si>
    <t>AMAZONDS,HDDS,JCPENNEY01,KOHLDSN,MACY02,NRTPORT,TGTDVS</t>
  </si>
  <si>
    <t>WLAO4349</t>
  </si>
  <si>
    <t>2/28/2018</t>
  </si>
  <si>
    <t>4/26/2018</t>
  </si>
  <si>
    <t>ID12-1395</t>
  </si>
  <si>
    <t>AMAZON,HOUZZ,JCPENNEY01,MACY02,NRTPORT,OVERSTOCK01,TGTDVS</t>
  </si>
  <si>
    <t>ID10-1509</t>
  </si>
  <si>
    <t>Ivory/Gold</t>
  </si>
  <si>
    <t>PP000896;PF004343</t>
  </si>
  <si>
    <t>AMAZON,BLK01,DESINC,HDDS,JCPENNEY01,KOHLDSN,MACY02,NRTPORT,OLLIIX,ROOMECOM</t>
  </si>
  <si>
    <t>ID40-1615</t>
  </si>
  <si>
    <t>12/20/2018</t>
  </si>
  <si>
    <t>AMAZON,DESINC,OVERSTOCK01</t>
  </si>
  <si>
    <t>12/26/2018</t>
  </si>
  <si>
    <t>2/4/2019</t>
  </si>
  <si>
    <t>ID10-1817</t>
  </si>
  <si>
    <t>PP000896;PF004928</t>
  </si>
  <si>
    <t>10/19/2019</t>
  </si>
  <si>
    <t>11/6/2019</t>
  </si>
  <si>
    <t>ID10-1819</t>
  </si>
  <si>
    <t>AMAZON,AMAZONDS,FINGERHUTDS,HDDS,JCPENNEY01,KIRKLANDDS,KOHLDSN,MACY02,NRTPORT,OLLIIX,TGTDVS</t>
  </si>
  <si>
    <t>BASI30-0524</t>
  </si>
  <si>
    <t>Rayon from Bamboo</t>
  </si>
  <si>
    <t>Shredded Memory Foam Pillow with Rayon from Bamboo Blend Cover</t>
  </si>
  <si>
    <t>PP000941</t>
  </si>
  <si>
    <t>Classic</t>
  </si>
  <si>
    <t>4/13/2018</t>
  </si>
  <si>
    <t>BLK01,DESINC,JCPENNEY01,KOHLDSN,MACY02,OLLIIX,ZOLA</t>
  </si>
  <si>
    <t>TCNC1001</t>
  </si>
  <si>
    <t>5/15/2018</t>
  </si>
  <si>
    <t>BASI30-0525</t>
  </si>
  <si>
    <t>MZ10-484</t>
  </si>
  <si>
    <t>Reagan</t>
  </si>
  <si>
    <t>Leona</t>
  </si>
  <si>
    <t>PF000224;PP000491</t>
  </si>
  <si>
    <t>AMAZON,BLK01,DESINC,FINGERHUTDS,JCPENNEY01,KOHLDSN,MACY02,NRTPORT,TGTDVS</t>
  </si>
  <si>
    <t>HBEE2628</t>
  </si>
  <si>
    <t>II10-1100</t>
  </si>
  <si>
    <t>Rhea</t>
  </si>
  <si>
    <t>Cotton Jacquard Comforter Mini Set</t>
  </si>
  <si>
    <t>Grey/Black</t>
  </si>
  <si>
    <t>PF005086;PP001731</t>
  </si>
  <si>
    <t>Casual|Farm House</t>
  </si>
  <si>
    <t>3/9/2020</t>
  </si>
  <si>
    <t>AMAZON,AMERSIGNDS,JCPENNEY01,KOHLDSN,MACY02,OLLIIX,TGTDVS</t>
  </si>
  <si>
    <t>ALMN1337</t>
  </si>
  <si>
    <t>II12-1102</t>
  </si>
  <si>
    <t>Cotton Jacquard Duvet Cover Mini Set</t>
  </si>
  <si>
    <t>ALMN1338</t>
  </si>
  <si>
    <t>4/10/2020</t>
  </si>
  <si>
    <t>II12-1103</t>
  </si>
  <si>
    <t>4/13/2020</t>
  </si>
  <si>
    <t>II12-1041</t>
  </si>
  <si>
    <t>Ivory/Charcoal</t>
  </si>
  <si>
    <t>PF004418;PP001731</t>
  </si>
  <si>
    <t>MP12-8374</t>
  </si>
  <si>
    <t>Nico</t>
  </si>
  <si>
    <t>Toby</t>
  </si>
  <si>
    <t>3 Piece Stripe Duvet Cover Set</t>
  </si>
  <si>
    <t>Grey/Multi</t>
  </si>
  <si>
    <t>PP001920;PF006135</t>
  </si>
  <si>
    <t>2/16/2024</t>
  </si>
  <si>
    <t>1/3/2025</t>
  </si>
  <si>
    <t>NCWA2599</t>
  </si>
  <si>
    <t>WR54-2388</t>
  </si>
  <si>
    <t>Ridley</t>
  </si>
  <si>
    <t>Oversized Plaid Print Faux Mink to Berber Heated Throw</t>
  </si>
  <si>
    <t>PF002056</t>
  </si>
  <si>
    <t>BLK01,HSNDS,JCPENNEY01,KOHLDSN,MACY02,OLLIIX,OVERSTOCK01,WALMARTDS</t>
  </si>
  <si>
    <t>XBYB1011</t>
  </si>
  <si>
    <t>12/6/2018</t>
  </si>
  <si>
    <t>ID10-2430</t>
  </si>
  <si>
    <t>Robbie</t>
  </si>
  <si>
    <t>Roger</t>
  </si>
  <si>
    <t>Rick</t>
  </si>
  <si>
    <t>Plaid Comforter Set with Bed Sheets</t>
  </si>
  <si>
    <t>Teal/Black</t>
  </si>
  <si>
    <t>PP001972;PF006282</t>
  </si>
  <si>
    <t>7/25/2024</t>
  </si>
  <si>
    <t>AMAZON,HDDS,KOHLDSN,OVERSTOCK01</t>
  </si>
  <si>
    <t>BKWT2127</t>
  </si>
  <si>
    <t>ID10-2431</t>
  </si>
  <si>
    <t>ID10-2432</t>
  </si>
  <si>
    <t>9/9/2024</t>
  </si>
  <si>
    <t>II95C-0061</t>
  </si>
  <si>
    <t>Rolling Waves</t>
  </si>
  <si>
    <t>PF001917</t>
  </si>
  <si>
    <t>AMERSIGNDS,ASHFURNDS,KIRKLANDDS,KOHLDSN,OLLIIX,TGTDVS</t>
  </si>
  <si>
    <t>WLAO4268</t>
  </si>
  <si>
    <t>12/8/2016</t>
  </si>
  <si>
    <t>MPP10-001</t>
  </si>
  <si>
    <t>Madison Park Pure</t>
  </si>
  <si>
    <t>Dermot</t>
  </si>
  <si>
    <t>Dierdre</t>
  </si>
  <si>
    <t>5 Piece Cotton Comforter Set</t>
  </si>
  <si>
    <t>PF001381;PP000494</t>
  </si>
  <si>
    <t>Casual|Global Inspired</t>
  </si>
  <si>
    <t>TRPT3926</t>
  </si>
  <si>
    <t>9/18/2015</t>
  </si>
  <si>
    <t>MZ10-0652</t>
  </si>
  <si>
    <t>Jenna</t>
  </si>
  <si>
    <t>Audrey</t>
  </si>
  <si>
    <t>Metallic Printed Plush Comforter Set with Throw Pillow</t>
  </si>
  <si>
    <t>PP000980;PF006273</t>
  </si>
  <si>
    <t>NDHA1001</t>
  </si>
  <si>
    <t>MZ10-0653</t>
  </si>
  <si>
    <t>HDDS,JCPENNEY01,KOHLDSN,MACY02,OVERSTOCK01,TGTDVS</t>
  </si>
  <si>
    <t>MZ10-0650</t>
  </si>
  <si>
    <t>PP000980;PF006272</t>
  </si>
  <si>
    <t>7/2/2024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</si>
  <si>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</si>
  <si>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</si>
  <si>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</si>
  <si>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</si>
  <si>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</si>
  <si>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</si>
  <si>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HMPT3546</t>
  </si>
  <si>
    <t>5/14/2018</t>
  </si>
  <si>
    <t>MP40-6829</t>
  </si>
  <si>
    <t>PP000857;PF004966</t>
  </si>
  <si>
    <t>AMAZON,AMAZONDS,JCPENNEY01,KIRKLANDDS,KOHLDSN</t>
  </si>
  <si>
    <t>12/2/2019</t>
  </si>
  <si>
    <t>12/16/2019</t>
  </si>
  <si>
    <t>MP50-8269</t>
  </si>
  <si>
    <t>Waffle Knit Chenille Throw</t>
  </si>
  <si>
    <t>PP001876;PF005984</t>
  </si>
  <si>
    <t>NCWA2525</t>
  </si>
  <si>
    <t>ID10-1329</t>
  </si>
  <si>
    <t>Rudy</t>
  </si>
  <si>
    <t>Jax</t>
  </si>
  <si>
    <t>Slate</t>
  </si>
  <si>
    <t>AMAZON,AMAZONDS,OLLIIX,OVERSTOCK01,ROOMECOM,TGTDVS</t>
  </si>
  <si>
    <t>EBRD1701</t>
  </si>
  <si>
    <t>6/12/2018</t>
  </si>
  <si>
    <t>MPE13-805</t>
  </si>
  <si>
    <t>Saben</t>
  </si>
  <si>
    <t>Barret</t>
  </si>
  <si>
    <t>Seth</t>
  </si>
  <si>
    <t>PP000497;PF004057</t>
  </si>
  <si>
    <t>AMAZON,JCPENNEY01,TGTDVS</t>
  </si>
  <si>
    <t>TRNT2914</t>
  </si>
  <si>
    <t>7/6/2019</t>
  </si>
  <si>
    <t>MPE13-172</t>
  </si>
  <si>
    <t>PF003676;PP000497</t>
  </si>
  <si>
    <t>MP50-6877</t>
  </si>
  <si>
    <t>Sachi</t>
  </si>
  <si>
    <t>Aina</t>
  </si>
  <si>
    <t>Oversized Faux Fur Throw</t>
  </si>
  <si>
    <t>PP001429;PF004987</t>
  </si>
  <si>
    <t>12/11/2019</t>
  </si>
  <si>
    <t>HSNDS,JCPENNEY01,KOHLDSN,MACY02,OLLIIX,OVERSTOCK01,TGTDVS</t>
  </si>
  <si>
    <t>MCRF4137</t>
  </si>
  <si>
    <t>MP50-4907</t>
  </si>
  <si>
    <t>PF003528</t>
  </si>
  <si>
    <t>AMERSIGNDS,ASHFURNDS,BEALLSDS,JCPENNEY01,KOHLDSN,MACY02,OLLIIX,TGTDVS</t>
  </si>
  <si>
    <t>MP40-3597</t>
  </si>
  <si>
    <t>Saratoga</t>
  </si>
  <si>
    <t>Westmont</t>
  </si>
  <si>
    <t>Sereno</t>
  </si>
  <si>
    <t>Fretwork Print Grommet Top Window Curtain Panel</t>
  </si>
  <si>
    <t>Beige/Gold</t>
  </si>
  <si>
    <t>PF004004;PP000501</t>
  </si>
  <si>
    <t>TRPT7195</t>
  </si>
  <si>
    <t>MP40-3599</t>
  </si>
  <si>
    <t>AMAZON,BLK01,JCPENNEY01,KOHLDSN</t>
  </si>
  <si>
    <t>MP40-3600</t>
  </si>
  <si>
    <t>BLK01,JCPENNEY01,KOHLDSN,OLLIIX</t>
  </si>
  <si>
    <t>MP40-1279</t>
  </si>
  <si>
    <t>Beige/Grey</t>
  </si>
  <si>
    <t>PF003996;PP000501</t>
  </si>
  <si>
    <t>DESINC,JCPENNEY01,KOHLDSN,TGTDVS</t>
  </si>
  <si>
    <t>MP40-1281</t>
  </si>
  <si>
    <t>HSNDS,JCPENNEY01,KOHLDSN,OLLIIX,TGTDVS</t>
  </si>
  <si>
    <t>MP40-2019</t>
  </si>
  <si>
    <t>1/28/2016</t>
  </si>
  <si>
    <t>MP40-2398</t>
  </si>
  <si>
    <t>Ivory/Grey</t>
  </si>
  <si>
    <t>PF004001;PP000501</t>
  </si>
  <si>
    <t>AMAZON,DESINC,JCPENNEY01,KOHLDSN,OLLIIX</t>
  </si>
  <si>
    <t>9/5/2016</t>
  </si>
  <si>
    <t>MP40-2403</t>
  </si>
  <si>
    <t>Seafoam/White</t>
  </si>
  <si>
    <t>PF004002;PP000501</t>
  </si>
  <si>
    <t>AMAZON,BLK01</t>
  </si>
  <si>
    <t>MP40-2404</t>
  </si>
  <si>
    <t>1/13/2017</t>
  </si>
  <si>
    <t>MPE21-998</t>
  </si>
  <si>
    <t>Luxury 2 PC Pillowcases</t>
  </si>
  <si>
    <t>BADI1211</t>
  </si>
  <si>
    <t>3/26/2023</t>
  </si>
  <si>
    <t>MPE21-997</t>
  </si>
  <si>
    <t>4/28/2023</t>
  </si>
  <si>
    <t>5DS153-0017</t>
  </si>
  <si>
    <t>Saxony</t>
  </si>
  <si>
    <t>Metallic Glass Table Lamp</t>
  </si>
  <si>
    <t>9/26/2018</t>
  </si>
  <si>
    <t>HDDS,KIRKLANDDS,OLLIIX,TGTDVS</t>
  </si>
  <si>
    <t>NGIN1071</t>
  </si>
  <si>
    <t>II100-0078</t>
  </si>
  <si>
    <t>Scott</t>
  </si>
  <si>
    <t>Cream/Morrocco</t>
  </si>
  <si>
    <t>PF000836</t>
  </si>
  <si>
    <t>LGLY7413</t>
  </si>
  <si>
    <t>3/29/2017</t>
  </si>
  <si>
    <t>5/23/2017</t>
  </si>
  <si>
    <t>MP95C-0146A</t>
  </si>
  <si>
    <t>Seascape</t>
  </si>
  <si>
    <t>PP000790</t>
  </si>
  <si>
    <t>AMAZON,AMAZONDS,AMERSIGNDS,KOHLDSN,ROOMECOM</t>
  </si>
  <si>
    <t>VARK4057</t>
  </si>
  <si>
    <t>PET63OD5685</t>
  </si>
  <si>
    <t>Serena</t>
  </si>
  <si>
    <t>Oval Bed</t>
  </si>
  <si>
    <t>23"x18"+5.5"</t>
  </si>
  <si>
    <t>BFFS1122</t>
  </si>
  <si>
    <t>PET63OD5686</t>
  </si>
  <si>
    <t>30"x23"+6.5"</t>
  </si>
  <si>
    <t>5/30/2022</t>
  </si>
  <si>
    <t>PET63OD5687</t>
  </si>
  <si>
    <t>36"x27"+7.5"</t>
  </si>
  <si>
    <t>1/14/2022</t>
  </si>
  <si>
    <t>PET63OD5682</t>
  </si>
  <si>
    <t>PET63OD5683</t>
  </si>
  <si>
    <t>6/1/2022</t>
  </si>
  <si>
    <t>PET63OD5684</t>
  </si>
  <si>
    <t>2/9/2022</t>
  </si>
  <si>
    <t>MP70-1918</t>
  </si>
  <si>
    <t>Serene</t>
  </si>
  <si>
    <t>Belle</t>
  </si>
  <si>
    <t>Monroe</t>
  </si>
  <si>
    <t>Faux Silk Embroidered Floral Shower Curtain</t>
  </si>
  <si>
    <t>PF003400;PP000505</t>
  </si>
  <si>
    <t>EPAE9291</t>
  </si>
  <si>
    <t>9/10/2015</t>
  </si>
  <si>
    <t>MP10-3449</t>
  </si>
  <si>
    <t>Embroidered 7 Piece Comforter Set</t>
  </si>
  <si>
    <t>PF003404;PP000505</t>
  </si>
  <si>
    <t>DRBC5853</t>
  </si>
  <si>
    <t>MP40-4209</t>
  </si>
  <si>
    <t>Embroidered Curtain Panel</t>
  </si>
  <si>
    <t>AMAZON,AMAZONDS,BLK01,JCPENNEY01,KOHLDSN,TGTDVS</t>
  </si>
  <si>
    <t>DBYH6405</t>
  </si>
  <si>
    <t>4/13/2017</t>
  </si>
  <si>
    <t>MP41-4210</t>
  </si>
  <si>
    <t>Embroidered Window Valance</t>
  </si>
  <si>
    <t>DRBC5857</t>
  </si>
  <si>
    <t>4/17/2017</t>
  </si>
  <si>
    <t>MP10-309</t>
  </si>
  <si>
    <t>PF003399;PP000505</t>
  </si>
  <si>
    <t>MP40-1531</t>
  </si>
  <si>
    <t>AMAZON,AMAZONDS,HSNDS,JCPENNEY01,KOHLDSN</t>
  </si>
  <si>
    <t>6/25/2015</t>
  </si>
  <si>
    <t>MP41-1532</t>
  </si>
  <si>
    <t>AMAZON,AMAZONDS,JCPENNEY01,OVERSTOCK01</t>
  </si>
  <si>
    <t>9/7/2015</t>
  </si>
  <si>
    <t>MP70-4863</t>
  </si>
  <si>
    <t>PF003405;PP000505</t>
  </si>
  <si>
    <t>10/3/2017</t>
  </si>
  <si>
    <t>II150-0149</t>
  </si>
  <si>
    <t>Serenitie</t>
  </si>
  <si>
    <t>5-Light Linear Chandelier</t>
  </si>
  <si>
    <t>Bronze</t>
  </si>
  <si>
    <t>IKIY1146</t>
  </si>
  <si>
    <t>BASI16-0176</t>
  </si>
  <si>
    <t>Serenity</t>
  </si>
  <si>
    <t>Deep Pocket Waterproof Mattress Pad</t>
  </si>
  <si>
    <t>PF002392</t>
  </si>
  <si>
    <t>BLK01,HDDS,JCPENNEY01,KOHLDSN,MACY02,OLLIIX,OVERSTOCK01,TGTDVS,WALMARTDS</t>
  </si>
  <si>
    <t>TCNC1029</t>
  </si>
  <si>
    <t>BASI16-0180</t>
  </si>
  <si>
    <t>AAFESDS,BLK01,HDDS,JCPENNEY01,KOHLDSN,MACY02,OVERSTOCK01,TGTDVS</t>
  </si>
  <si>
    <t>CC71-0036</t>
  </si>
  <si>
    <t>BATH ACCESSORIES</t>
  </si>
  <si>
    <t>Bath Accessory</t>
  </si>
  <si>
    <t>Seville</t>
  </si>
  <si>
    <t>Mosaic Glass Jar</t>
  </si>
  <si>
    <t>One Size</t>
  </si>
  <si>
    <t>10/14/2022</t>
  </si>
  <si>
    <t>DESINC,JCPENNEY01,KOHLDSN,OLLIIX,OVERSTOCK01</t>
  </si>
  <si>
    <t>CFSC1007</t>
  </si>
  <si>
    <t>FUR105-0042</t>
  </si>
  <si>
    <t>ACCENT BENCH</t>
  </si>
  <si>
    <t>Storage Bench</t>
  </si>
  <si>
    <t>Shandra II</t>
  </si>
  <si>
    <t>Tessa</t>
  </si>
  <si>
    <t>Tahlia</t>
  </si>
  <si>
    <t>Tufted Top Soft Close Storage Bench</t>
  </si>
  <si>
    <t>PF000818;PP000260</t>
  </si>
  <si>
    <t>5/11/2017</t>
  </si>
  <si>
    <t>2/13/2025</t>
  </si>
  <si>
    <t>AMERSIGNDS,ASHFURNDS,HDDS,KIRKLANDDS,KOHLDSN,MACY02F,OLLIIX,ROOMECOM,TGTDVS</t>
  </si>
  <si>
    <t>ALTH7164</t>
  </si>
  <si>
    <t>9/30/2016</t>
  </si>
  <si>
    <t>II10-1320</t>
  </si>
  <si>
    <t>Shay</t>
  </si>
  <si>
    <t>3 Piece Striped Cotton Comforter Set</t>
  </si>
  <si>
    <t>PP001961;PF006245</t>
  </si>
  <si>
    <t>IKIY1190</t>
  </si>
  <si>
    <t>9/16/2024</t>
  </si>
  <si>
    <t>II12-1322</t>
  </si>
  <si>
    <t>3 Piece Striped Cotton Duvet Cover Set</t>
  </si>
  <si>
    <t>IKIY1189</t>
  </si>
  <si>
    <t>II12-1323</t>
  </si>
  <si>
    <t>II10-1324</t>
  </si>
  <si>
    <t>PP001961;PF006246</t>
  </si>
  <si>
    <t>KOHLDSN,MACY02,OLLIIX,ZOLA</t>
  </si>
  <si>
    <t>II12-1326</t>
  </si>
  <si>
    <t>KOHLDSN,OLLIIX,OVERSTOCK01,TGTDVS</t>
  </si>
  <si>
    <t>II10-1325</t>
  </si>
  <si>
    <t>AMAZON,AMAZONDS,BLK01,JCPENNEY01,KOHLDSN,MACY02,OLLIIX,OVERSTOCK01</t>
  </si>
  <si>
    <t>II12-1327</t>
  </si>
  <si>
    <t>TN54-0495</t>
  </si>
  <si>
    <t>Sherpa</t>
  </si>
  <si>
    <t>PP001893;PF006038</t>
  </si>
  <si>
    <t>SLPH1144</t>
  </si>
  <si>
    <t>TN54-0498</t>
  </si>
  <si>
    <t>TN54-0503</t>
  </si>
  <si>
    <t>PP001893;PF006040</t>
  </si>
  <si>
    <t>TN54-0504</t>
  </si>
  <si>
    <t>1/22/2024</t>
  </si>
  <si>
    <t>TN54-0505</t>
  </si>
  <si>
    <t>TN54-0506</t>
  </si>
  <si>
    <t>1/3/2024</t>
  </si>
  <si>
    <t>TN54-0499</t>
  </si>
  <si>
    <t>PP001893;PF006039</t>
  </si>
  <si>
    <t>4/8/2024</t>
  </si>
  <si>
    <t>TN54-0500</t>
  </si>
  <si>
    <t>AMAZON,BLK01,HDDS,JCPENNEY01,KOHLDSN,MACY02</t>
  </si>
  <si>
    <t>9/19/2024</t>
  </si>
  <si>
    <t>TN54-0491</t>
  </si>
  <si>
    <t>PP001893;PF006037</t>
  </si>
  <si>
    <t>TN54-0492</t>
  </si>
  <si>
    <t>TN54-0494</t>
  </si>
  <si>
    <t>9/5/2024</t>
  </si>
  <si>
    <t>CC10-0017</t>
  </si>
  <si>
    <t>Signature</t>
  </si>
  <si>
    <t>Dobby Cotton Down Alternative Comforter</t>
  </si>
  <si>
    <t>11/10/2022</t>
  </si>
  <si>
    <t>DLCROSCILL,HDDS,JCPENNEY01,KOHLDSN,MACY02,OLLIIX,OVERSTOCK01</t>
  </si>
  <si>
    <t>CFSC1000</t>
  </si>
  <si>
    <t>9/22/2023</t>
  </si>
  <si>
    <t>CC16-0019</t>
  </si>
  <si>
    <t>Dobby Cotton Waterproof Mattress Pad</t>
  </si>
  <si>
    <t>11/11/2022</t>
  </si>
  <si>
    <t>AMAZON,DLCROSCILL,JCPENNEY01,MACY02,OLLIIX,OVERSTOCK01</t>
  </si>
  <si>
    <t>CFSC1001</t>
  </si>
  <si>
    <t>3/5/2023</t>
  </si>
  <si>
    <t>5/24/2023</t>
  </si>
  <si>
    <t>CC16-0020</t>
  </si>
  <si>
    <t>DLCROSCILL,JCPENNEY01,MACY02,OLLIIX,OVERSTOCK01</t>
  </si>
  <si>
    <t>3/14/2023</t>
  </si>
  <si>
    <t>CC10-0018</t>
  </si>
  <si>
    <t>AMAZON,DLCROSCILL,HDDS,JCPENNEY01,KOHLDSN,MACY02,OLLIIX</t>
  </si>
  <si>
    <t>CC16-0021</t>
  </si>
  <si>
    <t>MPT21-0126</t>
  </si>
  <si>
    <t>Silk</t>
  </si>
  <si>
    <t>100% Mulberry Single Pillowcase</t>
  </si>
  <si>
    <t>PP001555;PF005905</t>
  </si>
  <si>
    <t>9/30/2022</t>
  </si>
  <si>
    <t>NCWA1910</t>
  </si>
  <si>
    <t>2/21/2023</t>
  </si>
  <si>
    <t>MP21-7481</t>
  </si>
  <si>
    <t>PP001555;PF005230</t>
  </si>
  <si>
    <t>6/21/2021</t>
  </si>
  <si>
    <t>8/26/2021</t>
  </si>
  <si>
    <t>11/23/2022</t>
  </si>
  <si>
    <t>MP21-7477</t>
  </si>
  <si>
    <t>10/28/2022</t>
  </si>
  <si>
    <t>MP21-7474</t>
  </si>
  <si>
    <t>PP001555;PF005227</t>
  </si>
  <si>
    <t>BEALLSDS,BLK01,JCPENNEY01,KOHLDSN,MACY02,OLLIIX,OVERSTOCK01,TGTDVS</t>
  </si>
  <si>
    <t>9/1/2022</t>
  </si>
  <si>
    <t>II120-0566</t>
  </si>
  <si>
    <t>Round Coffee Table with Shelf</t>
  </si>
  <si>
    <t>4/20/2024</t>
  </si>
  <si>
    <t>IKIY1185</t>
  </si>
  <si>
    <t>SHET20-970</t>
  </si>
  <si>
    <t>Smart Cool Microfiber</t>
  </si>
  <si>
    <t>PF002218</t>
  </si>
  <si>
    <t>Coolmax</t>
  </si>
  <si>
    <t>BEALLSDS,KOHLDSN,MACY02,TGTDVS</t>
  </si>
  <si>
    <t>THRE9286</t>
  </si>
  <si>
    <t>9/16/2016</t>
  </si>
  <si>
    <t>SHET20-971</t>
  </si>
  <si>
    <t>SHET20-972</t>
  </si>
  <si>
    <t>BLK01,KOHLDSN,MACY02,TGTDVS,ZOLA</t>
  </si>
  <si>
    <t>SHET20-973</t>
  </si>
  <si>
    <t>BEALLSDS,BLK01,JCPENNEY01,KOHLDSN,MACY02,ZOLA</t>
  </si>
  <si>
    <t>SHET20-960</t>
  </si>
  <si>
    <t>PF002216</t>
  </si>
  <si>
    <t>SHET20-961</t>
  </si>
  <si>
    <t>SHET20-962</t>
  </si>
  <si>
    <t>AMAZONDS,BLK01,HDDS,JCPENNEY01,KOHLDSN,MACY02,NRTPORT,TGTDVS,ZOLA</t>
  </si>
  <si>
    <t>SHET20-963</t>
  </si>
  <si>
    <t>BLK01,HDDS,JCPENNEY01,KOHLDSN,MACY02,NRTPORT,TGTDVS,ZOLA</t>
  </si>
  <si>
    <t>11/28/2016</t>
  </si>
  <si>
    <t>SHET20-964</t>
  </si>
  <si>
    <t>AMAZON,HDDS,JCPENNEY01,KOHLDSN</t>
  </si>
  <si>
    <t>1/4/2018</t>
  </si>
  <si>
    <t>SHET20-975</t>
  </si>
  <si>
    <t>PF002219</t>
  </si>
  <si>
    <t>KOHLDSN,MACY02,OLLIIX</t>
  </si>
  <si>
    <t>SHET20-976</t>
  </si>
  <si>
    <t>11/2/2016</t>
  </si>
  <si>
    <t>SHET20-977</t>
  </si>
  <si>
    <t>5/26/2017</t>
  </si>
  <si>
    <t>BLK01,HDDS,JCPENNEY01,KOHLDSN,MACY02,OLLIIX,TGTDVS,ZOLA</t>
  </si>
  <si>
    <t>10/18/2016</t>
  </si>
  <si>
    <t>SHET20-978</t>
  </si>
  <si>
    <t>BLK01,JCPENNEY01,KOHLDSN,MACY02,TGTDVS,ZOLA</t>
  </si>
  <si>
    <t>SHET20-1184</t>
  </si>
  <si>
    <t>PP001565;PF005246</t>
  </si>
  <si>
    <t>12/21/2020</t>
  </si>
  <si>
    <t>1/25/2021</t>
  </si>
  <si>
    <t>SHET20-1185</t>
  </si>
  <si>
    <t>BLK01,KOHLDSN,TGTDVS</t>
  </si>
  <si>
    <t>SHET20-1186</t>
  </si>
  <si>
    <t>SHET20-1187</t>
  </si>
  <si>
    <t>BLK01,JCPENNEY01,KOHLDSN,MACY02,NRTPORT,OLLIIX</t>
  </si>
  <si>
    <t>5/9/2021</t>
  </si>
  <si>
    <t>SHET20-965</t>
  </si>
  <si>
    <t>PF002217</t>
  </si>
  <si>
    <t>BLK01,JCPENNEY01,KOHLDSN</t>
  </si>
  <si>
    <t>12/2/2016</t>
  </si>
  <si>
    <t>SHET20-966</t>
  </si>
  <si>
    <t>SHET20-967</t>
  </si>
  <si>
    <t>BLK01,JCPENNEY01,KOHLDSN,MACY02,NRTPORT,OLLIIX,TGTDVS,ZOLA</t>
  </si>
  <si>
    <t>SHET20-968</t>
  </si>
  <si>
    <t>BLK01,JCPENNEY01,KOHLDSN,MACY02,OLLIIX,OVERSTOCK01,TGTDVS,WALMARTDS,ZOLA</t>
  </si>
  <si>
    <t>BL20-0602</t>
  </si>
  <si>
    <t>Soloft Plush</t>
  </si>
  <si>
    <t>Micro Plush Sheet Set</t>
  </si>
  <si>
    <t>PF001708</t>
  </si>
  <si>
    <t>CHLH5831</t>
  </si>
  <si>
    <t>11/4/2015</t>
  </si>
  <si>
    <t>BL20-0454</t>
  </si>
  <si>
    <t>PF001697</t>
  </si>
  <si>
    <t>AMAZONDS,KOHLDSN,MACY02,OLLIIX,OVERSTOCK01</t>
  </si>
  <si>
    <t>10/14/2016</t>
  </si>
  <si>
    <t>BL20-0455</t>
  </si>
  <si>
    <t>AMAZONDS,BEALLSDS,DESINC,JCPENNEY01,KOHLDSN,MACY02,OLLIIX,OVERSTOCK01</t>
  </si>
  <si>
    <t>BL20-0450</t>
  </si>
  <si>
    <t>PF001675</t>
  </si>
  <si>
    <t>BL20-0452</t>
  </si>
  <si>
    <t>10/16/2015</t>
  </si>
  <si>
    <t>BL20-0457</t>
  </si>
  <si>
    <t>PF001686</t>
  </si>
  <si>
    <t>BL20-0458</t>
  </si>
  <si>
    <t>AMAZONDS,KOHLDSN,MACY02</t>
  </si>
  <si>
    <t>1/5/2016</t>
  </si>
  <si>
    <t>BL20-0460</t>
  </si>
  <si>
    <t>1/19/2015</t>
  </si>
  <si>
    <t>BL20-0869</t>
  </si>
  <si>
    <t>PF001719</t>
  </si>
  <si>
    <t>AMAZON,AMAZONDS,KOHLDSN,MACY02,NRTPORT</t>
  </si>
  <si>
    <t>10/17/2016</t>
  </si>
  <si>
    <t>BL20-0445</t>
  </si>
  <si>
    <t>PF001663</t>
  </si>
  <si>
    <t>10/19/2015</t>
  </si>
  <si>
    <t>BL20-0446</t>
  </si>
  <si>
    <t>11/16/2016</t>
  </si>
  <si>
    <t>BL20-0447</t>
  </si>
  <si>
    <t>AMAZONDS,DESINC,KOHLDSN,MACY02,OLLIIX</t>
  </si>
  <si>
    <t>BL20-0448</t>
  </si>
  <si>
    <t>ID40-1797</t>
  </si>
  <si>
    <t>Sophie</t>
  </si>
  <si>
    <t>Lauren</t>
  </si>
  <si>
    <t>Pom Pom Embellished Curtain Panel</t>
  </si>
  <si>
    <t>PF001530;PP001619</t>
  </si>
  <si>
    <t>9/10/2019</t>
  </si>
  <si>
    <t>JLZL1119</t>
  </si>
  <si>
    <t>MP70-7471</t>
  </si>
  <si>
    <t>PF005439;PP001619</t>
  </si>
  <si>
    <t>4/16/2021</t>
  </si>
  <si>
    <t>AMAZON,HDDS,KOHLDSN,MACY02,OLLIIX,TGTDVS</t>
  </si>
  <si>
    <t>NCWA1987</t>
  </si>
  <si>
    <t>5/19/2021</t>
  </si>
  <si>
    <t>9/9/2021</t>
  </si>
  <si>
    <t>MP70-6598</t>
  </si>
  <si>
    <t>AMAZON,HDDS,JCPENNEY01,KOHLDSN,MACY02,TGTDVS,ZOLA</t>
  </si>
  <si>
    <t>WRLO7415</t>
  </si>
  <si>
    <t>10/9/2019</t>
  </si>
  <si>
    <t>MP72-6212</t>
  </si>
  <si>
    <t>Spa Cotton</t>
  </si>
  <si>
    <t>Reversible Bath Rug</t>
  </si>
  <si>
    <t>24x72"</t>
  </si>
  <si>
    <t>PP000511;PF004656</t>
  </si>
  <si>
    <t>AMAZONDS,KIRKLANDDS,MACY02,OLLIIX,OVERSTOCK01,TGTDVS</t>
  </si>
  <si>
    <t>BCMH5342</t>
  </si>
  <si>
    <t>5/1/2019</t>
  </si>
  <si>
    <t>MP72-6211</t>
  </si>
  <si>
    <t>AMAZON,AMAZONDS,JCPENNEY01,KIRKLANDDS,KOHLDSN,MACY02,OLLIIX,OVERSTOCK01,TGTDVS,ZOLA</t>
  </si>
  <si>
    <t>MP73-7179</t>
  </si>
  <si>
    <t>Spa Waffle</t>
  </si>
  <si>
    <t>Cotton Waffle Jacquard Antimicrobial Bath Towel 6 Piece Set</t>
  </si>
  <si>
    <t>PP000511</t>
  </si>
  <si>
    <t>NCWA9682</t>
  </si>
  <si>
    <t>9/1/2020</t>
  </si>
  <si>
    <t>11/10/2020</t>
  </si>
  <si>
    <t>MP73-5974</t>
  </si>
  <si>
    <t>MP95G-0324</t>
  </si>
  <si>
    <t>Sparkling Sea</t>
  </si>
  <si>
    <t>Framed Glass and Single Matted Abstract Landscape Coastal Wall Art</t>
  </si>
  <si>
    <t>KIRKLANDDS,MACY02,OLLIIX,TGTDVS</t>
  </si>
  <si>
    <t>NCWA2537</t>
  </si>
  <si>
    <t>6/19/2024</t>
  </si>
  <si>
    <t>MP10-8298</t>
  </si>
  <si>
    <t>Stay Puffed</t>
  </si>
  <si>
    <t>Overfilled Down Alternative Comforter</t>
  </si>
  <si>
    <t>PP001902;PF006069</t>
  </si>
  <si>
    <t>NCWA2523</t>
  </si>
  <si>
    <t>9/14/2023</t>
  </si>
  <si>
    <t>10/23/2023</t>
  </si>
  <si>
    <t>MP21-8300</t>
  </si>
  <si>
    <t>Overfilled Pillow Protector Single Piece</t>
  </si>
  <si>
    <t>PP001903;PF006070</t>
  </si>
  <si>
    <t>NCWA2524</t>
  </si>
  <si>
    <t>ID10-2125</t>
  </si>
  <si>
    <t>Zuri</t>
  </si>
  <si>
    <t>Celestial Comforter Set</t>
  </si>
  <si>
    <t>PF005672</t>
  </si>
  <si>
    <t>3/23/2022</t>
  </si>
  <si>
    <t>JLZL1248</t>
  </si>
  <si>
    <t>4/8/2022</t>
  </si>
  <si>
    <t>7/27/2022</t>
  </si>
  <si>
    <t>ID12-2127</t>
  </si>
  <si>
    <t>Celestial Duvet Cover Set</t>
  </si>
  <si>
    <t>3/22/2022</t>
  </si>
  <si>
    <t>AMAZON,JCPENNEY01,OVERSTOCK01</t>
  </si>
  <si>
    <t>JLZL1247</t>
  </si>
  <si>
    <t>MP104-1212</t>
  </si>
  <si>
    <t>Stewart</t>
  </si>
  <si>
    <t>Monica</t>
  </si>
  <si>
    <t>Rachel</t>
  </si>
  <si>
    <t>Upholstered 360 Degree Swivel Counter Stool 25" H</t>
  </si>
  <si>
    <t>1/3/2023</t>
  </si>
  <si>
    <t>AMERSIGNDS</t>
  </si>
  <si>
    <t>NCWA2476</t>
  </si>
  <si>
    <t>1/12/2023</t>
  </si>
  <si>
    <t>ID95C-0049</t>
  </si>
  <si>
    <t>Sunshine Animals</t>
  </si>
  <si>
    <t>Lamb Canvas Wall Art</t>
  </si>
  <si>
    <t>Lamb/Green Multi</t>
  </si>
  <si>
    <t>JLZL1303</t>
  </si>
  <si>
    <t>HH10-1345</t>
  </si>
  <si>
    <t>Suzanna</t>
  </si>
  <si>
    <t>Comforter Mini set</t>
  </si>
  <si>
    <t>PF003327</t>
  </si>
  <si>
    <t>JCPENNEY01,MACY02,OLLIIX</t>
  </si>
  <si>
    <t>HUH1554</t>
  </si>
  <si>
    <t>FPF20-0337</t>
  </si>
  <si>
    <t>Tacoma</t>
  </si>
  <si>
    <t>Dining Chair (Set of 2)</t>
  </si>
  <si>
    <t>PF000793;PP000055</t>
  </si>
  <si>
    <t>GRYL4669</t>
  </si>
  <si>
    <t>4/6/2016</t>
  </si>
  <si>
    <t>MP100-1187</t>
  </si>
  <si>
    <t>Tage</t>
  </si>
  <si>
    <t>Bianca</t>
  </si>
  <si>
    <t>Marlee</t>
  </si>
  <si>
    <t>Upholstered Accent Armchair</t>
  </si>
  <si>
    <t>4/7/2023</t>
  </si>
  <si>
    <t>KIRKLANDDS,OLLIIX,OVERSTOCK01</t>
  </si>
  <si>
    <t>NCWA2490</t>
  </si>
  <si>
    <t>4/20/2023</t>
  </si>
  <si>
    <t>WR54-1777</t>
  </si>
  <si>
    <t>Tasha</t>
  </si>
  <si>
    <t>PF003454</t>
  </si>
  <si>
    <t>WLR1301</t>
  </si>
  <si>
    <t>WR54-1776</t>
  </si>
  <si>
    <t>PF003453</t>
  </si>
  <si>
    <t>BLK01,HDDS,HSNDS,JCPENNEY01,KOHLDSN,OLLIIX,OVERSTOCK01,WALMARTDS</t>
  </si>
  <si>
    <t>WR14-1788</t>
  </si>
  <si>
    <t>100% Cotton Oversized Quilt Mini Set</t>
  </si>
  <si>
    <t>PF003308</t>
  </si>
  <si>
    <t>WLR1256</t>
  </si>
  <si>
    <t>10/27/2016</t>
  </si>
  <si>
    <t>MP153-0001</t>
  </si>
  <si>
    <t>Tate</t>
  </si>
  <si>
    <t>Boho Textured Ceramic Table Lamp</t>
  </si>
  <si>
    <t>PF002834</t>
  </si>
  <si>
    <t>AMAZON,AMERSIGNDS,JCPENNEY01,OVERSTOCK01</t>
  </si>
  <si>
    <t>LRFY2784</t>
  </si>
  <si>
    <t>2/23/2017</t>
  </si>
  <si>
    <t>PET63CH5688</t>
  </si>
  <si>
    <t>Taylor</t>
  </si>
  <si>
    <t>Cat Ottoman</t>
  </si>
  <si>
    <t>16.5"x16.5"x14"</t>
  </si>
  <si>
    <t>Grey/Ivory</t>
  </si>
  <si>
    <t>BFFS1118</t>
  </si>
  <si>
    <t>MZK10-168</t>
  </si>
  <si>
    <t>Mi Zone Kids</t>
  </si>
  <si>
    <t>Tanya</t>
  </si>
  <si>
    <t>Jamie</t>
  </si>
  <si>
    <t>Tassel Comforter Set with Heart Shaped Throw Pillow</t>
  </si>
  <si>
    <t>PP001045;PF004532</t>
  </si>
  <si>
    <t>12/19/2018</t>
  </si>
  <si>
    <t>AMAZON,HDDS,JCPENNEY01,KOHLDSN,MACY02,NRTPORT,TGTDVS</t>
  </si>
  <si>
    <t>NDHB1011</t>
  </si>
  <si>
    <t>MZK10-169</t>
  </si>
  <si>
    <t>JCPENNEY01,KOHLDSN,MACY02,NRTPORT,OLLIIX,TGTDVS</t>
  </si>
  <si>
    <t>1/22/2019</t>
  </si>
  <si>
    <t>MT95G-0086</t>
  </si>
  <si>
    <t>The Duel</t>
  </si>
  <si>
    <t>Cheetah Framed Graphic Wall Decor 2 Piece set</t>
  </si>
  <si>
    <t>MT Lily Pond</t>
  </si>
  <si>
    <t>2/7/2024</t>
  </si>
  <si>
    <t>AMAZON,KIRKLANDDS,TGTDVS</t>
  </si>
  <si>
    <t>MSTT6117</t>
  </si>
  <si>
    <t>3/8/2024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</si>
  <si>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</si>
  <si>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</si>
  <si>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</si>
  <si>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</si>
  <si>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</si>
  <si>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</si>
  <si>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</si>
  <si>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</si>
  <si>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AMAZON,ASHFURNDS,BLK01,JCPENNEY01,KOHLDSN,MACY02,OVERSTOCK01,TGTDVS</t>
  </si>
  <si>
    <t>NCWA1316</t>
  </si>
  <si>
    <t>1/20/2019</t>
  </si>
  <si>
    <t>MP13-6088</t>
  </si>
  <si>
    <t>1/10/2019</t>
  </si>
  <si>
    <t>MP13-7525</t>
  </si>
  <si>
    <t>Green / Navy</t>
  </si>
  <si>
    <t>PP001028;PF005484</t>
  </si>
  <si>
    <t>6/3/2021</t>
  </si>
  <si>
    <t>AMAZON,AMAZONDS,ASHFURNDS,BLK01,JCPENNEY01,KOHLDSN,MACY02,OVERSTOCK01,TGTDVS</t>
  </si>
  <si>
    <t>MP10-932</t>
  </si>
  <si>
    <t>Trinity</t>
  </si>
  <si>
    <t>Channing</t>
  </si>
  <si>
    <t>Vargas</t>
  </si>
  <si>
    <t>7 Piece Polyester Charmeuse Comforter Set</t>
  </si>
  <si>
    <t>PF002690</t>
  </si>
  <si>
    <t>ASHFURNDS,BLK01,HSNDS,JCPENNEY01,KOHLDSN,MACY02,OLLIIX,OVERSTOCK01,TGTDVS</t>
  </si>
  <si>
    <t>WLGN3562</t>
  </si>
  <si>
    <t>PET63CC6031</t>
  </si>
  <si>
    <t>Trucker</t>
  </si>
  <si>
    <t>Crate Cover</t>
  </si>
  <si>
    <t>BFFS1126</t>
  </si>
  <si>
    <t>PET63CC6032</t>
  </si>
  <si>
    <t>8/9/2023</t>
  </si>
  <si>
    <t>ID10-2339</t>
  </si>
  <si>
    <t>Velvet Dream Puff</t>
  </si>
  <si>
    <t>2 Piece Comforter Set</t>
  </si>
  <si>
    <t>PP001942;PF006190</t>
  </si>
  <si>
    <t>JCPENNEY01,TGTDVS</t>
  </si>
  <si>
    <t>JLZL1333</t>
  </si>
  <si>
    <t>7/11/2024</t>
  </si>
  <si>
    <t>ID10-2340</t>
  </si>
  <si>
    <t>3 Piece Comforter Set</t>
  </si>
  <si>
    <t>8/2/2024</t>
  </si>
  <si>
    <t>ID10-2341</t>
  </si>
  <si>
    <t>AMAZON,AMAZONDS,TGTDVS</t>
  </si>
  <si>
    <t>8/20/2024</t>
  </si>
  <si>
    <t>ID10-2336</t>
  </si>
  <si>
    <t>PP001942;PF006189</t>
  </si>
  <si>
    <t>ID10-2337</t>
  </si>
  <si>
    <t>ID10-2342</t>
  </si>
  <si>
    <t>PP001942;PF006191</t>
  </si>
  <si>
    <t>KOHLDSN,TGTDVS</t>
  </si>
  <si>
    <t>ID10-2343</t>
  </si>
  <si>
    <t>ID10-2344</t>
  </si>
  <si>
    <t>JCPENNEY01,OVERSTOCK01,TGTDVS</t>
  </si>
  <si>
    <t>8/22/2024</t>
  </si>
  <si>
    <t>FB13-1027</t>
  </si>
  <si>
    <t>Hampton Hill</t>
  </si>
  <si>
    <t>Velvet Touch</t>
  </si>
  <si>
    <t>3 Piece Luxurious Oversized Quilt Set</t>
  </si>
  <si>
    <t>PF003280</t>
  </si>
  <si>
    <t>5/2/2017</t>
  </si>
  <si>
    <t>BLK01,JCPENNEY01,NRTPORT,OLLIIX,OVERSTOCK01</t>
  </si>
  <si>
    <t>HTN1278</t>
  </si>
  <si>
    <t>5/15/2017</t>
  </si>
  <si>
    <t>JLA13-500</t>
  </si>
  <si>
    <t>Peacock</t>
  </si>
  <si>
    <t>PF003273</t>
  </si>
  <si>
    <t>BLK01,MACY02,OLLIIX</t>
  </si>
  <si>
    <t>FB13-1148</t>
  </si>
  <si>
    <t>PF003287</t>
  </si>
  <si>
    <t>2/14/2017</t>
  </si>
  <si>
    <t>4/10/2017</t>
  </si>
  <si>
    <t>FB13-1149</t>
  </si>
  <si>
    <t>MP12-476</t>
  </si>
  <si>
    <t>Vienna</t>
  </si>
  <si>
    <t>Marcella</t>
  </si>
  <si>
    <t>Adela</t>
  </si>
  <si>
    <t>PF003375;PP000530</t>
  </si>
  <si>
    <t>TRPT2343</t>
  </si>
  <si>
    <t>MP12-7142</t>
  </si>
  <si>
    <t>Violette</t>
  </si>
  <si>
    <t>Valeria</t>
  </si>
  <si>
    <t>3 Piece Tufted Cotton Chenille Duvet Cover Set</t>
  </si>
  <si>
    <t>Ivory/Taupe</t>
  </si>
  <si>
    <t>PP001468;PF005062</t>
  </si>
  <si>
    <t>AMAZON,JCPENNEY01,MACY02,OLLIIX,OVERSTOCK01</t>
  </si>
  <si>
    <t>NCWA1863</t>
  </si>
  <si>
    <t>5/5/2020</t>
  </si>
  <si>
    <t>MP12-7143</t>
  </si>
  <si>
    <t>BR51N-3835</t>
  </si>
  <si>
    <t>Waffle Weave</t>
  </si>
  <si>
    <t>PP001817;PF005835</t>
  </si>
  <si>
    <t>TCKF1568</t>
  </si>
  <si>
    <t>4/23/2023</t>
  </si>
  <si>
    <t>BR51N-3837</t>
  </si>
  <si>
    <t>PP001817;PF005836</t>
  </si>
  <si>
    <t>BASI10-0293</t>
  </si>
  <si>
    <t>Warmer</t>
  </si>
  <si>
    <t>Cotton Down Alternative Featherless Comforter</t>
  </si>
  <si>
    <t>PF002093</t>
  </si>
  <si>
    <t>JCPENNEY01,KOHLDSN,OVERSTOCK01,TGTDVS</t>
  </si>
  <si>
    <t>ANEW1117</t>
  </si>
  <si>
    <t>12/23/2015</t>
  </si>
  <si>
    <t>BASI10-0294</t>
  </si>
  <si>
    <t>JCPENNEY01,KOHLDSN,OLLIIX,OVERSTOCK01</t>
  </si>
  <si>
    <t>5/3/2016</t>
  </si>
  <si>
    <t>BASI10-0295</t>
  </si>
  <si>
    <t>JCPENNEY01,KOHLDSN,OLLIIX,OVERSTOCK01,TGTDVS,WALMARTDS,ZOLA</t>
  </si>
  <si>
    <t>12/28/2015</t>
  </si>
  <si>
    <t>ID10-1381</t>
  </si>
  <si>
    <t>Waterfall</t>
  </si>
  <si>
    <t>Demi</t>
  </si>
  <si>
    <t>Marley</t>
  </si>
  <si>
    <t>Ruffle Comforter Set</t>
  </si>
  <si>
    <t>PF004170;PP000838</t>
  </si>
  <si>
    <t>Shabby Chic|Cottage/Country</t>
  </si>
  <si>
    <t>GRYL4665</t>
  </si>
  <si>
    <t>ST55-0114</t>
  </si>
  <si>
    <t>Waterproof</t>
  </si>
  <si>
    <t>BLK01,DESINC,FINGERHUTDS,JCPENNEY01,KOHLDSN,OVERSTOCK01,TGTDVS</t>
  </si>
  <si>
    <t>XS10547</t>
  </si>
  <si>
    <t>4/26/2021</t>
  </si>
  <si>
    <t>CCL30-0036</t>
  </si>
  <si>
    <t>Winchester</t>
  </si>
  <si>
    <t>CKSC1009</t>
  </si>
  <si>
    <t>CCL30-0035</t>
  </si>
  <si>
    <t>MACY02,NRTPORT</t>
  </si>
  <si>
    <t>7/14/2023</t>
  </si>
  <si>
    <t>CCL30-0034</t>
  </si>
  <si>
    <t>MP95C-0197</t>
  </si>
  <si>
    <t>Winter Glaze</t>
  </si>
  <si>
    <t>Heavily Embellished 2-piece Canvas Wall Art Set</t>
  </si>
  <si>
    <t>Blue/White</t>
  </si>
  <si>
    <t>PP001172;PF004665</t>
  </si>
  <si>
    <t>AMAZON,AMAZONDS,KIRKLANDDS,KOHLDSN,ZOLA</t>
  </si>
  <si>
    <t>NCWA1427</t>
  </si>
  <si>
    <t>WR70-1815</t>
  </si>
  <si>
    <t>Winter Hills</t>
  </si>
  <si>
    <t>100% Cotton Shower Curtain</t>
  </si>
  <si>
    <t>PF003308;PP000534</t>
  </si>
  <si>
    <t>AMAZON,AMAZONDS,HDDS,JCPENNEY01,KOHLDSN,OVERSTOCK01,TGTDVS</t>
  </si>
  <si>
    <t>WLR1293</t>
  </si>
  <si>
    <t>9/12/2016</t>
  </si>
  <si>
    <t>WR14-1727</t>
  </si>
  <si>
    <t>Winter Plains</t>
  </si>
  <si>
    <t>AAFESDS,AMAZON,HDDS,JCPENNEY01,KOHLDSN,MACY02,OLLIIX,OVERSTOCK01,TGTDVS</t>
  </si>
  <si>
    <t>WLR1252</t>
  </si>
  <si>
    <t>9/2/2016</t>
  </si>
  <si>
    <t>BASI51-0323</t>
  </si>
  <si>
    <t>Wonder Wool</t>
  </si>
  <si>
    <t>Down Alternative</t>
  </si>
  <si>
    <t>PF002094</t>
  </si>
  <si>
    <t>Wool</t>
  </si>
  <si>
    <t>AMAZON,AMAZONDS,JCPENNEY01,KOHLDSN,MACY02,OLLIIX,OVERSTOCK01,TGTDVS</t>
  </si>
  <si>
    <t>ANEW1124</t>
  </si>
  <si>
    <t>11/20/2015</t>
  </si>
  <si>
    <t>BASI51-0324</t>
  </si>
  <si>
    <t>AMAZON,AMAZONDS,HDDS,JCPENNEY01,KOHLDSN,MACY02,OLLIIX,OVERSTOCK01,WALMARTDS</t>
  </si>
  <si>
    <t>11/10/2015</t>
  </si>
  <si>
    <t>BASI51-0325</t>
  </si>
  <si>
    <t>Down Alternative Balnket</t>
  </si>
  <si>
    <t>AMAZON,AMAZONDS,HSNDS,JCPENNEY01,KOHLDSN,MACY02,OLLIIX,OVERSTOCK01</t>
  </si>
  <si>
    <t>11/5/2015</t>
  </si>
  <si>
    <t>BASI10-0290</t>
  </si>
  <si>
    <t>Year Round Warmth</t>
  </si>
  <si>
    <t>AMAZON,AMAZONDS,KOHLDSN,MACY02,OLLIIX,OVERSTOCK01,TGTDVS,WALMARTDS</t>
  </si>
  <si>
    <t>ANEW1118</t>
  </si>
  <si>
    <t>FB153-1187</t>
  </si>
  <si>
    <t>Zazie</t>
  </si>
  <si>
    <t>Ceramic Genie Table Lamp</t>
  </si>
  <si>
    <t>HTN10029</t>
  </si>
  <si>
    <t>MP50-7193</t>
  </si>
  <si>
    <t>Marselle</t>
  </si>
  <si>
    <t>PP000539;PF005113</t>
  </si>
  <si>
    <t>AMAZON,BLK01,DESINC,FINGERHUTDS,JCPENNEY01,KOHLDSN,MACY02,OLLIIX,OVERSTOCK01,TGTDVS</t>
  </si>
  <si>
    <t>WLAO2844</t>
  </si>
  <si>
    <t>8/25/2020</t>
  </si>
  <si>
    <t>10/6/2020</t>
  </si>
  <si>
    <t>MP30-6236</t>
  </si>
  <si>
    <t>Blush/Grey</t>
  </si>
  <si>
    <t>PP000539;PF004618</t>
  </si>
  <si>
    <t>3/28/2019</t>
  </si>
  <si>
    <t>AMAZON,FINGERHUTDS,HSNDS,KOHLDSN,MACY02,OVERSTOCK01,TGTDVS</t>
  </si>
  <si>
    <t>WLAO4094</t>
  </si>
  <si>
    <t>4/23/2019</t>
  </si>
  <si>
    <t>MP10-3074</t>
  </si>
  <si>
    <t>4PC Faux Fur Comforter Set</t>
  </si>
  <si>
    <t>PF002117;PP000539</t>
  </si>
  <si>
    <t>AMAZON,AMAZONDS,ASHFURNDS,DESINC,FINGERHUTDS,HDDS,HOUZZ,HSNDS,JCPENNEY01,KOHLDSN,MACY02,NRTPORT,OLLIIX,TGTDVS</t>
  </si>
  <si>
    <t>WLAO2619</t>
  </si>
  <si>
    <t>BR54-4181</t>
  </si>
  <si>
    <t>Oversized Faux Fur Heated Throw</t>
  </si>
  <si>
    <t>50x70"</t>
  </si>
  <si>
    <t>PP000539;PF006059</t>
  </si>
  <si>
    <t>BTY1244</t>
  </si>
  <si>
    <t>MP30-2831</t>
  </si>
  <si>
    <t>PF002118;PP000539</t>
  </si>
  <si>
    <t>AMAZON,AMAZONDS,ASHFURNDS,FINGERHUTDS,JCPENNEY01,KIRKLANDDS,KOHLDSN,MACY02,OLLIIX,OVERSTOCK01,TGTDVS</t>
  </si>
  <si>
    <t>MP30-6706</t>
  </si>
  <si>
    <t>Leopard</t>
  </si>
  <si>
    <t>PP000539;PF004889</t>
  </si>
  <si>
    <t>9/30/2019</t>
  </si>
  <si>
    <t>AMAZON,AMAZONDS,FINGERHUTDS,KOHLDSN,MACY02,OLLIIX,TGTDVS</t>
  </si>
  <si>
    <t>MP10-4860</t>
  </si>
  <si>
    <t>PF002119</t>
  </si>
  <si>
    <t>AMAZONDS,HDDS,JCPENNEY01,KOHLDSN,MACY02,OVERSTOCK01,TGTDVS</t>
  </si>
  <si>
    <t>MP30-4814</t>
  </si>
  <si>
    <t>8/25/2017</t>
  </si>
  <si>
    <t>AMAZONDS,JCPENNEY01,KIRKLANDDS,KOHLDSN,MACY02,OLLIIX,TGTDVS</t>
  </si>
  <si>
    <t>8/27/2017</t>
  </si>
  <si>
    <t>10/10/2017</t>
  </si>
  <si>
    <t>MP50-4813</t>
  </si>
  <si>
    <t>AMAZON,ASHFURNDS,HOUZZ,HSNDS,JCPENNEY01,KIRKLANDDS,KOHLDSN,MACY02,OLLIIX,TGTDVS</t>
  </si>
  <si>
    <t>9/6/2017</t>
  </si>
  <si>
    <t>MP30-6234</t>
  </si>
  <si>
    <t>Snow Leopard</t>
  </si>
  <si>
    <t>PP000539;PF004399</t>
  </si>
  <si>
    <t>AMAZONDS,ASHFURNDS,KIRKLANDDS,KOHLDSN,MACY02,OLLIIX,OVERSTOCK01,TGTDVS</t>
  </si>
  <si>
    <t>12/9/2019</t>
  </si>
  <si>
    <t>MP10-3072</t>
  </si>
  <si>
    <t>PF002116;PP000539</t>
  </si>
  <si>
    <t>AMAZON,FINGERHUTDS,HDDS,JCPENNEY01,KOHLDSN,MACY02,NRTPORT,OLLIIX,OVERSTOCK01,TGTDVS</t>
  </si>
  <si>
    <t>MP10-3073</t>
  </si>
  <si>
    <t>AMAZON,DESINC,JCPENNEY01,KOHLDSN,MACY02,NRTPORT,OLLIIX,OVERSTOCK01,TGTDVS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</si>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</sst>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5">
    <numFmt numFmtId="164" formatCode="#,##0.0"/>
    <numFmt numFmtId="165" formatCode="#0"/>
    <numFmt numFmtId="166" formatCode="#0.00%"/>
    <numFmt numFmtId="167" formatCode="$#,##0.00"/>
    <numFmt numFmtId="168" formatCode="#0.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63778F" tint="0"/>
      </patternFill>
    </fill>
    <fill>
      <patternFill patternType="solid">
        <fgColor rgb="FFFFEB96" tint="0"/>
      </patternFill>
    </fill>
    <fill>
      <patternFill patternType="solid">
        <fgColor rgb="FFC6EFCD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21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168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168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  <xf numFmtId="168" applyNumberFormat="1" fontId="2" applyFont="1" fillId="3" applyFill="1" borderId="1" applyBorder="1" xfId="0">
      <alignment wrapText="1"/>
    </xf>
    <xf numFmtId="168" applyNumberFormat="1" fontId="2" applyFont="1" fillId="4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IB120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  <c r="EE3" s="1" t="s">
        <v>18</v>
      </c>
      <c r="EF3" s="1" t="s">
        <v>18</v>
      </c>
      <c r="EG3" s="1" t="s">
        <v>18</v>
      </c>
      <c r="EH3" s="1" t="s">
        <v>18</v>
      </c>
      <c r="EI3" s="1" t="s">
        <v>18</v>
      </c>
      <c r="EJ3" s="1" t="s">
        <v>18</v>
      </c>
      <c r="EK3" s="1" t="s">
        <v>18</v>
      </c>
      <c r="EL3" s="1" t="s">
        <v>18</v>
      </c>
      <c r="EM3" s="1" t="s">
        <v>18</v>
      </c>
      <c r="EN3" s="1" t="s">
        <v>18</v>
      </c>
      <c r="EO3" s="1" t="s">
        <v>18</v>
      </c>
      <c r="EP3" s="1" t="s">
        <v>18</v>
      </c>
      <c r="EQ3" s="1" t="s">
        <v>18</v>
      </c>
      <c r="ER3" s="1" t="s">
        <v>18</v>
      </c>
      <c r="ES3" s="1" t="s">
        <v>18</v>
      </c>
      <c r="ET3" s="1" t="s">
        <v>18</v>
      </c>
      <c r="EU3" s="1" t="s">
        <v>18</v>
      </c>
      <c r="EV3" s="1" t="s">
        <v>18</v>
      </c>
      <c r="EW3" s="1" t="s">
        <v>18</v>
      </c>
      <c r="EX3" s="1" t="s">
        <v>18</v>
      </c>
      <c r="EY3" s="1" t="s">
        <v>18</v>
      </c>
      <c r="EZ3" s="1" t="s">
        <v>18</v>
      </c>
      <c r="FA3" s="1" t="s">
        <v>18</v>
      </c>
      <c r="FB3" s="1" t="s">
        <v>18</v>
      </c>
      <c r="FC3" s="1" t="s">
        <v>18</v>
      </c>
      <c r="FD3" s="1" t="s">
        <v>18</v>
      </c>
      <c r="FE3" s="1" t="s">
        <v>18</v>
      </c>
      <c r="FF3" s="1" t="s">
        <v>18</v>
      </c>
      <c r="FG3" s="1" t="s">
        <v>18</v>
      </c>
      <c r="FH3" s="1" t="s">
        <v>18</v>
      </c>
      <c r="FI3" s="1" t="s">
        <v>18</v>
      </c>
      <c r="FJ3" s="1" t="s">
        <v>18</v>
      </c>
      <c r="FK3" s="1" t="s">
        <v>18</v>
      </c>
      <c r="FL3" s="1" t="s">
        <v>18</v>
      </c>
      <c r="FM3" s="1" t="s">
        <v>18</v>
      </c>
      <c r="FN3" s="1" t="s">
        <v>18</v>
      </c>
      <c r="FO3" s="1" t="s">
        <v>18</v>
      </c>
      <c r="FP3" s="1" t="s">
        <v>18</v>
      </c>
      <c r="FQ3" s="1" t="s">
        <v>18</v>
      </c>
      <c r="FR3" s="1" t="s">
        <v>18</v>
      </c>
      <c r="FS3" s="1" t="s">
        <v>18</v>
      </c>
      <c r="FT3" s="1" t="s">
        <v>18</v>
      </c>
      <c r="FU3" s="1" t="s">
        <v>18</v>
      </c>
      <c r="FV3" s="1" t="s">
        <v>18</v>
      </c>
      <c r="FW3" s="1" t="s">
        <v>18</v>
      </c>
      <c r="FX3" s="1" t="s">
        <v>18</v>
      </c>
      <c r="FY3" s="1" t="s">
        <v>18</v>
      </c>
      <c r="FZ3" s="1" t="s">
        <v>18</v>
      </c>
      <c r="GA3" s="1" t="s">
        <v>18</v>
      </c>
      <c r="GB3" s="1" t="s">
        <v>18</v>
      </c>
      <c r="GC3" s="1" t="s">
        <v>19</v>
      </c>
      <c r="GD3" s="1" t="s">
        <v>19</v>
      </c>
      <c r="GE3" s="1" t="s">
        <v>19</v>
      </c>
      <c r="GF3" s="1" t="s">
        <v>19</v>
      </c>
      <c r="GG3" s="1" t="s">
        <v>19</v>
      </c>
      <c r="GH3" s="1" t="s">
        <v>19</v>
      </c>
      <c r="GI3" s="1" t="s">
        <v>19</v>
      </c>
      <c r="GJ3" s="1" t="s">
        <v>19</v>
      </c>
      <c r="GK3" s="1" t="s">
        <v>19</v>
      </c>
      <c r="GL3" s="1" t="s">
        <v>19</v>
      </c>
      <c r="GM3" s="1" t="s">
        <v>19</v>
      </c>
      <c r="GN3" s="1" t="s">
        <v>19</v>
      </c>
      <c r="GO3" s="1" t="s">
        <v>19</v>
      </c>
      <c r="GP3" s="1" t="s">
        <v>19</v>
      </c>
      <c r="GQ3" s="1" t="s">
        <v>19</v>
      </c>
      <c r="GR3" s="1" t="s">
        <v>19</v>
      </c>
      <c r="GS3" s="1" t="s">
        <v>19</v>
      </c>
      <c r="GT3" s="1" t="s">
        <v>19</v>
      </c>
      <c r="GU3" s="1" t="s">
        <v>19</v>
      </c>
      <c r="GV3" s="1" t="s">
        <v>19</v>
      </c>
      <c r="GW3" s="1" t="s">
        <v>19</v>
      </c>
      <c r="GX3" s="1" t="s">
        <v>19</v>
      </c>
      <c r="GY3" s="1" t="s">
        <v>19</v>
      </c>
      <c r="GZ3" s="1" t="s">
        <v>19</v>
      </c>
      <c r="HA3" s="1" t="s">
        <v>19</v>
      </c>
      <c r="HB3" s="1" t="s">
        <v>19</v>
      </c>
      <c r="HC3" s="1" t="s">
        <v>19</v>
      </c>
      <c r="HD3" s="1" t="s">
        <v>19</v>
      </c>
      <c r="HE3" s="1" t="s">
        <v>19</v>
      </c>
      <c r="HF3" s="1" t="s">
        <v>19</v>
      </c>
      <c r="HG3" s="1" t="s">
        <v>19</v>
      </c>
      <c r="HH3" s="1" t="s">
        <v>19</v>
      </c>
      <c r="HI3" s="1" t="s">
        <v>19</v>
      </c>
      <c r="HJ3" s="1" t="s">
        <v>19</v>
      </c>
      <c r="HK3" s="1" t="s">
        <v>19</v>
      </c>
      <c r="HL3" s="1" t="s">
        <v>19</v>
      </c>
      <c r="HM3" s="1" t="s">
        <v>19</v>
      </c>
      <c r="HN3" s="1" t="s">
        <v>19</v>
      </c>
      <c r="HO3" s="1" t="s">
        <v>19</v>
      </c>
      <c r="HP3" s="1" t="s">
        <v>19</v>
      </c>
      <c r="HQ3" s="1" t="s">
        <v>19</v>
      </c>
      <c r="HR3" s="1" t="s">
        <v>19</v>
      </c>
      <c r="HS3" s="1" t="s">
        <v>19</v>
      </c>
      <c r="HT3" s="1" t="s">
        <v>19</v>
      </c>
      <c r="HU3" s="1" t="s">
        <v>19</v>
      </c>
      <c r="HV3" s="1" t="s">
        <v>19</v>
      </c>
      <c r="HW3" s="1" t="s">
        <v>19</v>
      </c>
      <c r="HX3" s="1" t="s">
        <v>19</v>
      </c>
      <c r="HY3" s="1" t="s">
        <v>19</v>
      </c>
      <c r="HZ3" s="1" t="s">
        <v>19</v>
      </c>
      <c r="IA3" s="1" t="s">
        <v>19</v>
      </c>
      <c r="IB3" s="1" t="s">
        <v>19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20</v>
      </c>
      <c r="Z4" s="1" t="s">
        <v>21</v>
      </c>
      <c r="AA4" s="1" t="s">
        <v>22</v>
      </c>
      <c r="AB4" s="1" t="s">
        <v>23</v>
      </c>
      <c r="AC4" s="1" t="s">
        <v>24</v>
      </c>
      <c r="AD4" s="1" t="s">
        <v>25</v>
      </c>
      <c r="AE4" s="1" t="s">
        <v>26</v>
      </c>
      <c r="AF4" s="1" t="s">
        <v>27</v>
      </c>
      <c r="AG4" s="1" t="s">
        <v>27</v>
      </c>
      <c r="AH4" s="1" t="s">
        <v>28</v>
      </c>
      <c r="AI4" s="1" t="s">
        <v>29</v>
      </c>
      <c r="AJ4" s="1" t="s">
        <v>30</v>
      </c>
      <c r="AK4" s="1" t="s">
        <v>31</v>
      </c>
      <c r="AL4" s="1" t="s">
        <v>32</v>
      </c>
      <c r="AM4" s="1" t="s">
        <v>33</v>
      </c>
      <c r="AN4" s="1" t="s">
        <v>34</v>
      </c>
      <c r="AO4" s="1" t="s">
        <v>35</v>
      </c>
      <c r="AP4" s="1" t="s">
        <v>36</v>
      </c>
      <c r="AQ4" s="1" t="s">
        <v>36</v>
      </c>
      <c r="AR4" s="1" t="s">
        <v>37</v>
      </c>
      <c r="AS4" s="1" t="s">
        <v>37</v>
      </c>
      <c r="AT4" s="1" t="s">
        <v>38</v>
      </c>
      <c r="AU4" s="1" t="s">
        <v>39</v>
      </c>
      <c r="AV4" s="1" t="s">
        <v>36</v>
      </c>
      <c r="AW4" s="1" t="s">
        <v>36</v>
      </c>
      <c r="AX4" s="1" t="s">
        <v>37</v>
      </c>
      <c r="AY4" s="1" t="s">
        <v>37</v>
      </c>
      <c r="AZ4" s="1" t="s">
        <v>40</v>
      </c>
      <c r="BA4" s="1" t="s">
        <v>41</v>
      </c>
      <c r="BB4" s="1" t="s">
        <v>42</v>
      </c>
      <c r="BC4" s="1" t="s">
        <v>36</v>
      </c>
      <c r="BD4" s="1" t="s">
        <v>36</v>
      </c>
      <c r="BE4" s="1" t="s">
        <v>37</v>
      </c>
      <c r="BF4" s="1" t="s">
        <v>37</v>
      </c>
      <c r="BG4" s="1" t="s">
        <v>43</v>
      </c>
      <c r="BH4" s="1" t="s">
        <v>44</v>
      </c>
      <c r="BI4" s="1" t="s">
        <v>45</v>
      </c>
      <c r="BJ4" s="1" t="s">
        <v>46</v>
      </c>
      <c r="BK4" s="1" t="s">
        <v>46</v>
      </c>
      <c r="BL4" s="1" t="s">
        <v>46</v>
      </c>
      <c r="BM4" s="1" t="s">
        <v>47</v>
      </c>
      <c r="BN4" s="1" t="s">
        <v>47</v>
      </c>
      <c r="BO4" s="1" t="s">
        <v>36</v>
      </c>
      <c r="BP4" s="1" t="s">
        <v>36</v>
      </c>
      <c r="BQ4" s="1" t="s">
        <v>37</v>
      </c>
      <c r="BR4" s="1" t="s">
        <v>37</v>
      </c>
      <c r="BS4" s="1" t="s">
        <v>38</v>
      </c>
      <c r="BT4" s="1" t="s">
        <v>39</v>
      </c>
      <c r="BU4" s="1" t="s">
        <v>48</v>
      </c>
      <c r="BV4" s="1" t="s">
        <v>49</v>
      </c>
      <c r="BW4" s="1" t="s">
        <v>50</v>
      </c>
      <c r="BX4" s="1" t="s">
        <v>51</v>
      </c>
      <c r="BY4" s="1" t="s">
        <v>52</v>
      </c>
      <c r="BZ4" s="1" t="s">
        <v>53</v>
      </c>
      <c r="CA4" s="1" t="s">
        <v>54</v>
      </c>
      <c r="CB4" s="1" t="s">
        <v>55</v>
      </c>
      <c r="CC4" s="1" t="s">
        <v>56</v>
      </c>
      <c r="CD4" s="1" t="s">
        <v>57</v>
      </c>
      <c r="CE4" s="1" t="s">
        <v>17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17</v>
      </c>
      <c r="CQ4" s="1" t="s">
        <v>17</v>
      </c>
      <c r="CR4" s="1" t="s">
        <v>17</v>
      </c>
      <c r="CS4" s="1" t="s">
        <v>18</v>
      </c>
      <c r="CT4" s="1" t="s">
        <v>18</v>
      </c>
      <c r="CU4" s="1" t="s">
        <v>18</v>
      </c>
      <c r="CV4" s="1" t="s">
        <v>18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  <c r="DL4" s="1" t="s">
        <v>18</v>
      </c>
      <c r="DM4" s="1" t="s">
        <v>18</v>
      </c>
      <c r="DN4" s="1" t="s">
        <v>18</v>
      </c>
      <c r="DO4" s="1" t="s">
        <v>18</v>
      </c>
      <c r="DP4" s="1" t="s">
        <v>18</v>
      </c>
      <c r="DQ4" s="1" t="s">
        <v>18</v>
      </c>
      <c r="DR4" s="1" t="s">
        <v>18</v>
      </c>
      <c r="DS4" s="1" t="s">
        <v>18</v>
      </c>
      <c r="DT4" s="1" t="s">
        <v>18</v>
      </c>
      <c r="DU4" s="1" t="s">
        <v>18</v>
      </c>
      <c r="DV4" s="1" t="s">
        <v>18</v>
      </c>
      <c r="DW4" s="1" t="s">
        <v>18</v>
      </c>
      <c r="DX4" s="1" t="s">
        <v>18</v>
      </c>
      <c r="DY4" s="1" t="s">
        <v>18</v>
      </c>
      <c r="DZ4" s="1" t="s">
        <v>18</v>
      </c>
      <c r="EA4" s="1" t="s">
        <v>18</v>
      </c>
      <c r="EB4" s="1" t="s">
        <v>18</v>
      </c>
      <c r="EC4" s="1" t="s">
        <v>18</v>
      </c>
      <c r="ED4" s="1" t="s">
        <v>18</v>
      </c>
      <c r="EE4" s="1" t="s">
        <v>18</v>
      </c>
      <c r="EF4" s="1" t="s">
        <v>18</v>
      </c>
      <c r="EG4" s="1" t="s">
        <v>18</v>
      </c>
      <c r="EH4" s="1" t="s">
        <v>18</v>
      </c>
      <c r="EI4" s="1" t="s">
        <v>18</v>
      </c>
      <c r="EJ4" s="1" t="s">
        <v>18</v>
      </c>
      <c r="EK4" s="1" t="s">
        <v>18</v>
      </c>
      <c r="EL4" s="1" t="s">
        <v>18</v>
      </c>
      <c r="EM4" s="1" t="s">
        <v>18</v>
      </c>
      <c r="EN4" s="1" t="s">
        <v>18</v>
      </c>
      <c r="EO4" s="1" t="s">
        <v>18</v>
      </c>
      <c r="EP4" s="1" t="s">
        <v>18</v>
      </c>
      <c r="EQ4" s="1" t="s">
        <v>18</v>
      </c>
      <c r="ER4" s="1" t="s">
        <v>18</v>
      </c>
      <c r="ES4" s="1" t="s">
        <v>18</v>
      </c>
      <c r="ET4" s="1" t="s">
        <v>18</v>
      </c>
      <c r="EU4" s="1" t="s">
        <v>18</v>
      </c>
      <c r="EV4" s="1" t="s">
        <v>18</v>
      </c>
      <c r="EW4" s="1" t="s">
        <v>18</v>
      </c>
      <c r="EX4" s="1" t="s">
        <v>18</v>
      </c>
      <c r="EY4" s="1" t="s">
        <v>18</v>
      </c>
      <c r="EZ4" s="1" t="s">
        <v>18</v>
      </c>
      <c r="FA4" s="1" t="s">
        <v>18</v>
      </c>
      <c r="FB4" s="1" t="s">
        <v>18</v>
      </c>
      <c r="FC4" s="1" t="s">
        <v>18</v>
      </c>
      <c r="FD4" s="1" t="s">
        <v>18</v>
      </c>
      <c r="FE4" s="1" t="s">
        <v>18</v>
      </c>
      <c r="FF4" s="1" t="s">
        <v>18</v>
      </c>
      <c r="FG4" s="1" t="s">
        <v>18</v>
      </c>
      <c r="FH4" s="1" t="s">
        <v>18</v>
      </c>
      <c r="FI4" s="1" t="s">
        <v>18</v>
      </c>
      <c r="FJ4" s="1" t="s">
        <v>18</v>
      </c>
      <c r="FK4" s="1" t="s">
        <v>18</v>
      </c>
      <c r="FL4" s="1" t="s">
        <v>18</v>
      </c>
      <c r="FM4" s="1" t="s">
        <v>18</v>
      </c>
      <c r="FN4" s="1" t="s">
        <v>18</v>
      </c>
      <c r="FO4" s="1" t="s">
        <v>18</v>
      </c>
      <c r="FP4" s="1" t="s">
        <v>18</v>
      </c>
      <c r="FQ4" s="1" t="s">
        <v>18</v>
      </c>
      <c r="FR4" s="1" t="s">
        <v>18</v>
      </c>
      <c r="FS4" s="1" t="s">
        <v>18</v>
      </c>
      <c r="FT4" s="1" t="s">
        <v>18</v>
      </c>
      <c r="FU4" s="1" t="s">
        <v>18</v>
      </c>
      <c r="FV4" s="1" t="s">
        <v>18</v>
      </c>
      <c r="FW4" s="1" t="s">
        <v>18</v>
      </c>
      <c r="FX4" s="1" t="s">
        <v>18</v>
      </c>
      <c r="FY4" s="1" t="s">
        <v>18</v>
      </c>
      <c r="FZ4" s="1" t="s">
        <v>18</v>
      </c>
      <c r="GA4" s="1" t="s">
        <v>18</v>
      </c>
      <c r="GB4" s="1" t="s">
        <v>18</v>
      </c>
      <c r="GC4" s="1" t="s">
        <v>58</v>
      </c>
      <c r="GD4" s="1" t="s">
        <v>59</v>
      </c>
      <c r="GE4" s="1" t="s">
        <v>60</v>
      </c>
      <c r="GF4" s="1" t="s">
        <v>61</v>
      </c>
      <c r="GG4" s="1" t="s">
        <v>62</v>
      </c>
      <c r="GH4" s="1" t="s">
        <v>63</v>
      </c>
      <c r="GI4" s="1" t="s">
        <v>64</v>
      </c>
      <c r="GJ4" s="1" t="s">
        <v>65</v>
      </c>
      <c r="GK4" s="1" t="s">
        <v>66</v>
      </c>
      <c r="GL4" s="1" t="s">
        <v>67</v>
      </c>
      <c r="GM4" s="1" t="s">
        <v>68</v>
      </c>
      <c r="GN4" s="1" t="s">
        <v>69</v>
      </c>
      <c r="GO4" s="1" t="s">
        <v>70</v>
      </c>
      <c r="GP4" s="1" t="s">
        <v>71</v>
      </c>
      <c r="GQ4" s="1" t="s">
        <v>72</v>
      </c>
      <c r="GR4" s="1" t="s">
        <v>73</v>
      </c>
      <c r="GS4" s="1" t="s">
        <v>74</v>
      </c>
      <c r="GT4" s="1" t="s">
        <v>75</v>
      </c>
      <c r="GU4" s="1" t="s">
        <v>76</v>
      </c>
      <c r="GV4" s="1" t="s">
        <v>77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58</v>
      </c>
      <c r="HD4" s="1" t="s">
        <v>59</v>
      </c>
      <c r="HE4" s="1" t="s">
        <v>60</v>
      </c>
      <c r="HF4" s="1" t="s">
        <v>61</v>
      </c>
      <c r="HG4" s="1" t="s">
        <v>62</v>
      </c>
      <c r="HH4" s="1" t="s">
        <v>63</v>
      </c>
      <c r="HI4" s="1" t="s">
        <v>64</v>
      </c>
      <c r="HJ4" s="1" t="s">
        <v>65</v>
      </c>
      <c r="HK4" s="1" t="s">
        <v>66</v>
      </c>
      <c r="HL4" s="1" t="s">
        <v>67</v>
      </c>
      <c r="HM4" s="1" t="s">
        <v>68</v>
      </c>
      <c r="HN4" s="1" t="s">
        <v>69</v>
      </c>
      <c r="HO4" s="1" t="s">
        <v>70</v>
      </c>
      <c r="HP4" s="1" t="s">
        <v>71</v>
      </c>
      <c r="HQ4" s="1" t="s">
        <v>72</v>
      </c>
      <c r="HR4" s="1" t="s">
        <v>73</v>
      </c>
      <c r="HS4" s="1" t="s">
        <v>74</v>
      </c>
      <c r="HT4" s="1" t="s">
        <v>75</v>
      </c>
      <c r="HU4" s="1" t="s">
        <v>76</v>
      </c>
      <c r="HV4" s="1" t="s">
        <v>77</v>
      </c>
      <c r="HW4" s="1" t="s">
        <v>78</v>
      </c>
      <c r="HX4" s="1" t="s">
        <v>79</v>
      </c>
      <c r="HY4" s="1" t="s">
        <v>80</v>
      </c>
      <c r="HZ4" s="1" t="s">
        <v>81</v>
      </c>
      <c r="IA4" s="1" t="s">
        <v>82</v>
      </c>
      <c r="IB4" s="1" t="s">
        <v>83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20</v>
      </c>
      <c r="Z5" s="1" t="s">
        <v>21</v>
      </c>
      <c r="AA5" s="1" t="s">
        <v>22</v>
      </c>
      <c r="AB5" s="1" t="s">
        <v>23</v>
      </c>
      <c r="AC5" s="1" t="s">
        <v>24</v>
      </c>
      <c r="AD5" s="1" t="s">
        <v>25</v>
      </c>
      <c r="AE5" s="1" t="s">
        <v>26</v>
      </c>
      <c r="AF5" s="1" t="s">
        <v>108</v>
      </c>
      <c r="AG5" s="1" t="s">
        <v>109</v>
      </c>
      <c r="AH5" s="1" t="s">
        <v>28</v>
      </c>
      <c r="AI5" s="1" t="s">
        <v>29</v>
      </c>
      <c r="AJ5" s="1" t="s">
        <v>30</v>
      </c>
      <c r="AK5" s="1" t="s">
        <v>31</v>
      </c>
      <c r="AL5" s="1" t="s">
        <v>32</v>
      </c>
      <c r="AM5" s="1" t="s">
        <v>33</v>
      </c>
      <c r="AN5" s="1" t="s">
        <v>34</v>
      </c>
      <c r="AO5" s="1" t="s">
        <v>35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38</v>
      </c>
      <c r="AU5" s="1" t="s">
        <v>39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40</v>
      </c>
      <c r="BA5" s="1" t="s">
        <v>41</v>
      </c>
      <c r="BB5" s="1" t="s">
        <v>42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43</v>
      </c>
      <c r="BH5" s="1" t="s">
        <v>44</v>
      </c>
      <c r="BI5" s="1" t="s">
        <v>45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38</v>
      </c>
      <c r="BT5" s="1" t="s">
        <v>39</v>
      </c>
      <c r="BU5" s="1" t="s">
        <v>48</v>
      </c>
      <c r="BV5" s="1" t="s">
        <v>49</v>
      </c>
      <c r="BW5" s="1" t="s">
        <v>50</v>
      </c>
      <c r="BX5" s="1" t="s">
        <v>51</v>
      </c>
      <c r="BY5" s="1" t="s">
        <v>52</v>
      </c>
      <c r="BZ5" s="1" t="s">
        <v>53</v>
      </c>
      <c r="CA5" s="1" t="s">
        <v>54</v>
      </c>
      <c r="CB5" s="1" t="s">
        <v>55</v>
      </c>
      <c r="CC5" s="1" t="s">
        <v>56</v>
      </c>
      <c r="CD5" s="1" t="s">
        <v>57</v>
      </c>
      <c r="CE5" s="1" t="s">
        <v>119</v>
      </c>
      <c r="CF5" s="1" t="s">
        <v>120</v>
      </c>
      <c r="CG5" s="1" t="s">
        <v>121</v>
      </c>
      <c r="CH5" s="1" t="s">
        <v>122</v>
      </c>
      <c r="CI5" s="1" t="s">
        <v>123</v>
      </c>
      <c r="CJ5" s="1" t="s">
        <v>124</v>
      </c>
      <c r="CK5" s="1" t="s">
        <v>125</v>
      </c>
      <c r="CL5" s="1" t="s">
        <v>126</v>
      </c>
      <c r="CM5" s="1" t="s">
        <v>127</v>
      </c>
      <c r="CN5" s="1" t="s">
        <v>128</v>
      </c>
      <c r="CO5" s="1" t="s">
        <v>129</v>
      </c>
      <c r="CP5" s="1" t="s">
        <v>130</v>
      </c>
      <c r="CQ5" s="1" t="s">
        <v>131</v>
      </c>
      <c r="CR5" s="1" t="s">
        <v>132</v>
      </c>
      <c r="CS5" s="1" t="s">
        <v>133</v>
      </c>
      <c r="CT5" s="1" t="s">
        <v>134</v>
      </c>
      <c r="CU5" s="1" t="s">
        <v>135</v>
      </c>
      <c r="CV5" s="1" t="s">
        <v>5</v>
      </c>
      <c r="CW5" s="1" t="s">
        <v>136</v>
      </c>
      <c r="CX5" s="1" t="s">
        <v>7</v>
      </c>
      <c r="CY5" s="1" t="s">
        <v>137</v>
      </c>
      <c r="CZ5" s="1" t="s">
        <v>138</v>
      </c>
      <c r="DA5" s="1" t="s">
        <v>139</v>
      </c>
      <c r="DB5" s="1" t="s">
        <v>140</v>
      </c>
      <c r="DC5" s="1" t="s">
        <v>141</v>
      </c>
      <c r="DD5" s="1" t="s">
        <v>142</v>
      </c>
      <c r="DE5" s="1" t="s">
        <v>143</v>
      </c>
      <c r="DF5" s="1" t="s">
        <v>144</v>
      </c>
      <c r="DG5" s="1" t="s">
        <v>145</v>
      </c>
      <c r="DH5" s="1" t="s">
        <v>146</v>
      </c>
      <c r="DI5" s="1" t="s">
        <v>147</v>
      </c>
      <c r="DJ5" s="1" t="s">
        <v>148</v>
      </c>
      <c r="DK5" s="1" t="s">
        <v>149</v>
      </c>
      <c r="DL5" s="1" t="s">
        <v>150</v>
      </c>
      <c r="DM5" s="1" t="s">
        <v>151</v>
      </c>
      <c r="DN5" s="1" t="s">
        <v>152</v>
      </c>
      <c r="DO5" s="1" t="s">
        <v>153</v>
      </c>
      <c r="DP5" s="1" t="s">
        <v>154</v>
      </c>
      <c r="DQ5" s="1" t="s">
        <v>155</v>
      </c>
      <c r="DR5" s="1" t="s">
        <v>156</v>
      </c>
      <c r="DS5" s="1" t="s">
        <v>157</v>
      </c>
      <c r="DT5" s="1" t="s">
        <v>158</v>
      </c>
      <c r="DU5" s="1" t="s">
        <v>159</v>
      </c>
      <c r="DV5" s="1" t="s">
        <v>160</v>
      </c>
      <c r="DW5" s="1" t="s">
        <v>161</v>
      </c>
      <c r="DX5" s="1" t="s">
        <v>162</v>
      </c>
      <c r="DY5" s="1" t="s">
        <v>163</v>
      </c>
      <c r="DZ5" s="1" t="s">
        <v>164</v>
      </c>
      <c r="EA5" s="1" t="s">
        <v>165</v>
      </c>
      <c r="EB5" s="1" t="s">
        <v>166</v>
      </c>
      <c r="EC5" s="1" t="s">
        <v>167</v>
      </c>
      <c r="ED5" s="1" t="s">
        <v>168</v>
      </c>
      <c r="EE5" s="1" t="s">
        <v>169</v>
      </c>
      <c r="EF5" s="1" t="s">
        <v>170</v>
      </c>
      <c r="EG5" s="1" t="s">
        <v>171</v>
      </c>
      <c r="EH5" s="1" t="s">
        <v>172</v>
      </c>
      <c r="EI5" s="1" t="s">
        <v>173</v>
      </c>
      <c r="EJ5" s="1" t="s">
        <v>174</v>
      </c>
      <c r="EK5" s="1" t="s">
        <v>175</v>
      </c>
      <c r="EL5" s="1" t="s">
        <v>176</v>
      </c>
      <c r="EM5" s="1" t="s">
        <v>177</v>
      </c>
      <c r="EN5" s="1" t="s">
        <v>178</v>
      </c>
      <c r="EO5" s="1" t="s">
        <v>179</v>
      </c>
      <c r="EP5" s="1" t="s">
        <v>180</v>
      </c>
      <c r="EQ5" s="1" t="s">
        <v>181</v>
      </c>
      <c r="ER5" s="1" t="s">
        <v>182</v>
      </c>
      <c r="ES5" s="1" t="s">
        <v>183</v>
      </c>
      <c r="ET5" s="1" t="s">
        <v>184</v>
      </c>
      <c r="EU5" s="1" t="s">
        <v>185</v>
      </c>
      <c r="EV5" s="1" t="s">
        <v>186</v>
      </c>
      <c r="EW5" s="1" t="s">
        <v>187</v>
      </c>
      <c r="EX5" s="1" t="s">
        <v>188</v>
      </c>
      <c r="EY5" s="1" t="s">
        <v>189</v>
      </c>
      <c r="EZ5" s="1" t="s">
        <v>190</v>
      </c>
      <c r="FA5" s="1" t="s">
        <v>191</v>
      </c>
      <c r="FB5" s="1" t="s">
        <v>192</v>
      </c>
      <c r="FC5" s="1" t="s">
        <v>193</v>
      </c>
      <c r="FD5" s="1" t="s">
        <v>194</v>
      </c>
      <c r="FE5" s="1" t="s">
        <v>195</v>
      </c>
      <c r="FF5" s="1" t="s">
        <v>196</v>
      </c>
      <c r="FG5" s="1" t="s">
        <v>197</v>
      </c>
      <c r="FH5" s="1" t="s">
        <v>198</v>
      </c>
      <c r="FI5" s="1" t="s">
        <v>199</v>
      </c>
      <c r="FJ5" s="1" t="s">
        <v>200</v>
      </c>
      <c r="FK5" s="1" t="s">
        <v>201</v>
      </c>
      <c r="FL5" s="1" t="s">
        <v>202</v>
      </c>
      <c r="FM5" s="1" t="s">
        <v>203</v>
      </c>
      <c r="FN5" s="1" t="s">
        <v>204</v>
      </c>
      <c r="FO5" s="1" t="s">
        <v>205</v>
      </c>
      <c r="FP5" s="1" t="s">
        <v>206</v>
      </c>
      <c r="FQ5" s="1" t="s">
        <v>207</v>
      </c>
      <c r="FR5" s="1" t="s">
        <v>208</v>
      </c>
      <c r="FS5" s="1" t="s">
        <v>209</v>
      </c>
      <c r="FT5" s="1" t="s">
        <v>210</v>
      </c>
      <c r="FU5" s="1" t="s">
        <v>211</v>
      </c>
      <c r="FV5" s="1" t="s">
        <v>212</v>
      </c>
      <c r="FW5" s="1" t="s">
        <v>213</v>
      </c>
      <c r="FX5" s="1" t="s">
        <v>214</v>
      </c>
      <c r="FY5" s="1" t="s">
        <v>215</v>
      </c>
      <c r="FZ5" s="1" t="s">
        <v>216</v>
      </c>
      <c r="GA5" s="1" t="s">
        <v>217</v>
      </c>
      <c r="GB5" s="1" t="s">
        <v>218</v>
      </c>
      <c r="GC5" s="1" t="s">
        <v>219</v>
      </c>
      <c r="GD5" s="1" t="s">
        <v>219</v>
      </c>
      <c r="GE5" s="1" t="s">
        <v>219</v>
      </c>
      <c r="GF5" s="1" t="s">
        <v>219</v>
      </c>
      <c r="GG5" s="1" t="s">
        <v>219</v>
      </c>
      <c r="GH5" s="1" t="s">
        <v>219</v>
      </c>
      <c r="GI5" s="1" t="s">
        <v>219</v>
      </c>
      <c r="GJ5" s="1" t="s">
        <v>219</v>
      </c>
      <c r="GK5" s="1" t="s">
        <v>219</v>
      </c>
      <c r="GL5" s="1" t="s">
        <v>219</v>
      </c>
      <c r="GM5" s="1" t="s">
        <v>219</v>
      </c>
      <c r="GN5" s="1" t="s">
        <v>219</v>
      </c>
      <c r="GO5" s="1" t="s">
        <v>219</v>
      </c>
      <c r="GP5" s="1" t="s">
        <v>219</v>
      </c>
      <c r="GQ5" s="1" t="s">
        <v>219</v>
      </c>
      <c r="GR5" s="1" t="s">
        <v>219</v>
      </c>
      <c r="GS5" s="1" t="s">
        <v>219</v>
      </c>
      <c r="GT5" s="1" t="s">
        <v>219</v>
      </c>
      <c r="GU5" s="1" t="s">
        <v>219</v>
      </c>
      <c r="GV5" s="1" t="s">
        <v>219</v>
      </c>
      <c r="GW5" s="1" t="s">
        <v>219</v>
      </c>
      <c r="GX5" s="1" t="s">
        <v>219</v>
      </c>
      <c r="GY5" s="1" t="s">
        <v>219</v>
      </c>
      <c r="GZ5" s="1" t="s">
        <v>219</v>
      </c>
      <c r="HA5" s="1" t="s">
        <v>219</v>
      </c>
      <c r="HB5" s="1" t="s">
        <v>219</v>
      </c>
      <c r="HC5" s="1" t="s">
        <v>220</v>
      </c>
      <c r="HD5" s="1" t="s">
        <v>220</v>
      </c>
      <c r="HE5" s="1" t="s">
        <v>220</v>
      </c>
      <c r="HF5" s="1" t="s">
        <v>220</v>
      </c>
      <c r="HG5" s="1" t="s">
        <v>220</v>
      </c>
      <c r="HH5" s="1" t="s">
        <v>220</v>
      </c>
      <c r="HI5" s="1" t="s">
        <v>220</v>
      </c>
      <c r="HJ5" s="1" t="s">
        <v>220</v>
      </c>
      <c r="HK5" s="1" t="s">
        <v>220</v>
      </c>
      <c r="HL5" s="1" t="s">
        <v>220</v>
      </c>
      <c r="HM5" s="1" t="s">
        <v>220</v>
      </c>
      <c r="HN5" s="1" t="s">
        <v>220</v>
      </c>
      <c r="HO5" s="1" t="s">
        <v>220</v>
      </c>
      <c r="HP5" s="1" t="s">
        <v>220</v>
      </c>
      <c r="HQ5" s="1" t="s">
        <v>220</v>
      </c>
      <c r="HR5" s="1" t="s">
        <v>220</v>
      </c>
      <c r="HS5" s="1" t="s">
        <v>220</v>
      </c>
      <c r="HT5" s="1" t="s">
        <v>220</v>
      </c>
      <c r="HU5" s="1" t="s">
        <v>220</v>
      </c>
      <c r="HV5" s="1" t="s">
        <v>220</v>
      </c>
      <c r="HW5" s="1" t="s">
        <v>220</v>
      </c>
      <c r="HX5" s="1" t="s">
        <v>220</v>
      </c>
      <c r="HY5" s="1" t="s">
        <v>220</v>
      </c>
      <c r="HZ5" s="1" t="s">
        <v>220</v>
      </c>
      <c r="IA5" s="1" t="s">
        <v>220</v>
      </c>
      <c r="IB5" s="1" t="s">
        <v>220</v>
      </c>
    </row>
    <row r="6">
      <c r="A6" s="2" t="s">
        <v>221</v>
      </c>
      <c r="B6" s="2" t="s">
        <v>222</v>
      </c>
      <c r="C6" s="2" t="s">
        <v>223</v>
      </c>
      <c r="D6" s="2" t="s">
        <v>224</v>
      </c>
      <c r="E6" s="2" t="s">
        <v>225</v>
      </c>
      <c r="F6" s="2" t="s">
        <v>226</v>
      </c>
      <c r="G6" s="2" t="s">
        <v>226</v>
      </c>
      <c r="H6" s="2" t="s">
        <v>226</v>
      </c>
      <c r="I6" s="2" t="s">
        <v>227</v>
      </c>
      <c r="J6" s="2" t="s">
        <v>228</v>
      </c>
      <c r="K6" s="2" t="s">
        <v>229</v>
      </c>
      <c r="L6" s="3">
        <v>25.3</v>
      </c>
      <c r="M6" s="3">
        <v>26.56</v>
      </c>
      <c r="N6" s="3">
        <v>54.99</v>
      </c>
      <c r="O6" s="2" t="s">
        <v>230</v>
      </c>
      <c r="P6" s="2" t="s">
        <v>231</v>
      </c>
      <c r="Q6" s="2" t="s">
        <v>232</v>
      </c>
      <c r="R6" s="2" t="s">
        <v>233</v>
      </c>
      <c r="S6" s="2" t="s">
        <v>234</v>
      </c>
      <c r="T6" s="2" t="s">
        <v>235</v>
      </c>
      <c r="U6" s="2" t="s">
        <v>233</v>
      </c>
      <c r="V6" s="2" t="s">
        <v>236</v>
      </c>
      <c r="W6" s="2" t="s">
        <v>237</v>
      </c>
      <c r="X6" s="2" t="s">
        <v>233</v>
      </c>
      <c r="Y6" s="2" t="s">
        <v>238</v>
      </c>
      <c r="Z6" s="4">
        <v>289</v>
      </c>
      <c r="AA6" s="4">
        <f>=ROUNDDOWN(41.2857142857143,0)</f>
      </c>
      <c r="AB6" s="5">
        <v>7</v>
      </c>
      <c r="AC6" s="2" t="s">
        <v>233</v>
      </c>
      <c r="AD6" s="4"/>
      <c r="AE6" s="4"/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233</v>
      </c>
      <c r="AM6" s="4"/>
      <c r="AN6" s="4"/>
      <c r="AO6" s="7"/>
      <c r="AP6" s="4"/>
      <c r="AQ6" s="8"/>
      <c r="AR6" s="4"/>
      <c r="AS6" s="8"/>
      <c r="AT6" s="7"/>
      <c r="AU6" s="7"/>
      <c r="AV6" s="4" t="s">
        <v>233</v>
      </c>
      <c r="AW6" s="8" t="s">
        <v>233</v>
      </c>
      <c r="AX6" s="4" t="s">
        <v>233</v>
      </c>
      <c r="AY6" s="8" t="s">
        <v>233</v>
      </c>
      <c r="AZ6" s="7" t="s">
        <v>233</v>
      </c>
      <c r="BA6" s="7" t="s">
        <v>233</v>
      </c>
      <c r="BB6" s="7"/>
      <c r="BC6" s="4" t="s">
        <v>233</v>
      </c>
      <c r="BD6" s="8" t="s">
        <v>233</v>
      </c>
      <c r="BE6" s="4" t="s">
        <v>233</v>
      </c>
      <c r="BF6" s="8" t="s">
        <v>233</v>
      </c>
      <c r="BG6" s="7" t="s">
        <v>233</v>
      </c>
      <c r="BH6" s="7" t="s">
        <v>233</v>
      </c>
      <c r="BI6" s="7"/>
      <c r="BJ6" s="4">
        <v>10</v>
      </c>
      <c r="BK6" s="8">
        <v>260.3</v>
      </c>
      <c r="BL6" s="2" t="s">
        <v>239</v>
      </c>
      <c r="BM6" s="7"/>
      <c r="BN6" s="7"/>
      <c r="BO6" s="4"/>
      <c r="BP6" s="8"/>
      <c r="BQ6" s="4"/>
      <c r="BR6" s="8"/>
      <c r="BS6" s="7"/>
      <c r="BT6" s="7"/>
      <c r="BU6" s="2" t="s">
        <v>240</v>
      </c>
      <c r="BV6" s="2" t="s">
        <v>233</v>
      </c>
      <c r="BW6" s="2" t="s">
        <v>233</v>
      </c>
      <c r="BX6" s="2" t="s">
        <v>241</v>
      </c>
      <c r="BY6" s="2" t="s">
        <v>242</v>
      </c>
      <c r="BZ6" s="2" t="s">
        <v>230</v>
      </c>
      <c r="CA6" s="2" t="s">
        <v>243</v>
      </c>
      <c r="CB6" s="2" t="s">
        <v>244</v>
      </c>
      <c r="CC6" s="2" t="s">
        <v>245</v>
      </c>
      <c r="CD6" s="2" t="s">
        <v>233</v>
      </c>
      <c r="CE6" s="4">
        <v>289</v>
      </c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>
        <v>291</v>
      </c>
      <c r="GD6" s="4">
        <v>268</v>
      </c>
      <c r="GE6" s="4">
        <v>255</v>
      </c>
      <c r="GF6" s="4">
        <v>244</v>
      </c>
      <c r="GG6" s="4">
        <v>225</v>
      </c>
      <c r="GH6" s="4">
        <v>214</v>
      </c>
      <c r="GI6" s="4">
        <v>203</v>
      </c>
      <c r="GJ6" s="4">
        <v>196</v>
      </c>
      <c r="GK6" s="4">
        <v>191</v>
      </c>
      <c r="GL6" s="4">
        <v>186</v>
      </c>
      <c r="GM6" s="4">
        <v>181</v>
      </c>
      <c r="GN6" s="4">
        <v>176</v>
      </c>
      <c r="GO6" s="4">
        <v>171</v>
      </c>
      <c r="GP6" s="4">
        <v>166</v>
      </c>
      <c r="GQ6" s="4">
        <v>161</v>
      </c>
      <c r="GR6" s="4">
        <v>154</v>
      </c>
      <c r="GS6" s="4">
        <v>147</v>
      </c>
      <c r="GT6" s="4">
        <v>139</v>
      </c>
      <c r="GU6" s="4">
        <v>132</v>
      </c>
      <c r="GV6" s="4">
        <v>125</v>
      </c>
      <c r="GW6" s="4">
        <v>118</v>
      </c>
      <c r="GX6" s="4">
        <v>111</v>
      </c>
      <c r="GY6" s="4">
        <v>104</v>
      </c>
      <c r="GZ6" s="4">
        <v>97</v>
      </c>
      <c r="HA6" s="4">
        <v>90</v>
      </c>
      <c r="HB6" s="4">
        <v>82</v>
      </c>
      <c r="HC6" s="19">
        <v>18.2</v>
      </c>
      <c r="HD6" s="19">
        <v>19.1</v>
      </c>
      <c r="HE6" s="19">
        <v>19.6</v>
      </c>
      <c r="HF6" s="19">
        <v>20.3</v>
      </c>
      <c r="HG6" s="19">
        <v>28.1</v>
      </c>
      <c r="HH6" s="19">
        <v>30.6</v>
      </c>
      <c r="HI6" s="19">
        <v>33.8</v>
      </c>
      <c r="HJ6" s="19">
        <v>39.2</v>
      </c>
      <c r="HK6" s="19">
        <v>38.2</v>
      </c>
      <c r="HL6" s="19">
        <v>37.2</v>
      </c>
      <c r="HM6" s="19">
        <v>36.2</v>
      </c>
      <c r="HN6" s="19">
        <v>29.3</v>
      </c>
      <c r="HO6" s="19">
        <v>28.5</v>
      </c>
      <c r="HP6" s="19">
        <v>23.7</v>
      </c>
      <c r="HQ6" s="19">
        <v>23</v>
      </c>
      <c r="HR6" s="19">
        <v>22</v>
      </c>
      <c r="HS6" s="19">
        <v>21</v>
      </c>
      <c r="HT6" s="19">
        <v>19.9</v>
      </c>
      <c r="HU6" s="19">
        <v>18.9</v>
      </c>
      <c r="HV6" s="19">
        <v>17.9</v>
      </c>
      <c r="HW6" s="19">
        <v>16.9</v>
      </c>
      <c r="HX6" s="19">
        <v>15.9</v>
      </c>
      <c r="HY6" s="19">
        <v>13</v>
      </c>
      <c r="HZ6" s="19">
        <v>12.1</v>
      </c>
      <c r="IA6" s="19">
        <v>11.3</v>
      </c>
      <c r="IB6" s="19">
        <v>10.3</v>
      </c>
    </row>
    <row r="7">
      <c r="A7" s="2" t="s">
        <v>246</v>
      </c>
      <c r="B7" s="2" t="s">
        <v>222</v>
      </c>
      <c r="C7" s="2" t="s">
        <v>223</v>
      </c>
      <c r="D7" s="2" t="s">
        <v>224</v>
      </c>
      <c r="E7" s="2" t="s">
        <v>225</v>
      </c>
      <c r="F7" s="2" t="s">
        <v>226</v>
      </c>
      <c r="G7" s="2" t="s">
        <v>226</v>
      </c>
      <c r="H7" s="2" t="s">
        <v>226</v>
      </c>
      <c r="I7" s="2" t="s">
        <v>227</v>
      </c>
      <c r="J7" s="2" t="s">
        <v>247</v>
      </c>
      <c r="K7" s="2" t="s">
        <v>229</v>
      </c>
      <c r="L7" s="3">
        <v>27.6</v>
      </c>
      <c r="M7" s="3">
        <v>28.98</v>
      </c>
      <c r="N7" s="3">
        <v>59.99</v>
      </c>
      <c r="O7" s="2" t="s">
        <v>230</v>
      </c>
      <c r="P7" s="2" t="s">
        <v>231</v>
      </c>
      <c r="Q7" s="2" t="s">
        <v>232</v>
      </c>
      <c r="R7" s="2" t="s">
        <v>233</v>
      </c>
      <c r="S7" s="2" t="s">
        <v>234</v>
      </c>
      <c r="T7" s="2" t="s">
        <v>235</v>
      </c>
      <c r="U7" s="2" t="s">
        <v>233</v>
      </c>
      <c r="V7" s="2" t="s">
        <v>236</v>
      </c>
      <c r="W7" s="2" t="s">
        <v>237</v>
      </c>
      <c r="X7" s="2" t="s">
        <v>233</v>
      </c>
      <c r="Y7" s="2" t="s">
        <v>238</v>
      </c>
      <c r="Z7" s="4">
        <v>557</v>
      </c>
      <c r="AA7" s="4">
        <f>=ROUNDDOWN(46.4166666666667,0)</f>
      </c>
      <c r="AB7" s="5">
        <v>12</v>
      </c>
      <c r="AC7" s="2" t="s">
        <v>233</v>
      </c>
      <c r="AD7" s="4"/>
      <c r="AE7" s="4"/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233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233</v>
      </c>
      <c r="AW7" s="8" t="s">
        <v>233</v>
      </c>
      <c r="AX7" s="4" t="s">
        <v>233</v>
      </c>
      <c r="AY7" s="8" t="s">
        <v>233</v>
      </c>
      <c r="AZ7" s="7" t="s">
        <v>233</v>
      </c>
      <c r="BA7" s="7" t="s">
        <v>233</v>
      </c>
      <c r="BB7" s="7"/>
      <c r="BC7" s="4" t="s">
        <v>233</v>
      </c>
      <c r="BD7" s="8" t="s">
        <v>233</v>
      </c>
      <c r="BE7" s="4" t="s">
        <v>233</v>
      </c>
      <c r="BF7" s="8" t="s">
        <v>233</v>
      </c>
      <c r="BG7" s="7" t="s">
        <v>233</v>
      </c>
      <c r="BH7" s="7" t="s">
        <v>233</v>
      </c>
      <c r="BI7" s="7"/>
      <c r="BJ7" s="4">
        <v>24</v>
      </c>
      <c r="BK7" s="8">
        <v>666.28</v>
      </c>
      <c r="BL7" s="2" t="s">
        <v>248</v>
      </c>
      <c r="BM7" s="7"/>
      <c r="BN7" s="7"/>
      <c r="BO7" s="4"/>
      <c r="BP7" s="8"/>
      <c r="BQ7" s="4"/>
      <c r="BR7" s="8"/>
      <c r="BS7" s="7"/>
      <c r="BT7" s="7"/>
      <c r="BU7" s="2" t="s">
        <v>240</v>
      </c>
      <c r="BV7" s="2" t="s">
        <v>233</v>
      </c>
      <c r="BW7" s="2" t="s">
        <v>233</v>
      </c>
      <c r="BX7" s="2" t="s">
        <v>241</v>
      </c>
      <c r="BY7" s="2" t="s">
        <v>242</v>
      </c>
      <c r="BZ7" s="2" t="s">
        <v>230</v>
      </c>
      <c r="CA7" s="2" t="s">
        <v>249</v>
      </c>
      <c r="CB7" s="2" t="s">
        <v>250</v>
      </c>
      <c r="CC7" s="2" t="s">
        <v>245</v>
      </c>
      <c r="CD7" s="2" t="s">
        <v>233</v>
      </c>
      <c r="CE7" s="4">
        <v>557</v>
      </c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>
        <v>560</v>
      </c>
      <c r="GD7" s="4">
        <v>552</v>
      </c>
      <c r="GE7" s="4">
        <v>544</v>
      </c>
      <c r="GF7" s="4">
        <v>537</v>
      </c>
      <c r="GG7" s="4">
        <v>525</v>
      </c>
      <c r="GH7" s="4">
        <v>518</v>
      </c>
      <c r="GI7" s="4">
        <v>510</v>
      </c>
      <c r="GJ7" s="4">
        <v>505</v>
      </c>
      <c r="GK7" s="4">
        <v>502</v>
      </c>
      <c r="GL7" s="4">
        <v>498</v>
      </c>
      <c r="GM7" s="4">
        <v>494</v>
      </c>
      <c r="GN7" s="4">
        <v>490</v>
      </c>
      <c r="GO7" s="4">
        <v>485</v>
      </c>
      <c r="GP7" s="4">
        <v>480</v>
      </c>
      <c r="GQ7" s="4">
        <v>475</v>
      </c>
      <c r="GR7" s="4">
        <v>467</v>
      </c>
      <c r="GS7" s="4">
        <v>459</v>
      </c>
      <c r="GT7" s="4">
        <v>451</v>
      </c>
      <c r="GU7" s="4">
        <v>443</v>
      </c>
      <c r="GV7" s="4">
        <v>433</v>
      </c>
      <c r="GW7" s="4">
        <v>423</v>
      </c>
      <c r="GX7" s="4">
        <v>413</v>
      </c>
      <c r="GY7" s="4">
        <v>403</v>
      </c>
      <c r="GZ7" s="4">
        <v>389</v>
      </c>
      <c r="HA7" s="4">
        <v>375</v>
      </c>
      <c r="HB7" s="4">
        <v>358</v>
      </c>
      <c r="HC7" s="19">
        <v>62.2</v>
      </c>
      <c r="HD7" s="19">
        <v>69</v>
      </c>
      <c r="HE7" s="19">
        <v>68</v>
      </c>
      <c r="HF7" s="19">
        <v>67.1</v>
      </c>
      <c r="HG7" s="19">
        <v>87.5</v>
      </c>
      <c r="HH7" s="19">
        <v>103.6</v>
      </c>
      <c r="HI7" s="19">
        <v>127.5</v>
      </c>
      <c r="HJ7" s="19">
        <v>126.3</v>
      </c>
      <c r="HK7" s="19">
        <v>125.5</v>
      </c>
      <c r="HL7" s="19">
        <v>124.5</v>
      </c>
      <c r="HM7" s="19">
        <v>98.8</v>
      </c>
      <c r="HN7" s="19">
        <v>81.7</v>
      </c>
      <c r="HO7" s="19">
        <v>80.8</v>
      </c>
      <c r="HP7" s="19">
        <v>68.6</v>
      </c>
      <c r="HQ7" s="19">
        <v>59.4</v>
      </c>
      <c r="HR7" s="19">
        <v>58.4</v>
      </c>
      <c r="HS7" s="19">
        <v>51</v>
      </c>
      <c r="HT7" s="19">
        <v>45.1</v>
      </c>
      <c r="HU7" s="19">
        <v>44.3</v>
      </c>
      <c r="HV7" s="19">
        <v>39.4</v>
      </c>
      <c r="HW7" s="19">
        <v>35.3</v>
      </c>
      <c r="HX7" s="19">
        <v>29.5</v>
      </c>
      <c r="HY7" s="19">
        <v>25.2</v>
      </c>
      <c r="HZ7" s="19">
        <v>24.3</v>
      </c>
      <c r="IA7" s="19">
        <v>22.1</v>
      </c>
      <c r="IB7" s="19">
        <v>18.8</v>
      </c>
    </row>
    <row r="8">
      <c r="A8" s="2" t="s">
        <v>251</v>
      </c>
      <c r="B8" s="2" t="s">
        <v>222</v>
      </c>
      <c r="C8" s="2" t="s">
        <v>223</v>
      </c>
      <c r="D8" s="2" t="s">
        <v>224</v>
      </c>
      <c r="E8" s="2" t="s">
        <v>225</v>
      </c>
      <c r="F8" s="2" t="s">
        <v>226</v>
      </c>
      <c r="G8" s="2" t="s">
        <v>226</v>
      </c>
      <c r="H8" s="2" t="s">
        <v>226</v>
      </c>
      <c r="I8" s="2" t="s">
        <v>227</v>
      </c>
      <c r="J8" s="2" t="s">
        <v>252</v>
      </c>
      <c r="K8" s="2" t="s">
        <v>229</v>
      </c>
      <c r="L8" s="3">
        <v>32.2</v>
      </c>
      <c r="M8" s="3">
        <v>33.81</v>
      </c>
      <c r="N8" s="3">
        <v>69.99</v>
      </c>
      <c r="O8" s="2" t="s">
        <v>230</v>
      </c>
      <c r="P8" s="2" t="s">
        <v>231</v>
      </c>
      <c r="Q8" s="2" t="s">
        <v>232</v>
      </c>
      <c r="R8" s="2" t="s">
        <v>233</v>
      </c>
      <c r="S8" s="2" t="s">
        <v>234</v>
      </c>
      <c r="T8" s="2" t="s">
        <v>235</v>
      </c>
      <c r="U8" s="2" t="s">
        <v>233</v>
      </c>
      <c r="V8" s="2" t="s">
        <v>236</v>
      </c>
      <c r="W8" s="2" t="s">
        <v>237</v>
      </c>
      <c r="X8" s="2" t="s">
        <v>233</v>
      </c>
      <c r="Y8" s="2" t="s">
        <v>238</v>
      </c>
      <c r="Z8" s="4">
        <v>270</v>
      </c>
      <c r="AA8" s="4">
        <f>=ROUNDDOWN(45,0)</f>
      </c>
      <c r="AB8" s="5">
        <v>6</v>
      </c>
      <c r="AC8" s="2" t="s">
        <v>233</v>
      </c>
      <c r="AD8" s="4"/>
      <c r="AE8" s="4"/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233</v>
      </c>
      <c r="AM8" s="4"/>
      <c r="AN8" s="4"/>
      <c r="AO8" s="7"/>
      <c r="AP8" s="4"/>
      <c r="AQ8" s="8"/>
      <c r="AR8" s="4"/>
      <c r="AS8" s="8"/>
      <c r="AT8" s="7"/>
      <c r="AU8" s="7"/>
      <c r="AV8" s="4" t="s">
        <v>233</v>
      </c>
      <c r="AW8" s="8" t="s">
        <v>233</v>
      </c>
      <c r="AX8" s="4" t="s">
        <v>233</v>
      </c>
      <c r="AY8" s="8" t="s">
        <v>233</v>
      </c>
      <c r="AZ8" s="7" t="s">
        <v>233</v>
      </c>
      <c r="BA8" s="7" t="s">
        <v>233</v>
      </c>
      <c r="BB8" s="7"/>
      <c r="BC8" s="4" t="s">
        <v>233</v>
      </c>
      <c r="BD8" s="8" t="s">
        <v>233</v>
      </c>
      <c r="BE8" s="4" t="s">
        <v>233</v>
      </c>
      <c r="BF8" s="8" t="s">
        <v>233</v>
      </c>
      <c r="BG8" s="7" t="s">
        <v>233</v>
      </c>
      <c r="BH8" s="7" t="s">
        <v>233</v>
      </c>
      <c r="BI8" s="7"/>
      <c r="BJ8" s="4">
        <v>8</v>
      </c>
      <c r="BK8" s="8">
        <v>304.11</v>
      </c>
      <c r="BL8" s="2" t="s">
        <v>253</v>
      </c>
      <c r="BM8" s="7"/>
      <c r="BN8" s="7"/>
      <c r="BO8" s="4"/>
      <c r="BP8" s="8"/>
      <c r="BQ8" s="4"/>
      <c r="BR8" s="8"/>
      <c r="BS8" s="7"/>
      <c r="BT8" s="7"/>
      <c r="BU8" s="2" t="s">
        <v>240</v>
      </c>
      <c r="BV8" s="2" t="s">
        <v>233</v>
      </c>
      <c r="BW8" s="2" t="s">
        <v>233</v>
      </c>
      <c r="BX8" s="2" t="s">
        <v>241</v>
      </c>
      <c r="BY8" s="2" t="s">
        <v>242</v>
      </c>
      <c r="BZ8" s="2" t="s">
        <v>230</v>
      </c>
      <c r="CA8" s="2" t="s">
        <v>243</v>
      </c>
      <c r="CB8" s="2" t="s">
        <v>254</v>
      </c>
      <c r="CC8" s="2" t="s">
        <v>245</v>
      </c>
      <c r="CD8" s="2" t="s">
        <v>233</v>
      </c>
      <c r="CE8" s="4">
        <v>172</v>
      </c>
      <c r="CF8" s="4">
        <v>98</v>
      </c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>
        <v>271</v>
      </c>
      <c r="GD8" s="4">
        <v>257</v>
      </c>
      <c r="GE8" s="4">
        <v>248</v>
      </c>
      <c r="GF8" s="4">
        <v>240</v>
      </c>
      <c r="GG8" s="4">
        <v>227</v>
      </c>
      <c r="GH8" s="4">
        <v>217</v>
      </c>
      <c r="GI8" s="4">
        <v>207</v>
      </c>
      <c r="GJ8" s="4">
        <v>201</v>
      </c>
      <c r="GK8" s="4">
        <v>197</v>
      </c>
      <c r="GL8" s="4">
        <v>192</v>
      </c>
      <c r="GM8" s="4">
        <v>187</v>
      </c>
      <c r="GN8" s="4">
        <v>182</v>
      </c>
      <c r="GO8" s="4">
        <v>177</v>
      </c>
      <c r="GP8" s="4">
        <v>172</v>
      </c>
      <c r="GQ8" s="4">
        <v>168</v>
      </c>
      <c r="GR8" s="4">
        <v>162</v>
      </c>
      <c r="GS8" s="4">
        <v>156</v>
      </c>
      <c r="GT8" s="4">
        <v>150</v>
      </c>
      <c r="GU8" s="4">
        <v>144</v>
      </c>
      <c r="GV8" s="4">
        <v>138</v>
      </c>
      <c r="GW8" s="4">
        <v>132</v>
      </c>
      <c r="GX8" s="4">
        <v>126</v>
      </c>
      <c r="GY8" s="4">
        <v>120</v>
      </c>
      <c r="GZ8" s="4">
        <v>114</v>
      </c>
      <c r="HA8" s="4">
        <v>108</v>
      </c>
      <c r="HB8" s="4">
        <v>102</v>
      </c>
      <c r="HC8" s="19">
        <v>24.6</v>
      </c>
      <c r="HD8" s="19">
        <v>25.7</v>
      </c>
      <c r="HE8" s="19">
        <v>24.8</v>
      </c>
      <c r="HF8" s="19">
        <v>24</v>
      </c>
      <c r="HG8" s="19">
        <v>28.4</v>
      </c>
      <c r="HH8" s="19">
        <v>36.2</v>
      </c>
      <c r="HI8" s="19">
        <v>41.4</v>
      </c>
      <c r="HJ8" s="19">
        <v>40.2</v>
      </c>
      <c r="HK8" s="19">
        <v>39.4</v>
      </c>
      <c r="HL8" s="19">
        <v>38.4</v>
      </c>
      <c r="HM8" s="19">
        <v>37.4</v>
      </c>
      <c r="HN8" s="19">
        <v>36.4</v>
      </c>
      <c r="HO8" s="19">
        <v>35.4</v>
      </c>
      <c r="HP8" s="19">
        <v>28.7</v>
      </c>
      <c r="HQ8" s="19">
        <v>28</v>
      </c>
      <c r="HR8" s="19">
        <v>27</v>
      </c>
      <c r="HS8" s="19">
        <v>26</v>
      </c>
      <c r="HT8" s="19">
        <v>25</v>
      </c>
      <c r="HU8" s="19">
        <v>24</v>
      </c>
      <c r="HV8" s="19">
        <v>23</v>
      </c>
      <c r="HW8" s="19">
        <v>22</v>
      </c>
      <c r="HX8" s="19">
        <v>21</v>
      </c>
      <c r="HY8" s="19">
        <v>20</v>
      </c>
      <c r="HZ8" s="19">
        <v>19</v>
      </c>
      <c r="IA8" s="19">
        <v>18</v>
      </c>
      <c r="IB8" s="19">
        <v>17</v>
      </c>
    </row>
    <row r="9">
      <c r="A9" s="2" t="s">
        <v>255</v>
      </c>
      <c r="B9" s="2" t="s">
        <v>222</v>
      </c>
      <c r="C9" s="2" t="s">
        <v>223</v>
      </c>
      <c r="D9" s="2" t="s">
        <v>224</v>
      </c>
      <c r="E9" s="2" t="s">
        <v>225</v>
      </c>
      <c r="F9" s="2" t="s">
        <v>226</v>
      </c>
      <c r="G9" s="2" t="s">
        <v>226</v>
      </c>
      <c r="H9" s="2" t="s">
        <v>226</v>
      </c>
      <c r="I9" s="2" t="s">
        <v>227</v>
      </c>
      <c r="J9" s="2" t="s">
        <v>256</v>
      </c>
      <c r="K9" s="2" t="s">
        <v>229</v>
      </c>
      <c r="L9" s="3">
        <v>46</v>
      </c>
      <c r="M9" s="3">
        <v>48.3</v>
      </c>
      <c r="N9" s="3">
        <v>99.99</v>
      </c>
      <c r="O9" s="2" t="s">
        <v>230</v>
      </c>
      <c r="P9" s="2" t="s">
        <v>231</v>
      </c>
      <c r="Q9" s="2" t="s">
        <v>232</v>
      </c>
      <c r="R9" s="2" t="s">
        <v>233</v>
      </c>
      <c r="S9" s="2" t="s">
        <v>234</v>
      </c>
      <c r="T9" s="2" t="s">
        <v>235</v>
      </c>
      <c r="U9" s="2" t="s">
        <v>233</v>
      </c>
      <c r="V9" s="2" t="s">
        <v>236</v>
      </c>
      <c r="W9" s="2" t="s">
        <v>237</v>
      </c>
      <c r="X9" s="2" t="s">
        <v>233</v>
      </c>
      <c r="Y9" s="2" t="s">
        <v>238</v>
      </c>
      <c r="Z9" s="4">
        <v>244</v>
      </c>
      <c r="AA9" s="4">
        <f>=ROUNDDOWN(40.6666666666667,0)</f>
      </c>
      <c r="AB9" s="5">
        <v>6</v>
      </c>
      <c r="AC9" s="2" t="s">
        <v>233</v>
      </c>
      <c r="AD9" s="4"/>
      <c r="AE9" s="4"/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233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233</v>
      </c>
      <c r="AW9" s="8" t="s">
        <v>233</v>
      </c>
      <c r="AX9" s="4" t="s">
        <v>233</v>
      </c>
      <c r="AY9" s="8" t="s">
        <v>233</v>
      </c>
      <c r="AZ9" s="7" t="s">
        <v>233</v>
      </c>
      <c r="BA9" s="7" t="s">
        <v>233</v>
      </c>
      <c r="BB9" s="7"/>
      <c r="BC9" s="4" t="s">
        <v>233</v>
      </c>
      <c r="BD9" s="8" t="s">
        <v>233</v>
      </c>
      <c r="BE9" s="4" t="s">
        <v>233</v>
      </c>
      <c r="BF9" s="8" t="s">
        <v>233</v>
      </c>
      <c r="BG9" s="7" t="s">
        <v>233</v>
      </c>
      <c r="BH9" s="7" t="s">
        <v>233</v>
      </c>
      <c r="BI9" s="7"/>
      <c r="BJ9" s="4">
        <v>10</v>
      </c>
      <c r="BK9" s="8">
        <v>531.55</v>
      </c>
      <c r="BL9" s="2" t="s">
        <v>257</v>
      </c>
      <c r="BM9" s="7"/>
      <c r="BN9" s="7"/>
      <c r="BO9" s="4"/>
      <c r="BP9" s="8"/>
      <c r="BQ9" s="4"/>
      <c r="BR9" s="8"/>
      <c r="BS9" s="7"/>
      <c r="BT9" s="7"/>
      <c r="BU9" s="2" t="s">
        <v>240</v>
      </c>
      <c r="BV9" s="2" t="s">
        <v>233</v>
      </c>
      <c r="BW9" s="2" t="s">
        <v>233</v>
      </c>
      <c r="BX9" s="2" t="s">
        <v>241</v>
      </c>
      <c r="BY9" s="2" t="s">
        <v>242</v>
      </c>
      <c r="BZ9" s="2" t="s">
        <v>230</v>
      </c>
      <c r="CA9" s="2" t="s">
        <v>243</v>
      </c>
      <c r="CB9" s="2" t="s">
        <v>258</v>
      </c>
      <c r="CC9" s="2" t="s">
        <v>245</v>
      </c>
      <c r="CD9" s="2" t="s">
        <v>233</v>
      </c>
      <c r="CE9" s="4">
        <v>244</v>
      </c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>
        <v>244</v>
      </c>
      <c r="GD9" s="4">
        <v>232</v>
      </c>
      <c r="GE9" s="4">
        <v>223</v>
      </c>
      <c r="GF9" s="4">
        <v>215</v>
      </c>
      <c r="GG9" s="4">
        <v>201</v>
      </c>
      <c r="GH9" s="4">
        <v>193</v>
      </c>
      <c r="GI9" s="4">
        <v>185</v>
      </c>
      <c r="GJ9" s="4">
        <v>180</v>
      </c>
      <c r="GK9" s="4">
        <v>176</v>
      </c>
      <c r="GL9" s="4">
        <v>171</v>
      </c>
      <c r="GM9" s="4">
        <v>167</v>
      </c>
      <c r="GN9" s="4">
        <v>163</v>
      </c>
      <c r="GO9" s="4">
        <v>159</v>
      </c>
      <c r="GP9" s="4">
        <v>155</v>
      </c>
      <c r="GQ9" s="4">
        <v>151</v>
      </c>
      <c r="GR9" s="4">
        <v>144</v>
      </c>
      <c r="GS9" s="4">
        <v>137</v>
      </c>
      <c r="GT9" s="4">
        <v>130</v>
      </c>
      <c r="GU9" s="4">
        <v>123</v>
      </c>
      <c r="GV9" s="4">
        <v>116</v>
      </c>
      <c r="GW9" s="4">
        <v>109</v>
      </c>
      <c r="GX9" s="4">
        <v>102</v>
      </c>
      <c r="GY9" s="4">
        <v>95</v>
      </c>
      <c r="GZ9" s="4">
        <v>88</v>
      </c>
      <c r="HA9" s="4">
        <v>81</v>
      </c>
      <c r="HB9" s="4">
        <v>74</v>
      </c>
      <c r="HC9" s="19">
        <v>22.2</v>
      </c>
      <c r="HD9" s="19">
        <v>23.2</v>
      </c>
      <c r="HE9" s="19">
        <v>22.3</v>
      </c>
      <c r="HF9" s="19">
        <v>23.9</v>
      </c>
      <c r="HG9" s="19">
        <v>33.5</v>
      </c>
      <c r="HH9" s="19">
        <v>32.2</v>
      </c>
      <c r="HI9" s="19">
        <v>46.3</v>
      </c>
      <c r="HJ9" s="19">
        <v>45</v>
      </c>
      <c r="HK9" s="19">
        <v>44</v>
      </c>
      <c r="HL9" s="19">
        <v>42.8</v>
      </c>
      <c r="HM9" s="19">
        <v>41.8</v>
      </c>
      <c r="HN9" s="19">
        <v>32.6</v>
      </c>
      <c r="HO9" s="19">
        <v>26.5</v>
      </c>
      <c r="HP9" s="19">
        <v>25.8</v>
      </c>
      <c r="HQ9" s="19">
        <v>21.6</v>
      </c>
      <c r="HR9" s="19">
        <v>20.6</v>
      </c>
      <c r="HS9" s="19">
        <v>19.6</v>
      </c>
      <c r="HT9" s="19">
        <v>18.6</v>
      </c>
      <c r="HU9" s="19">
        <v>17.6</v>
      </c>
      <c r="HV9" s="19">
        <v>16.6</v>
      </c>
      <c r="HW9" s="19">
        <v>15.6</v>
      </c>
      <c r="HX9" s="19">
        <v>14.6</v>
      </c>
      <c r="HY9" s="19">
        <v>13.6</v>
      </c>
      <c r="HZ9" s="19">
        <v>12.6</v>
      </c>
      <c r="IA9" s="19">
        <v>13.5</v>
      </c>
      <c r="IB9" s="19">
        <v>12.3</v>
      </c>
    </row>
    <row r="10">
      <c r="A10" s="2" t="s">
        <v>259</v>
      </c>
      <c r="B10" s="2" t="s">
        <v>222</v>
      </c>
      <c r="C10" s="2" t="s">
        <v>260</v>
      </c>
      <c r="D10" s="2" t="s">
        <v>261</v>
      </c>
      <c r="E10" s="2" t="s">
        <v>262</v>
      </c>
      <c r="F10" s="2" t="s">
        <v>263</v>
      </c>
      <c r="G10" s="2" t="s">
        <v>263</v>
      </c>
      <c r="H10" s="2" t="s">
        <v>263</v>
      </c>
      <c r="I10" s="2" t="s">
        <v>264</v>
      </c>
      <c r="J10" s="2" t="s">
        <v>265</v>
      </c>
      <c r="K10" s="2" t="s">
        <v>266</v>
      </c>
      <c r="L10" s="3">
        <v>40.75</v>
      </c>
      <c r="M10" s="3">
        <v>42.79</v>
      </c>
      <c r="N10" s="3">
        <v>79.99</v>
      </c>
      <c r="O10" s="2" t="s">
        <v>230</v>
      </c>
      <c r="P10" s="2" t="s">
        <v>231</v>
      </c>
      <c r="Q10" s="2" t="s">
        <v>232</v>
      </c>
      <c r="R10" s="2" t="s">
        <v>233</v>
      </c>
      <c r="S10" s="2" t="s">
        <v>267</v>
      </c>
      <c r="T10" s="2" t="s">
        <v>268</v>
      </c>
      <c r="U10" s="2" t="s">
        <v>233</v>
      </c>
      <c r="V10" s="2" t="s">
        <v>236</v>
      </c>
      <c r="W10" s="2" t="s">
        <v>237</v>
      </c>
      <c r="X10" s="2" t="s">
        <v>233</v>
      </c>
      <c r="Y10" s="2" t="s">
        <v>238</v>
      </c>
      <c r="Z10" s="4">
        <v>381</v>
      </c>
      <c r="AA10" s="4">
        <f>=ROUNDDOWN(38.1,0)</f>
      </c>
      <c r="AB10" s="5">
        <v>10</v>
      </c>
      <c r="AC10" s="2" t="s">
        <v>269</v>
      </c>
      <c r="AD10" s="4">
        <v>280</v>
      </c>
      <c r="AE10" s="4">
        <v>280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233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233</v>
      </c>
      <c r="AW10" s="8" t="s">
        <v>233</v>
      </c>
      <c r="AX10" s="4" t="s">
        <v>233</v>
      </c>
      <c r="AY10" s="8" t="s">
        <v>233</v>
      </c>
      <c r="AZ10" s="7" t="s">
        <v>233</v>
      </c>
      <c r="BA10" s="7" t="s">
        <v>233</v>
      </c>
      <c r="BB10" s="7"/>
      <c r="BC10" s="4" t="s">
        <v>233</v>
      </c>
      <c r="BD10" s="8" t="s">
        <v>233</v>
      </c>
      <c r="BE10" s="4" t="s">
        <v>233</v>
      </c>
      <c r="BF10" s="8" t="s">
        <v>233</v>
      </c>
      <c r="BG10" s="7" t="s">
        <v>233</v>
      </c>
      <c r="BH10" s="7" t="s">
        <v>233</v>
      </c>
      <c r="BI10" s="7"/>
      <c r="BJ10" s="4">
        <v>61</v>
      </c>
      <c r="BK10" s="8">
        <v>2787.64</v>
      </c>
      <c r="BL10" s="2" t="s">
        <v>270</v>
      </c>
      <c r="BM10" s="7"/>
      <c r="BN10" s="7"/>
      <c r="BO10" s="4"/>
      <c r="BP10" s="8"/>
      <c r="BQ10" s="4"/>
      <c r="BR10" s="8"/>
      <c r="BS10" s="7"/>
      <c r="BT10" s="7"/>
      <c r="BU10" s="2" t="s">
        <v>271</v>
      </c>
      <c r="BV10" s="2" t="s">
        <v>233</v>
      </c>
      <c r="BW10" s="2" t="s">
        <v>233</v>
      </c>
      <c r="BX10" s="2" t="s">
        <v>241</v>
      </c>
      <c r="BY10" s="2" t="s">
        <v>242</v>
      </c>
      <c r="BZ10" s="2" t="s">
        <v>230</v>
      </c>
      <c r="CA10" s="2" t="s">
        <v>272</v>
      </c>
      <c r="CB10" s="2" t="s">
        <v>273</v>
      </c>
      <c r="CC10" s="2" t="s">
        <v>245</v>
      </c>
      <c r="CD10" s="2" t="s">
        <v>233</v>
      </c>
      <c r="CE10" s="4">
        <v>381</v>
      </c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>
        <v>280</v>
      </c>
      <c r="FZ10" s="4"/>
      <c r="GA10" s="4"/>
      <c r="GB10" s="4"/>
      <c r="GC10" s="4">
        <v>387</v>
      </c>
      <c r="GD10" s="4">
        <v>362</v>
      </c>
      <c r="GE10" s="4">
        <v>331</v>
      </c>
      <c r="GF10" s="4">
        <v>303</v>
      </c>
      <c r="GG10" s="4">
        <v>243</v>
      </c>
      <c r="GH10" s="4">
        <v>216</v>
      </c>
      <c r="GI10" s="4">
        <v>191</v>
      </c>
      <c r="GJ10" s="4">
        <v>175</v>
      </c>
      <c r="GK10" s="4">
        <v>166</v>
      </c>
      <c r="GL10" s="4">
        <v>157</v>
      </c>
      <c r="GM10" s="4">
        <v>151</v>
      </c>
      <c r="GN10" s="4">
        <v>145</v>
      </c>
      <c r="GO10" s="4">
        <v>139</v>
      </c>
      <c r="GP10" s="4">
        <v>133</v>
      </c>
      <c r="GQ10" s="4">
        <v>128</v>
      </c>
      <c r="GR10" s="4">
        <v>118</v>
      </c>
      <c r="GS10" s="4">
        <v>108</v>
      </c>
      <c r="GT10" s="4">
        <v>97</v>
      </c>
      <c r="GU10" s="4">
        <v>87</v>
      </c>
      <c r="GV10" s="4">
        <v>354</v>
      </c>
      <c r="GW10" s="4">
        <v>341</v>
      </c>
      <c r="GX10" s="4">
        <v>328</v>
      </c>
      <c r="GY10" s="4">
        <v>315</v>
      </c>
      <c r="GZ10" s="4">
        <v>304</v>
      </c>
      <c r="HA10" s="4">
        <v>293</v>
      </c>
      <c r="HB10" s="4">
        <v>282</v>
      </c>
      <c r="HC10" s="19">
        <v>10.8</v>
      </c>
      <c r="HD10" s="19">
        <v>10.1</v>
      </c>
      <c r="HE10" s="19">
        <v>9.5</v>
      </c>
      <c r="HF10" s="19">
        <v>9.5</v>
      </c>
      <c r="HG10" s="19">
        <v>12.8</v>
      </c>
      <c r="HH10" s="19">
        <v>14.4</v>
      </c>
      <c r="HI10" s="19">
        <v>19.1</v>
      </c>
      <c r="HJ10" s="19">
        <v>21.9</v>
      </c>
      <c r="HK10" s="19">
        <v>23.7</v>
      </c>
      <c r="HL10" s="19">
        <v>26.2</v>
      </c>
      <c r="HM10" s="19">
        <v>25.2</v>
      </c>
      <c r="HN10" s="19">
        <v>20.7</v>
      </c>
      <c r="HO10" s="19">
        <v>17.4</v>
      </c>
      <c r="HP10" s="19">
        <v>14.8</v>
      </c>
      <c r="HQ10" s="19">
        <v>12.8</v>
      </c>
      <c r="HR10" s="19">
        <v>10.7</v>
      </c>
      <c r="HS10" s="19">
        <v>9</v>
      </c>
      <c r="HT10" s="19">
        <v>8.1</v>
      </c>
      <c r="HU10" s="19">
        <v>6.7</v>
      </c>
      <c r="HV10" s="19">
        <v>29.5</v>
      </c>
      <c r="HW10" s="19">
        <v>28.4</v>
      </c>
      <c r="HX10" s="19">
        <v>27.3</v>
      </c>
      <c r="HY10" s="19">
        <v>28.6</v>
      </c>
      <c r="HZ10" s="19">
        <v>27.6</v>
      </c>
      <c r="IA10" s="19">
        <v>29.3</v>
      </c>
      <c r="IB10" s="19">
        <v>31.3</v>
      </c>
    </row>
    <row r="11">
      <c r="A11" s="2" t="s">
        <v>274</v>
      </c>
      <c r="B11" s="2" t="s">
        <v>222</v>
      </c>
      <c r="C11" s="2" t="s">
        <v>260</v>
      </c>
      <c r="D11" s="2" t="s">
        <v>261</v>
      </c>
      <c r="E11" s="2" t="s">
        <v>262</v>
      </c>
      <c r="F11" s="2" t="s">
        <v>263</v>
      </c>
      <c r="G11" s="2" t="s">
        <v>263</v>
      </c>
      <c r="H11" s="2" t="s">
        <v>263</v>
      </c>
      <c r="I11" s="2" t="s">
        <v>264</v>
      </c>
      <c r="J11" s="2" t="s">
        <v>275</v>
      </c>
      <c r="K11" s="2" t="s">
        <v>266</v>
      </c>
      <c r="L11" s="3">
        <v>47.21</v>
      </c>
      <c r="M11" s="3">
        <v>49.57</v>
      </c>
      <c r="N11" s="3">
        <v>89.99</v>
      </c>
      <c r="O11" s="2" t="s">
        <v>230</v>
      </c>
      <c r="P11" s="2" t="s">
        <v>231</v>
      </c>
      <c r="Q11" s="2" t="s">
        <v>232</v>
      </c>
      <c r="R11" s="2" t="s">
        <v>233</v>
      </c>
      <c r="S11" s="2" t="s">
        <v>267</v>
      </c>
      <c r="T11" s="2" t="s">
        <v>268</v>
      </c>
      <c r="U11" s="2" t="s">
        <v>233</v>
      </c>
      <c r="V11" s="2" t="s">
        <v>236</v>
      </c>
      <c r="W11" s="2" t="s">
        <v>237</v>
      </c>
      <c r="X11" s="2" t="s">
        <v>233</v>
      </c>
      <c r="Y11" s="2" t="s">
        <v>238</v>
      </c>
      <c r="Z11" s="4">
        <v>493</v>
      </c>
      <c r="AA11" s="4">
        <f>=ROUNDDOWN(37.9230769230769,0)</f>
      </c>
      <c r="AB11" s="5">
        <v>13</v>
      </c>
      <c r="AC11" s="2" t="s">
        <v>269</v>
      </c>
      <c r="AD11" s="4">
        <v>320</v>
      </c>
      <c r="AE11" s="4">
        <v>320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233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233</v>
      </c>
      <c r="AW11" s="8" t="s">
        <v>233</v>
      </c>
      <c r="AX11" s="4" t="s">
        <v>233</v>
      </c>
      <c r="AY11" s="8" t="s">
        <v>233</v>
      </c>
      <c r="AZ11" s="7" t="s">
        <v>233</v>
      </c>
      <c r="BA11" s="7" t="s">
        <v>233</v>
      </c>
      <c r="BB11" s="7"/>
      <c r="BC11" s="4" t="s">
        <v>233</v>
      </c>
      <c r="BD11" s="8" t="s">
        <v>233</v>
      </c>
      <c r="BE11" s="4" t="s">
        <v>233</v>
      </c>
      <c r="BF11" s="8" t="s">
        <v>233</v>
      </c>
      <c r="BG11" s="7" t="s">
        <v>233</v>
      </c>
      <c r="BH11" s="7" t="s">
        <v>233</v>
      </c>
      <c r="BI11" s="7"/>
      <c r="BJ11" s="4">
        <v>69</v>
      </c>
      <c r="BK11" s="8">
        <v>3552.29</v>
      </c>
      <c r="BL11" s="2" t="s">
        <v>276</v>
      </c>
      <c r="BM11" s="7"/>
      <c r="BN11" s="7"/>
      <c r="BO11" s="4"/>
      <c r="BP11" s="8"/>
      <c r="BQ11" s="4"/>
      <c r="BR11" s="8"/>
      <c r="BS11" s="7"/>
      <c r="BT11" s="7"/>
      <c r="BU11" s="2" t="s">
        <v>271</v>
      </c>
      <c r="BV11" s="2" t="s">
        <v>233</v>
      </c>
      <c r="BW11" s="2" t="s">
        <v>233</v>
      </c>
      <c r="BX11" s="2" t="s">
        <v>241</v>
      </c>
      <c r="BY11" s="2" t="s">
        <v>242</v>
      </c>
      <c r="BZ11" s="2" t="s">
        <v>230</v>
      </c>
      <c r="CA11" s="2" t="s">
        <v>272</v>
      </c>
      <c r="CB11" s="2" t="s">
        <v>277</v>
      </c>
      <c r="CC11" s="2" t="s">
        <v>245</v>
      </c>
      <c r="CD11" s="2" t="s">
        <v>233</v>
      </c>
      <c r="CE11" s="4">
        <v>493</v>
      </c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>
        <v>320</v>
      </c>
      <c r="FZ11" s="4"/>
      <c r="GA11" s="4"/>
      <c r="GB11" s="4"/>
      <c r="GC11" s="4">
        <v>500</v>
      </c>
      <c r="GD11" s="4">
        <v>472</v>
      </c>
      <c r="GE11" s="4">
        <v>437</v>
      </c>
      <c r="GF11" s="4">
        <v>404</v>
      </c>
      <c r="GG11" s="4">
        <v>335</v>
      </c>
      <c r="GH11" s="4">
        <v>306</v>
      </c>
      <c r="GI11" s="4">
        <v>280</v>
      </c>
      <c r="GJ11" s="4">
        <v>263</v>
      </c>
      <c r="GK11" s="4">
        <v>254</v>
      </c>
      <c r="GL11" s="4">
        <v>242</v>
      </c>
      <c r="GM11" s="4">
        <v>234</v>
      </c>
      <c r="GN11" s="4">
        <v>226</v>
      </c>
      <c r="GO11" s="4">
        <v>218</v>
      </c>
      <c r="GP11" s="4">
        <v>210</v>
      </c>
      <c r="GQ11" s="4">
        <v>203</v>
      </c>
      <c r="GR11" s="4">
        <v>189</v>
      </c>
      <c r="GS11" s="4">
        <v>175</v>
      </c>
      <c r="GT11" s="4">
        <v>159</v>
      </c>
      <c r="GU11" s="4">
        <v>145</v>
      </c>
      <c r="GV11" s="4">
        <v>448</v>
      </c>
      <c r="GW11" s="4">
        <v>431</v>
      </c>
      <c r="GX11" s="4">
        <v>414</v>
      </c>
      <c r="GY11" s="4">
        <v>397</v>
      </c>
      <c r="GZ11" s="4">
        <v>380</v>
      </c>
      <c r="HA11" s="4">
        <v>363</v>
      </c>
      <c r="HB11" s="4">
        <v>346</v>
      </c>
      <c r="HC11" s="19">
        <v>12.2</v>
      </c>
      <c r="HD11" s="19">
        <v>11.2</v>
      </c>
      <c r="HE11" s="19">
        <v>11.2</v>
      </c>
      <c r="HF11" s="19">
        <v>11.5</v>
      </c>
      <c r="HG11" s="19">
        <v>16.8</v>
      </c>
      <c r="HH11" s="19">
        <v>19.1</v>
      </c>
      <c r="HI11" s="19">
        <v>23.3</v>
      </c>
      <c r="HJ11" s="19">
        <v>29.2</v>
      </c>
      <c r="HK11" s="19">
        <v>28.2</v>
      </c>
      <c r="HL11" s="19">
        <v>30.3</v>
      </c>
      <c r="HM11" s="19">
        <v>29.3</v>
      </c>
      <c r="HN11" s="19">
        <v>25.1</v>
      </c>
      <c r="HO11" s="19">
        <v>19.8</v>
      </c>
      <c r="HP11" s="19">
        <v>16.2</v>
      </c>
      <c r="HQ11" s="19">
        <v>14.5</v>
      </c>
      <c r="HR11" s="19">
        <v>12.6</v>
      </c>
      <c r="HS11" s="19">
        <v>10.9</v>
      </c>
      <c r="HT11" s="19">
        <v>9.9</v>
      </c>
      <c r="HU11" s="19">
        <v>8.5</v>
      </c>
      <c r="HV11" s="19">
        <v>26.4</v>
      </c>
      <c r="HW11" s="19">
        <v>25.4</v>
      </c>
      <c r="HX11" s="19">
        <v>24.4</v>
      </c>
      <c r="HY11" s="19">
        <v>23.4</v>
      </c>
      <c r="HZ11" s="19">
        <v>22.4</v>
      </c>
      <c r="IA11" s="19">
        <v>24.2</v>
      </c>
      <c r="IB11" s="19">
        <v>26.6</v>
      </c>
    </row>
    <row r="12">
      <c r="A12" s="2" t="s">
        <v>278</v>
      </c>
      <c r="B12" s="2" t="s">
        <v>279</v>
      </c>
      <c r="C12" s="2" t="s">
        <v>280</v>
      </c>
      <c r="D12" s="2" t="s">
        <v>281</v>
      </c>
      <c r="E12" s="2" t="s">
        <v>282</v>
      </c>
      <c r="F12" s="2" t="s">
        <v>283</v>
      </c>
      <c r="G12" s="2" t="s">
        <v>283</v>
      </c>
      <c r="H12" s="2" t="s">
        <v>283</v>
      </c>
      <c r="I12" s="2" t="s">
        <v>284</v>
      </c>
      <c r="J12" s="2" t="s">
        <v>285</v>
      </c>
      <c r="K12" s="2" t="s">
        <v>229</v>
      </c>
      <c r="L12" s="3">
        <v>46</v>
      </c>
      <c r="M12" s="3">
        <v>48.3</v>
      </c>
      <c r="N12" s="3">
        <v>99.99</v>
      </c>
      <c r="O12" s="2" t="s">
        <v>230</v>
      </c>
      <c r="P12" s="2" t="s">
        <v>231</v>
      </c>
      <c r="Q12" s="2" t="s">
        <v>232</v>
      </c>
      <c r="R12" s="2" t="s">
        <v>233</v>
      </c>
      <c r="S12" s="2" t="s">
        <v>286</v>
      </c>
      <c r="T12" s="2" t="s">
        <v>268</v>
      </c>
      <c r="U12" s="2" t="s">
        <v>287</v>
      </c>
      <c r="V12" s="2" t="s">
        <v>236</v>
      </c>
      <c r="W12" s="2" t="s">
        <v>237</v>
      </c>
      <c r="X12" s="2" t="s">
        <v>288</v>
      </c>
      <c r="Y12" s="2" t="s">
        <v>289</v>
      </c>
      <c r="Z12" s="4">
        <v>117</v>
      </c>
      <c r="AA12" s="4">
        <f>=ROUNDDOWN(23.4,0)</f>
      </c>
      <c r="AB12" s="5">
        <v>5</v>
      </c>
      <c r="AC12" s="2" t="s">
        <v>290</v>
      </c>
      <c r="AD12" s="4">
        <v>59</v>
      </c>
      <c r="AE12" s="4">
        <v>139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233</v>
      </c>
      <c r="AM12" s="4"/>
      <c r="AN12" s="4"/>
      <c r="AO12" s="7"/>
      <c r="AP12" s="4"/>
      <c r="AQ12" s="8"/>
      <c r="AR12" s="4"/>
      <c r="AS12" s="8"/>
      <c r="AT12" s="7"/>
      <c r="AU12" s="7"/>
      <c r="AV12" s="4"/>
      <c r="AW12" s="8"/>
      <c r="AX12" s="4"/>
      <c r="AY12" s="8"/>
      <c r="AZ12" s="7"/>
      <c r="BA12" s="7"/>
      <c r="BB12" s="7"/>
      <c r="BC12" s="4" t="s">
        <v>233</v>
      </c>
      <c r="BD12" s="8" t="s">
        <v>233</v>
      </c>
      <c r="BE12" s="4" t="s">
        <v>233</v>
      </c>
      <c r="BF12" s="8" t="s">
        <v>233</v>
      </c>
      <c r="BG12" s="7" t="s">
        <v>233</v>
      </c>
      <c r="BH12" s="7" t="s">
        <v>233</v>
      </c>
      <c r="BI12" s="7"/>
      <c r="BJ12" s="4">
        <v>18</v>
      </c>
      <c r="BK12" s="8">
        <v>891.46</v>
      </c>
      <c r="BL12" s="2" t="s">
        <v>291</v>
      </c>
      <c r="BM12" s="7"/>
      <c r="BN12" s="7"/>
      <c r="BO12" s="4"/>
      <c r="BP12" s="8"/>
      <c r="BQ12" s="4"/>
      <c r="BR12" s="8"/>
      <c r="BS12" s="7"/>
      <c r="BT12" s="7"/>
      <c r="BU12" s="2" t="s">
        <v>292</v>
      </c>
      <c r="BV12" s="2" t="s">
        <v>233</v>
      </c>
      <c r="BW12" s="2" t="s">
        <v>233</v>
      </c>
      <c r="BX12" s="2" t="s">
        <v>293</v>
      </c>
      <c r="BY12" s="2" t="s">
        <v>242</v>
      </c>
      <c r="BZ12" s="2" t="s">
        <v>230</v>
      </c>
      <c r="CA12" s="2" t="s">
        <v>294</v>
      </c>
      <c r="CB12" s="2" t="s">
        <v>295</v>
      </c>
      <c r="CC12" s="2" t="s">
        <v>245</v>
      </c>
      <c r="CD12" s="2" t="s">
        <v>233</v>
      </c>
      <c r="CE12" s="4">
        <v>117</v>
      </c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>
        <v>59</v>
      </c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>
        <v>80</v>
      </c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>
        <v>118</v>
      </c>
      <c r="GD12" s="4">
        <v>111</v>
      </c>
      <c r="GE12" s="4">
        <v>103</v>
      </c>
      <c r="GF12" s="4">
        <v>93</v>
      </c>
      <c r="GG12" s="4">
        <v>74</v>
      </c>
      <c r="GH12" s="4">
        <v>125</v>
      </c>
      <c r="GI12" s="4">
        <v>114</v>
      </c>
      <c r="GJ12" s="4">
        <v>107</v>
      </c>
      <c r="GK12" s="4">
        <v>101</v>
      </c>
      <c r="GL12" s="4">
        <v>96</v>
      </c>
      <c r="GM12" s="4">
        <v>91</v>
      </c>
      <c r="GN12" s="4">
        <v>162</v>
      </c>
      <c r="GO12" s="4">
        <v>157</v>
      </c>
      <c r="GP12" s="4">
        <v>152</v>
      </c>
      <c r="GQ12" s="4">
        <v>143</v>
      </c>
      <c r="GR12" s="4">
        <v>137</v>
      </c>
      <c r="GS12" s="4">
        <v>131</v>
      </c>
      <c r="GT12" s="4">
        <v>126</v>
      </c>
      <c r="GU12" s="4">
        <v>121</v>
      </c>
      <c r="GV12" s="4">
        <v>117</v>
      </c>
      <c r="GW12" s="4">
        <v>109</v>
      </c>
      <c r="GX12" s="4">
        <v>101</v>
      </c>
      <c r="GY12" s="4">
        <v>95</v>
      </c>
      <c r="GZ12" s="4">
        <v>86</v>
      </c>
      <c r="HA12" s="4">
        <v>77</v>
      </c>
      <c r="HB12" s="4">
        <v>70</v>
      </c>
      <c r="HC12" s="19">
        <v>10.7</v>
      </c>
      <c r="HD12" s="19">
        <v>10.1</v>
      </c>
      <c r="HE12" s="19">
        <v>8.6</v>
      </c>
      <c r="HF12" s="19">
        <v>8.5</v>
      </c>
      <c r="HG12" s="19">
        <v>9.3</v>
      </c>
      <c r="HH12" s="19">
        <v>17.9</v>
      </c>
      <c r="HI12" s="19">
        <v>19</v>
      </c>
      <c r="HJ12" s="19">
        <v>17.8</v>
      </c>
      <c r="HK12" s="19">
        <v>16.8</v>
      </c>
      <c r="HL12" s="19">
        <v>16</v>
      </c>
      <c r="HM12" s="19">
        <v>13</v>
      </c>
      <c r="HN12" s="19">
        <v>27</v>
      </c>
      <c r="HO12" s="19">
        <v>26.2</v>
      </c>
      <c r="HP12" s="19">
        <v>25.3</v>
      </c>
      <c r="HQ12" s="19">
        <v>23.8</v>
      </c>
      <c r="HR12" s="19">
        <v>27.4</v>
      </c>
      <c r="HS12" s="19">
        <v>21.8</v>
      </c>
      <c r="HT12" s="19">
        <v>21</v>
      </c>
      <c r="HU12" s="19">
        <v>20.2</v>
      </c>
      <c r="HV12" s="19">
        <v>14.6</v>
      </c>
      <c r="HW12" s="19">
        <v>13.6</v>
      </c>
      <c r="HX12" s="19">
        <v>12.6</v>
      </c>
      <c r="HY12" s="19">
        <v>11.9</v>
      </c>
      <c r="HZ12" s="19">
        <v>10.8</v>
      </c>
      <c r="IA12" s="19">
        <v>11</v>
      </c>
      <c r="IB12" s="19">
        <v>10</v>
      </c>
    </row>
    <row r="13">
      <c r="A13" s="2" t="s">
        <v>296</v>
      </c>
      <c r="B13" s="2" t="s">
        <v>279</v>
      </c>
      <c r="C13" s="2" t="s">
        <v>280</v>
      </c>
      <c r="D13" s="2" t="s">
        <v>297</v>
      </c>
      <c r="E13" s="2" t="s">
        <v>298</v>
      </c>
      <c r="F13" s="2" t="s">
        <v>283</v>
      </c>
      <c r="G13" s="2" t="s">
        <v>283</v>
      </c>
      <c r="H13" s="2" t="s">
        <v>283</v>
      </c>
      <c r="I13" s="2" t="s">
        <v>299</v>
      </c>
      <c r="J13" s="2" t="s">
        <v>256</v>
      </c>
      <c r="K13" s="2" t="s">
        <v>300</v>
      </c>
      <c r="L13" s="3">
        <v>12.42</v>
      </c>
      <c r="M13" s="3">
        <v>13.04</v>
      </c>
      <c r="N13" s="3">
        <v>26.99</v>
      </c>
      <c r="O13" s="2" t="s">
        <v>230</v>
      </c>
      <c r="P13" s="2" t="s">
        <v>231</v>
      </c>
      <c r="Q13" s="2" t="s">
        <v>232</v>
      </c>
      <c r="R13" s="2" t="s">
        <v>233</v>
      </c>
      <c r="S13" s="2" t="s">
        <v>301</v>
      </c>
      <c r="T13" s="2" t="s">
        <v>268</v>
      </c>
      <c r="U13" s="2" t="s">
        <v>233</v>
      </c>
      <c r="V13" s="2" t="s">
        <v>236</v>
      </c>
      <c r="W13" s="2" t="s">
        <v>237</v>
      </c>
      <c r="X13" s="2" t="s">
        <v>233</v>
      </c>
      <c r="Y13" s="2" t="s">
        <v>302</v>
      </c>
      <c r="Z13" s="4">
        <v>127</v>
      </c>
      <c r="AA13" s="4">
        <f>=ROUNDDOWN(9.07142857142857,0)</f>
      </c>
      <c r="AB13" s="5">
        <v>14</v>
      </c>
      <c r="AC13" s="2" t="s">
        <v>290</v>
      </c>
      <c r="AD13" s="4">
        <v>360</v>
      </c>
      <c r="AE13" s="4">
        <v>760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233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233</v>
      </c>
      <c r="AW13" s="8" t="s">
        <v>233</v>
      </c>
      <c r="AX13" s="4" t="s">
        <v>233</v>
      </c>
      <c r="AY13" s="8" t="s">
        <v>233</v>
      </c>
      <c r="AZ13" s="7" t="s">
        <v>233</v>
      </c>
      <c r="BA13" s="7" t="s">
        <v>233</v>
      </c>
      <c r="BB13" s="7"/>
      <c r="BC13" s="4" t="s">
        <v>233</v>
      </c>
      <c r="BD13" s="8" t="s">
        <v>233</v>
      </c>
      <c r="BE13" s="4" t="s">
        <v>233</v>
      </c>
      <c r="BF13" s="8" t="s">
        <v>233</v>
      </c>
      <c r="BG13" s="7" t="s">
        <v>233</v>
      </c>
      <c r="BH13" s="7" t="s">
        <v>233</v>
      </c>
      <c r="BI13" s="7"/>
      <c r="BJ13" s="4">
        <v>57</v>
      </c>
      <c r="BK13" s="8">
        <v>766.94</v>
      </c>
      <c r="BL13" s="2" t="s">
        <v>303</v>
      </c>
      <c r="BM13" s="7"/>
      <c r="BN13" s="7"/>
      <c r="BO13" s="4"/>
      <c r="BP13" s="8"/>
      <c r="BQ13" s="4"/>
      <c r="BR13" s="8"/>
      <c r="BS13" s="7"/>
      <c r="BT13" s="7"/>
      <c r="BU13" s="2" t="s">
        <v>304</v>
      </c>
      <c r="BV13" s="2" t="s">
        <v>233</v>
      </c>
      <c r="BW13" s="2" t="s">
        <v>233</v>
      </c>
      <c r="BX13" s="2" t="s">
        <v>241</v>
      </c>
      <c r="BY13" s="2" t="s">
        <v>242</v>
      </c>
      <c r="BZ13" s="2" t="s">
        <v>230</v>
      </c>
      <c r="CA13" s="2" t="s">
        <v>305</v>
      </c>
      <c r="CB13" s="2" t="s">
        <v>306</v>
      </c>
      <c r="CC13" s="2" t="s">
        <v>245</v>
      </c>
      <c r="CD13" s="2" t="s">
        <v>233</v>
      </c>
      <c r="CE13" s="4">
        <v>127</v>
      </c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>
        <v>360</v>
      </c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>
        <v>160</v>
      </c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>
        <v>240</v>
      </c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>
        <v>140</v>
      </c>
      <c r="GD13" s="4">
        <v>115</v>
      </c>
      <c r="GE13" s="4">
        <v>98</v>
      </c>
      <c r="GF13" s="4">
        <v>77</v>
      </c>
      <c r="GG13" s="4">
        <v>39</v>
      </c>
      <c r="GH13" s="4">
        <v>360</v>
      </c>
      <c r="GI13" s="4">
        <v>322</v>
      </c>
      <c r="GJ13" s="4">
        <v>297</v>
      </c>
      <c r="GK13" s="4">
        <v>428</v>
      </c>
      <c r="GL13" s="4">
        <v>400</v>
      </c>
      <c r="GM13" s="4">
        <v>382</v>
      </c>
      <c r="GN13" s="4">
        <v>607</v>
      </c>
      <c r="GO13" s="4">
        <v>590</v>
      </c>
      <c r="GP13" s="4">
        <v>573</v>
      </c>
      <c r="GQ13" s="4">
        <v>546</v>
      </c>
      <c r="GR13" s="4">
        <v>525</v>
      </c>
      <c r="GS13" s="4">
        <v>511</v>
      </c>
      <c r="GT13" s="4">
        <v>496</v>
      </c>
      <c r="GU13" s="4">
        <v>482</v>
      </c>
      <c r="GV13" s="4">
        <v>474</v>
      </c>
      <c r="GW13" s="4">
        <v>457</v>
      </c>
      <c r="GX13" s="4">
        <v>447</v>
      </c>
      <c r="GY13" s="4">
        <v>430</v>
      </c>
      <c r="GZ13" s="4">
        <v>410</v>
      </c>
      <c r="HA13" s="4">
        <v>393</v>
      </c>
      <c r="HB13" s="4">
        <v>380</v>
      </c>
      <c r="HC13" s="19">
        <v>5.6</v>
      </c>
      <c r="HD13" s="19">
        <v>3.8</v>
      </c>
      <c r="HE13" s="19">
        <v>2.7</v>
      </c>
      <c r="HF13" s="19">
        <v>2.1</v>
      </c>
      <c r="HG13" s="19">
        <v>1.1</v>
      </c>
      <c r="HH13" s="19">
        <v>12</v>
      </c>
      <c r="HI13" s="19">
        <v>12.9</v>
      </c>
      <c r="HJ13" s="19">
        <v>13.5</v>
      </c>
      <c r="HK13" s="19">
        <v>21.4</v>
      </c>
      <c r="HL13" s="19">
        <v>23.5</v>
      </c>
      <c r="HM13" s="19">
        <v>20.1</v>
      </c>
      <c r="HN13" s="19">
        <v>30.4</v>
      </c>
      <c r="HO13" s="19">
        <v>29.5</v>
      </c>
      <c r="HP13" s="19">
        <v>30.2</v>
      </c>
      <c r="HQ13" s="19">
        <v>34.1</v>
      </c>
      <c r="HR13" s="19">
        <v>40.4</v>
      </c>
      <c r="HS13" s="19">
        <v>36.5</v>
      </c>
      <c r="HT13" s="19">
        <v>41.3</v>
      </c>
      <c r="HU13" s="19">
        <v>37.1</v>
      </c>
      <c r="HV13" s="19">
        <v>29.6</v>
      </c>
      <c r="HW13" s="19">
        <v>28.6</v>
      </c>
      <c r="HX13" s="19">
        <v>26.3</v>
      </c>
      <c r="HY13" s="19">
        <v>30.7</v>
      </c>
      <c r="HZ13" s="19">
        <v>34.2</v>
      </c>
      <c r="IA13" s="19">
        <v>39.3</v>
      </c>
      <c r="IB13" s="19">
        <v>42.2</v>
      </c>
    </row>
    <row r="14">
      <c r="A14" s="2" t="s">
        <v>307</v>
      </c>
      <c r="B14" s="2" t="s">
        <v>279</v>
      </c>
      <c r="C14" s="2" t="s">
        <v>280</v>
      </c>
      <c r="D14" s="2" t="s">
        <v>297</v>
      </c>
      <c r="E14" s="2" t="s">
        <v>298</v>
      </c>
      <c r="F14" s="2" t="s">
        <v>283</v>
      </c>
      <c r="G14" s="2" t="s">
        <v>283</v>
      </c>
      <c r="H14" s="2" t="s">
        <v>283</v>
      </c>
      <c r="I14" s="2" t="s">
        <v>299</v>
      </c>
      <c r="J14" s="2" t="s">
        <v>308</v>
      </c>
      <c r="K14" s="2" t="s">
        <v>300</v>
      </c>
      <c r="L14" s="3">
        <v>9.9</v>
      </c>
      <c r="M14" s="3">
        <v>10.4</v>
      </c>
      <c r="N14" s="3">
        <v>21.99</v>
      </c>
      <c r="O14" s="2" t="s">
        <v>230</v>
      </c>
      <c r="P14" s="2" t="s">
        <v>231</v>
      </c>
      <c r="Q14" s="2" t="s">
        <v>232</v>
      </c>
      <c r="R14" s="2" t="s">
        <v>233</v>
      </c>
      <c r="S14" s="2" t="s">
        <v>301</v>
      </c>
      <c r="T14" s="2" t="s">
        <v>268</v>
      </c>
      <c r="U14" s="2" t="s">
        <v>233</v>
      </c>
      <c r="V14" s="2" t="s">
        <v>236</v>
      </c>
      <c r="W14" s="2" t="s">
        <v>237</v>
      </c>
      <c r="X14" s="2" t="s">
        <v>233</v>
      </c>
      <c r="Y14" s="2" t="s">
        <v>302</v>
      </c>
      <c r="Z14" s="4">
        <v>228</v>
      </c>
      <c r="AA14" s="4">
        <f>=ROUNDDOWN(10.3636363636364,0)</f>
      </c>
      <c r="AB14" s="5">
        <v>22</v>
      </c>
      <c r="AC14" s="2" t="s">
        <v>142</v>
      </c>
      <c r="AD14" s="4">
        <v>496</v>
      </c>
      <c r="AE14" s="4">
        <v>976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233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233</v>
      </c>
      <c r="AW14" s="8" t="s">
        <v>233</v>
      </c>
      <c r="AX14" s="4" t="s">
        <v>233</v>
      </c>
      <c r="AY14" s="8" t="s">
        <v>233</v>
      </c>
      <c r="AZ14" s="7" t="s">
        <v>233</v>
      </c>
      <c r="BA14" s="7" t="s">
        <v>233</v>
      </c>
      <c r="BB14" s="7"/>
      <c r="BC14" s="4" t="s">
        <v>233</v>
      </c>
      <c r="BD14" s="8" t="s">
        <v>233</v>
      </c>
      <c r="BE14" s="4" t="s">
        <v>233</v>
      </c>
      <c r="BF14" s="8" t="s">
        <v>233</v>
      </c>
      <c r="BG14" s="7" t="s">
        <v>233</v>
      </c>
      <c r="BH14" s="7" t="s">
        <v>233</v>
      </c>
      <c r="BI14" s="7"/>
      <c r="BJ14" s="4">
        <v>86</v>
      </c>
      <c r="BK14" s="8">
        <v>929.39</v>
      </c>
      <c r="BL14" s="2" t="s">
        <v>309</v>
      </c>
      <c r="BM14" s="7"/>
      <c r="BN14" s="7"/>
      <c r="BO14" s="4"/>
      <c r="BP14" s="8"/>
      <c r="BQ14" s="4"/>
      <c r="BR14" s="8"/>
      <c r="BS14" s="7"/>
      <c r="BT14" s="7"/>
      <c r="BU14" s="2" t="s">
        <v>304</v>
      </c>
      <c r="BV14" s="2" t="s">
        <v>233</v>
      </c>
      <c r="BW14" s="2" t="s">
        <v>233</v>
      </c>
      <c r="BX14" s="2" t="s">
        <v>241</v>
      </c>
      <c r="BY14" s="2" t="s">
        <v>242</v>
      </c>
      <c r="BZ14" s="2" t="s">
        <v>230</v>
      </c>
      <c r="CA14" s="2" t="s">
        <v>305</v>
      </c>
      <c r="CB14" s="2" t="s">
        <v>310</v>
      </c>
      <c r="CC14" s="2" t="s">
        <v>245</v>
      </c>
      <c r="CD14" s="2" t="s">
        <v>233</v>
      </c>
      <c r="CE14" s="4">
        <v>81</v>
      </c>
      <c r="CF14" s="4">
        <v>147</v>
      </c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>
        <v>496</v>
      </c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>
        <v>120</v>
      </c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>
        <v>360</v>
      </c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>
        <v>232</v>
      </c>
      <c r="GD14" s="4">
        <v>210</v>
      </c>
      <c r="GE14" s="4">
        <v>184</v>
      </c>
      <c r="GF14" s="4">
        <v>647</v>
      </c>
      <c r="GG14" s="4">
        <v>583</v>
      </c>
      <c r="GH14" s="4">
        <v>530</v>
      </c>
      <c r="GI14" s="4">
        <v>482</v>
      </c>
      <c r="GJ14" s="4">
        <v>458</v>
      </c>
      <c r="GK14" s="4">
        <v>552</v>
      </c>
      <c r="GL14" s="4">
        <v>517</v>
      </c>
      <c r="GM14" s="4">
        <v>495</v>
      </c>
      <c r="GN14" s="4">
        <v>829</v>
      </c>
      <c r="GO14" s="4">
        <v>811</v>
      </c>
      <c r="GP14" s="4">
        <v>793</v>
      </c>
      <c r="GQ14" s="4">
        <v>749</v>
      </c>
      <c r="GR14" s="4">
        <v>723</v>
      </c>
      <c r="GS14" s="4">
        <v>703</v>
      </c>
      <c r="GT14" s="4">
        <v>677</v>
      </c>
      <c r="GU14" s="4">
        <v>655</v>
      </c>
      <c r="GV14" s="4">
        <v>646</v>
      </c>
      <c r="GW14" s="4">
        <v>622</v>
      </c>
      <c r="GX14" s="4">
        <v>607</v>
      </c>
      <c r="GY14" s="4">
        <v>583</v>
      </c>
      <c r="GZ14" s="4">
        <v>548</v>
      </c>
      <c r="HA14" s="4">
        <v>519</v>
      </c>
      <c r="HB14" s="4">
        <v>495</v>
      </c>
      <c r="HC14" s="19">
        <v>6.4</v>
      </c>
      <c r="HD14" s="19">
        <v>4.8</v>
      </c>
      <c r="HE14" s="19">
        <v>3.7</v>
      </c>
      <c r="HF14" s="19">
        <v>13.8</v>
      </c>
      <c r="HG14" s="19">
        <v>15.3</v>
      </c>
      <c r="HH14" s="19">
        <v>16.1</v>
      </c>
      <c r="HI14" s="19">
        <v>17.9</v>
      </c>
      <c r="HJ14" s="19">
        <v>17</v>
      </c>
      <c r="HK14" s="19">
        <v>22.1</v>
      </c>
      <c r="HL14" s="19">
        <v>24.6</v>
      </c>
      <c r="HM14" s="19">
        <v>19</v>
      </c>
      <c r="HN14" s="19">
        <v>31.9</v>
      </c>
      <c r="HO14" s="19">
        <v>30</v>
      </c>
      <c r="HP14" s="19">
        <v>27.3</v>
      </c>
      <c r="HQ14" s="19">
        <v>31.2</v>
      </c>
      <c r="HR14" s="19">
        <v>38.1</v>
      </c>
      <c r="HS14" s="19">
        <v>35.2</v>
      </c>
      <c r="HT14" s="19">
        <v>37.6</v>
      </c>
      <c r="HU14" s="19">
        <v>36.4</v>
      </c>
      <c r="HV14" s="19">
        <v>26.9</v>
      </c>
      <c r="HW14" s="19">
        <v>23.9</v>
      </c>
      <c r="HX14" s="19">
        <v>21.7</v>
      </c>
      <c r="HY14" s="19">
        <v>20.8</v>
      </c>
      <c r="HZ14" s="19">
        <v>21.1</v>
      </c>
      <c r="IA14" s="19">
        <v>21.6</v>
      </c>
      <c r="IB14" s="19">
        <v>20.6</v>
      </c>
    </row>
    <row r="15">
      <c r="A15" s="2" t="s">
        <v>311</v>
      </c>
      <c r="B15" s="2" t="s">
        <v>279</v>
      </c>
      <c r="C15" s="2" t="s">
        <v>280</v>
      </c>
      <c r="D15" s="2" t="s">
        <v>281</v>
      </c>
      <c r="E15" s="2" t="s">
        <v>282</v>
      </c>
      <c r="F15" s="2" t="s">
        <v>283</v>
      </c>
      <c r="G15" s="2" t="s">
        <v>283</v>
      </c>
      <c r="H15" s="2" t="s">
        <v>283</v>
      </c>
      <c r="I15" s="2" t="s">
        <v>284</v>
      </c>
      <c r="J15" s="2" t="s">
        <v>285</v>
      </c>
      <c r="K15" s="2" t="s">
        <v>312</v>
      </c>
      <c r="L15" s="3">
        <v>46</v>
      </c>
      <c r="M15" s="3">
        <v>48.3</v>
      </c>
      <c r="N15" s="3">
        <v>99.99</v>
      </c>
      <c r="O15" s="2" t="s">
        <v>230</v>
      </c>
      <c r="P15" s="2" t="s">
        <v>231</v>
      </c>
      <c r="Q15" s="2" t="s">
        <v>232</v>
      </c>
      <c r="R15" s="2" t="s">
        <v>233</v>
      </c>
      <c r="S15" s="2" t="s">
        <v>313</v>
      </c>
      <c r="T15" s="2" t="s">
        <v>268</v>
      </c>
      <c r="U15" s="2" t="s">
        <v>287</v>
      </c>
      <c r="V15" s="2" t="s">
        <v>236</v>
      </c>
      <c r="W15" s="2" t="s">
        <v>237</v>
      </c>
      <c r="X15" s="2" t="s">
        <v>288</v>
      </c>
      <c r="Y15" s="2" t="s">
        <v>302</v>
      </c>
      <c r="Z15" s="4">
        <v>69</v>
      </c>
      <c r="AA15" s="4">
        <f>=ROUNDDOWN(11.5,0)</f>
      </c>
      <c r="AB15" s="5">
        <v>6</v>
      </c>
      <c r="AC15" s="2" t="s">
        <v>290</v>
      </c>
      <c r="AD15" s="4">
        <v>163</v>
      </c>
      <c r="AE15" s="4">
        <v>213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233</v>
      </c>
      <c r="AM15" s="4"/>
      <c r="AN15" s="4"/>
      <c r="AO15" s="7"/>
      <c r="AP15" s="4"/>
      <c r="AQ15" s="8"/>
      <c r="AR15" s="4"/>
      <c r="AS15" s="8"/>
      <c r="AT15" s="7"/>
      <c r="AU15" s="7"/>
      <c r="AV15" s="4"/>
      <c r="AW15" s="8"/>
      <c r="AX15" s="4"/>
      <c r="AY15" s="8"/>
      <c r="AZ15" s="7"/>
      <c r="BA15" s="7"/>
      <c r="BB15" s="7"/>
      <c r="BC15" s="4" t="s">
        <v>233</v>
      </c>
      <c r="BD15" s="8" t="s">
        <v>233</v>
      </c>
      <c r="BE15" s="4" t="s">
        <v>233</v>
      </c>
      <c r="BF15" s="8" t="s">
        <v>233</v>
      </c>
      <c r="BG15" s="7" t="s">
        <v>233</v>
      </c>
      <c r="BH15" s="7" t="s">
        <v>233</v>
      </c>
      <c r="BI15" s="7"/>
      <c r="BJ15" s="4">
        <v>25</v>
      </c>
      <c r="BK15" s="8">
        <v>1247.19</v>
      </c>
      <c r="BL15" s="2" t="s">
        <v>314</v>
      </c>
      <c r="BM15" s="7"/>
      <c r="BN15" s="7"/>
      <c r="BO15" s="4"/>
      <c r="BP15" s="8"/>
      <c r="BQ15" s="4"/>
      <c r="BR15" s="8"/>
      <c r="BS15" s="7"/>
      <c r="BT15" s="7"/>
      <c r="BU15" s="2" t="s">
        <v>292</v>
      </c>
      <c r="BV15" s="2" t="s">
        <v>233</v>
      </c>
      <c r="BW15" s="2" t="s">
        <v>233</v>
      </c>
      <c r="BX15" s="2" t="s">
        <v>293</v>
      </c>
      <c r="BY15" s="2" t="s">
        <v>242</v>
      </c>
      <c r="BZ15" s="2" t="s">
        <v>230</v>
      </c>
      <c r="CA15" s="2" t="s">
        <v>305</v>
      </c>
      <c r="CB15" s="2" t="s">
        <v>315</v>
      </c>
      <c r="CC15" s="2" t="s">
        <v>245</v>
      </c>
      <c r="CD15" s="2" t="s">
        <v>233</v>
      </c>
      <c r="CE15" s="4">
        <v>69</v>
      </c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>
        <v>163</v>
      </c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>
        <v>50</v>
      </c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>
        <v>71</v>
      </c>
      <c r="GD15" s="4">
        <v>62</v>
      </c>
      <c r="GE15" s="4">
        <v>53</v>
      </c>
      <c r="GF15" s="4">
        <v>41</v>
      </c>
      <c r="GG15" s="4">
        <v>18</v>
      </c>
      <c r="GH15" s="4">
        <v>171</v>
      </c>
      <c r="GI15" s="4">
        <v>158</v>
      </c>
      <c r="GJ15" s="4">
        <v>150</v>
      </c>
      <c r="GK15" s="4">
        <v>143</v>
      </c>
      <c r="GL15" s="4">
        <v>138</v>
      </c>
      <c r="GM15" s="4">
        <v>132</v>
      </c>
      <c r="GN15" s="4">
        <v>172</v>
      </c>
      <c r="GO15" s="4">
        <v>167</v>
      </c>
      <c r="GP15" s="4">
        <v>162</v>
      </c>
      <c r="GQ15" s="4">
        <v>152</v>
      </c>
      <c r="GR15" s="4">
        <v>145</v>
      </c>
      <c r="GS15" s="4">
        <v>138</v>
      </c>
      <c r="GT15" s="4">
        <v>133</v>
      </c>
      <c r="GU15" s="4">
        <v>128</v>
      </c>
      <c r="GV15" s="4">
        <v>124</v>
      </c>
      <c r="GW15" s="4">
        <v>115</v>
      </c>
      <c r="GX15" s="4">
        <v>105</v>
      </c>
      <c r="GY15" s="4">
        <v>98</v>
      </c>
      <c r="GZ15" s="4">
        <v>88</v>
      </c>
      <c r="HA15" s="4">
        <v>77</v>
      </c>
      <c r="HB15" s="4">
        <v>69</v>
      </c>
      <c r="HC15" s="19">
        <v>5.5</v>
      </c>
      <c r="HD15" s="19">
        <v>4.4</v>
      </c>
      <c r="HE15" s="19">
        <v>3.8</v>
      </c>
      <c r="HF15" s="19">
        <v>2.9</v>
      </c>
      <c r="HG15" s="19">
        <v>1.8</v>
      </c>
      <c r="HH15" s="19">
        <v>21.4</v>
      </c>
      <c r="HI15" s="19">
        <v>26.3</v>
      </c>
      <c r="HJ15" s="19">
        <v>21.4</v>
      </c>
      <c r="HK15" s="19">
        <v>23.8</v>
      </c>
      <c r="HL15" s="19">
        <v>23</v>
      </c>
      <c r="HM15" s="19">
        <v>16.5</v>
      </c>
      <c r="HN15" s="19">
        <v>24.6</v>
      </c>
      <c r="HO15" s="19">
        <v>23.9</v>
      </c>
      <c r="HP15" s="19">
        <v>23.1</v>
      </c>
      <c r="HQ15" s="19">
        <v>25.3</v>
      </c>
      <c r="HR15" s="19">
        <v>29</v>
      </c>
      <c r="HS15" s="19">
        <v>23</v>
      </c>
      <c r="HT15" s="19">
        <v>19</v>
      </c>
      <c r="HU15" s="19">
        <v>16</v>
      </c>
      <c r="HV15" s="19">
        <v>13.8</v>
      </c>
      <c r="HW15" s="19">
        <v>11.5</v>
      </c>
      <c r="HX15" s="19">
        <v>11.7</v>
      </c>
      <c r="HY15" s="19">
        <v>9.8</v>
      </c>
      <c r="HZ15" s="19">
        <v>8.8</v>
      </c>
      <c r="IA15" s="19">
        <v>9.6</v>
      </c>
      <c r="IB15" s="19">
        <v>8.6</v>
      </c>
    </row>
    <row r="16">
      <c r="A16" s="2" t="s">
        <v>316</v>
      </c>
      <c r="B16" s="2" t="s">
        <v>279</v>
      </c>
      <c r="C16" s="2" t="s">
        <v>280</v>
      </c>
      <c r="D16" s="2" t="s">
        <v>297</v>
      </c>
      <c r="E16" s="2" t="s">
        <v>298</v>
      </c>
      <c r="F16" s="2" t="s">
        <v>283</v>
      </c>
      <c r="G16" s="2" t="s">
        <v>283</v>
      </c>
      <c r="H16" s="2" t="s">
        <v>283</v>
      </c>
      <c r="I16" s="2" t="s">
        <v>299</v>
      </c>
      <c r="J16" s="2" t="s">
        <v>308</v>
      </c>
      <c r="K16" s="2" t="s">
        <v>266</v>
      </c>
      <c r="L16" s="3">
        <v>9.9</v>
      </c>
      <c r="M16" s="3">
        <v>10.4</v>
      </c>
      <c r="N16" s="3">
        <v>21.99</v>
      </c>
      <c r="O16" s="2" t="s">
        <v>230</v>
      </c>
      <c r="P16" s="2" t="s">
        <v>231</v>
      </c>
      <c r="Q16" s="2" t="s">
        <v>232</v>
      </c>
      <c r="R16" s="2" t="s">
        <v>233</v>
      </c>
      <c r="S16" s="2" t="s">
        <v>317</v>
      </c>
      <c r="T16" s="2" t="s">
        <v>268</v>
      </c>
      <c r="U16" s="2" t="s">
        <v>233</v>
      </c>
      <c r="V16" s="2" t="s">
        <v>236</v>
      </c>
      <c r="W16" s="2" t="s">
        <v>237</v>
      </c>
      <c r="X16" s="2" t="s">
        <v>233</v>
      </c>
      <c r="Y16" s="2" t="s">
        <v>302</v>
      </c>
      <c r="Z16" s="4">
        <v>189</v>
      </c>
      <c r="AA16" s="4">
        <f>=ROUNDDOWN(4.5,0)</f>
      </c>
      <c r="AB16" s="5">
        <v>42</v>
      </c>
      <c r="AC16" s="2" t="s">
        <v>290</v>
      </c>
      <c r="AD16" s="4">
        <v>1280</v>
      </c>
      <c r="AE16" s="4">
        <v>1280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233</v>
      </c>
      <c r="AM16" s="4"/>
      <c r="AN16" s="4"/>
      <c r="AO16" s="7"/>
      <c r="AP16" s="4"/>
      <c r="AQ16" s="8"/>
      <c r="AR16" s="4"/>
      <c r="AS16" s="8"/>
      <c r="AT16" s="7"/>
      <c r="AU16" s="7"/>
      <c r="AV16" s="4"/>
      <c r="AW16" s="8"/>
      <c r="AX16" s="4"/>
      <c r="AY16" s="8"/>
      <c r="AZ16" s="7"/>
      <c r="BA16" s="7"/>
      <c r="BB16" s="7"/>
      <c r="BC16" s="4" t="s">
        <v>233</v>
      </c>
      <c r="BD16" s="8" t="s">
        <v>233</v>
      </c>
      <c r="BE16" s="4" t="s">
        <v>233</v>
      </c>
      <c r="BF16" s="8" t="s">
        <v>233</v>
      </c>
      <c r="BG16" s="7" t="s">
        <v>233</v>
      </c>
      <c r="BH16" s="7" t="s">
        <v>233</v>
      </c>
      <c r="BI16" s="7"/>
      <c r="BJ16" s="4">
        <v>201</v>
      </c>
      <c r="BK16" s="8">
        <v>2271</v>
      </c>
      <c r="BL16" s="2" t="s">
        <v>318</v>
      </c>
      <c r="BM16" s="7"/>
      <c r="BN16" s="7"/>
      <c r="BO16" s="4"/>
      <c r="BP16" s="8"/>
      <c r="BQ16" s="4"/>
      <c r="BR16" s="8"/>
      <c r="BS16" s="7"/>
      <c r="BT16" s="7"/>
      <c r="BU16" s="2" t="s">
        <v>304</v>
      </c>
      <c r="BV16" s="2" t="s">
        <v>233</v>
      </c>
      <c r="BW16" s="2" t="s">
        <v>233</v>
      </c>
      <c r="BX16" s="2" t="s">
        <v>241</v>
      </c>
      <c r="BY16" s="2" t="s">
        <v>242</v>
      </c>
      <c r="BZ16" s="2" t="s">
        <v>230</v>
      </c>
      <c r="CA16" s="2" t="s">
        <v>305</v>
      </c>
      <c r="CB16" s="2" t="s">
        <v>319</v>
      </c>
      <c r="CC16" s="2" t="s">
        <v>245</v>
      </c>
      <c r="CD16" s="2" t="s">
        <v>233</v>
      </c>
      <c r="CE16" s="4">
        <v>44</v>
      </c>
      <c r="CF16" s="4">
        <v>145</v>
      </c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>
        <v>1280</v>
      </c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>
        <v>209</v>
      </c>
      <c r="GD16" s="4">
        <v>157</v>
      </c>
      <c r="GE16" s="4">
        <v>107</v>
      </c>
      <c r="GF16" s="4">
        <v>44</v>
      </c>
      <c r="GG16" s="4"/>
      <c r="GH16" s="4">
        <v>1280</v>
      </c>
      <c r="GI16" s="4">
        <v>1188</v>
      </c>
      <c r="GJ16" s="4">
        <v>1142</v>
      </c>
      <c r="GK16" s="4">
        <v>1092</v>
      </c>
      <c r="GL16" s="4">
        <v>1025</v>
      </c>
      <c r="GM16" s="4">
        <v>983</v>
      </c>
      <c r="GN16" s="4">
        <v>933</v>
      </c>
      <c r="GO16" s="4">
        <v>899</v>
      </c>
      <c r="GP16" s="4">
        <v>865</v>
      </c>
      <c r="GQ16" s="4">
        <v>781</v>
      </c>
      <c r="GR16" s="4">
        <v>731</v>
      </c>
      <c r="GS16" s="4">
        <v>693</v>
      </c>
      <c r="GT16" s="4">
        <v>643</v>
      </c>
      <c r="GU16" s="4">
        <v>601</v>
      </c>
      <c r="GV16" s="4">
        <v>584</v>
      </c>
      <c r="GW16" s="4">
        <v>538</v>
      </c>
      <c r="GX16" s="4">
        <v>509</v>
      </c>
      <c r="GY16" s="4">
        <v>463</v>
      </c>
      <c r="GZ16" s="4">
        <v>396</v>
      </c>
      <c r="HA16" s="4">
        <v>341</v>
      </c>
      <c r="HB16" s="4">
        <v>295</v>
      </c>
      <c r="HC16" s="19">
        <v>2.9</v>
      </c>
      <c r="HD16" s="19">
        <v>1.9</v>
      </c>
      <c r="HE16" s="19">
        <v>1.1</v>
      </c>
      <c r="HF16" s="19">
        <v>0.5</v>
      </c>
      <c r="HG16" s="20">
        <v>0</v>
      </c>
      <c r="HH16" s="19">
        <v>20</v>
      </c>
      <c r="HI16" s="19">
        <v>23.3</v>
      </c>
      <c r="HJ16" s="19">
        <v>22</v>
      </c>
      <c r="HK16" s="19">
        <v>22.8</v>
      </c>
      <c r="HL16" s="19">
        <v>25.6</v>
      </c>
      <c r="HM16" s="19">
        <v>19.7</v>
      </c>
      <c r="HN16" s="19">
        <v>18.7</v>
      </c>
      <c r="HO16" s="19">
        <v>17.3</v>
      </c>
      <c r="HP16" s="19">
        <v>15.4</v>
      </c>
      <c r="HQ16" s="19">
        <v>17.4</v>
      </c>
      <c r="HR16" s="19">
        <v>19.8</v>
      </c>
      <c r="HS16" s="19">
        <v>17.8</v>
      </c>
      <c r="HT16" s="19">
        <v>18.9</v>
      </c>
      <c r="HU16" s="19">
        <v>17.7</v>
      </c>
      <c r="HV16" s="19">
        <v>12.4</v>
      </c>
      <c r="HW16" s="19">
        <v>11</v>
      </c>
      <c r="HX16" s="19">
        <v>9.4</v>
      </c>
      <c r="HY16" s="19">
        <v>8.6</v>
      </c>
      <c r="HZ16" s="19">
        <v>8.1</v>
      </c>
      <c r="IA16" s="19">
        <v>7.6</v>
      </c>
      <c r="IB16" s="19">
        <v>6.6</v>
      </c>
    </row>
    <row r="17">
      <c r="A17" s="2" t="s">
        <v>320</v>
      </c>
      <c r="B17" s="2" t="s">
        <v>222</v>
      </c>
      <c r="C17" s="2" t="s">
        <v>223</v>
      </c>
      <c r="D17" s="2" t="s">
        <v>224</v>
      </c>
      <c r="E17" s="2" t="s">
        <v>225</v>
      </c>
      <c r="F17" s="2" t="s">
        <v>321</v>
      </c>
      <c r="G17" s="2" t="s">
        <v>321</v>
      </c>
      <c r="H17" s="2" t="s">
        <v>321</v>
      </c>
      <c r="I17" s="2" t="s">
        <v>322</v>
      </c>
      <c r="J17" s="2" t="s">
        <v>228</v>
      </c>
      <c r="K17" s="2" t="s">
        <v>266</v>
      </c>
      <c r="L17" s="3">
        <v>58.29</v>
      </c>
      <c r="M17" s="3">
        <v>61.2</v>
      </c>
      <c r="N17" s="3">
        <v>109.99</v>
      </c>
      <c r="O17" s="2" t="s">
        <v>230</v>
      </c>
      <c r="P17" s="2" t="s">
        <v>231</v>
      </c>
      <c r="Q17" s="2" t="s">
        <v>232</v>
      </c>
      <c r="R17" s="2" t="s">
        <v>233</v>
      </c>
      <c r="S17" s="2" t="s">
        <v>323</v>
      </c>
      <c r="T17" s="2" t="s">
        <v>235</v>
      </c>
      <c r="U17" s="2" t="s">
        <v>233</v>
      </c>
      <c r="V17" s="2" t="s">
        <v>236</v>
      </c>
      <c r="W17" s="2" t="s">
        <v>237</v>
      </c>
      <c r="X17" s="2" t="s">
        <v>233</v>
      </c>
      <c r="Y17" s="2" t="s">
        <v>238</v>
      </c>
      <c r="Z17" s="4">
        <v>255</v>
      </c>
      <c r="AA17" s="4">
        <f>=ROUNDDOWN(63.75,0)</f>
      </c>
      <c r="AB17" s="5">
        <v>4</v>
      </c>
      <c r="AC17" s="2" t="s">
        <v>233</v>
      </c>
      <c r="AD17" s="4"/>
      <c r="AE17" s="4"/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233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233</v>
      </c>
      <c r="AW17" s="8" t="s">
        <v>233</v>
      </c>
      <c r="AX17" s="4" t="s">
        <v>233</v>
      </c>
      <c r="AY17" s="8" t="s">
        <v>233</v>
      </c>
      <c r="AZ17" s="7" t="s">
        <v>233</v>
      </c>
      <c r="BA17" s="7" t="s">
        <v>233</v>
      </c>
      <c r="BB17" s="7"/>
      <c r="BC17" s="4" t="s">
        <v>233</v>
      </c>
      <c r="BD17" s="8" t="s">
        <v>233</v>
      </c>
      <c r="BE17" s="4" t="s">
        <v>233</v>
      </c>
      <c r="BF17" s="8" t="s">
        <v>233</v>
      </c>
      <c r="BG17" s="7" t="s">
        <v>233</v>
      </c>
      <c r="BH17" s="7" t="s">
        <v>233</v>
      </c>
      <c r="BI17" s="7"/>
      <c r="BJ17" s="4">
        <v>3</v>
      </c>
      <c r="BK17" s="8">
        <v>187.98</v>
      </c>
      <c r="BL17" s="2" t="s">
        <v>324</v>
      </c>
      <c r="BM17" s="7"/>
      <c r="BN17" s="7"/>
      <c r="BO17" s="4"/>
      <c r="BP17" s="8"/>
      <c r="BQ17" s="4"/>
      <c r="BR17" s="8"/>
      <c r="BS17" s="7"/>
      <c r="BT17" s="7"/>
      <c r="BU17" s="2" t="s">
        <v>325</v>
      </c>
      <c r="BV17" s="2" t="s">
        <v>233</v>
      </c>
      <c r="BW17" s="2" t="s">
        <v>233</v>
      </c>
      <c r="BX17" s="2" t="s">
        <v>241</v>
      </c>
      <c r="BY17" s="2" t="s">
        <v>242</v>
      </c>
      <c r="BZ17" s="2" t="s">
        <v>230</v>
      </c>
      <c r="CA17" s="2" t="s">
        <v>243</v>
      </c>
      <c r="CB17" s="2" t="s">
        <v>326</v>
      </c>
      <c r="CC17" s="2" t="s">
        <v>245</v>
      </c>
      <c r="CD17" s="2" t="s">
        <v>233</v>
      </c>
      <c r="CE17" s="4">
        <v>255</v>
      </c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>
        <v>256</v>
      </c>
      <c r="GD17" s="4">
        <v>250</v>
      </c>
      <c r="GE17" s="4">
        <v>242</v>
      </c>
      <c r="GF17" s="4">
        <v>235</v>
      </c>
      <c r="GG17" s="4">
        <v>223</v>
      </c>
      <c r="GH17" s="4">
        <v>217</v>
      </c>
      <c r="GI17" s="4">
        <v>210</v>
      </c>
      <c r="GJ17" s="4">
        <v>206</v>
      </c>
      <c r="GK17" s="4">
        <v>204</v>
      </c>
      <c r="GL17" s="4">
        <v>201</v>
      </c>
      <c r="GM17" s="4">
        <v>199</v>
      </c>
      <c r="GN17" s="4">
        <v>196</v>
      </c>
      <c r="GO17" s="4">
        <v>193</v>
      </c>
      <c r="GP17" s="4">
        <v>190</v>
      </c>
      <c r="GQ17" s="4">
        <v>188</v>
      </c>
      <c r="GR17" s="4">
        <v>184</v>
      </c>
      <c r="GS17" s="4">
        <v>180</v>
      </c>
      <c r="GT17" s="4">
        <v>176</v>
      </c>
      <c r="GU17" s="4">
        <v>172</v>
      </c>
      <c r="GV17" s="4">
        <v>168</v>
      </c>
      <c r="GW17" s="4">
        <v>164</v>
      </c>
      <c r="GX17" s="4">
        <v>160</v>
      </c>
      <c r="GY17" s="4">
        <v>156</v>
      </c>
      <c r="GZ17" s="4">
        <v>152</v>
      </c>
      <c r="HA17" s="4">
        <v>148</v>
      </c>
      <c r="HB17" s="4">
        <v>144</v>
      </c>
      <c r="HC17" s="19">
        <v>32</v>
      </c>
      <c r="HD17" s="19">
        <v>31.3</v>
      </c>
      <c r="HE17" s="19">
        <v>30.3</v>
      </c>
      <c r="HF17" s="19">
        <v>33.6</v>
      </c>
      <c r="HG17" s="19">
        <v>44.6</v>
      </c>
      <c r="HH17" s="19">
        <v>54.3</v>
      </c>
      <c r="HI17" s="19">
        <v>70</v>
      </c>
      <c r="HJ17" s="19">
        <v>103</v>
      </c>
      <c r="HK17" s="19">
        <v>68</v>
      </c>
      <c r="HL17" s="19">
        <v>67</v>
      </c>
      <c r="HM17" s="19">
        <v>66.3</v>
      </c>
      <c r="HN17" s="19">
        <v>65.3</v>
      </c>
      <c r="HO17" s="19">
        <v>64.3</v>
      </c>
      <c r="HP17" s="19">
        <v>47.5</v>
      </c>
      <c r="HQ17" s="19">
        <v>47</v>
      </c>
      <c r="HR17" s="19">
        <v>46</v>
      </c>
      <c r="HS17" s="19">
        <v>45</v>
      </c>
      <c r="HT17" s="19">
        <v>44</v>
      </c>
      <c r="HU17" s="19">
        <v>43</v>
      </c>
      <c r="HV17" s="19">
        <v>42</v>
      </c>
      <c r="HW17" s="19">
        <v>41</v>
      </c>
      <c r="HX17" s="19">
        <v>40</v>
      </c>
      <c r="HY17" s="19">
        <v>39</v>
      </c>
      <c r="HZ17" s="19">
        <v>38</v>
      </c>
      <c r="IA17" s="19">
        <v>37</v>
      </c>
      <c r="IB17" s="19">
        <v>36</v>
      </c>
    </row>
    <row r="18">
      <c r="A18" s="2" t="s">
        <v>327</v>
      </c>
      <c r="B18" s="2" t="s">
        <v>222</v>
      </c>
      <c r="C18" s="2" t="s">
        <v>223</v>
      </c>
      <c r="D18" s="2" t="s">
        <v>224</v>
      </c>
      <c r="E18" s="2" t="s">
        <v>225</v>
      </c>
      <c r="F18" s="2" t="s">
        <v>321</v>
      </c>
      <c r="G18" s="2" t="s">
        <v>321</v>
      </c>
      <c r="H18" s="2" t="s">
        <v>321</v>
      </c>
      <c r="I18" s="2" t="s">
        <v>328</v>
      </c>
      <c r="J18" s="2" t="s">
        <v>247</v>
      </c>
      <c r="K18" s="2" t="s">
        <v>266</v>
      </c>
      <c r="L18" s="3">
        <v>58.29</v>
      </c>
      <c r="M18" s="3">
        <v>61.2</v>
      </c>
      <c r="N18" s="3">
        <v>109.99</v>
      </c>
      <c r="O18" s="2" t="s">
        <v>230</v>
      </c>
      <c r="P18" s="2" t="s">
        <v>231</v>
      </c>
      <c r="Q18" s="2" t="s">
        <v>232</v>
      </c>
      <c r="R18" s="2" t="s">
        <v>233</v>
      </c>
      <c r="S18" s="2" t="s">
        <v>323</v>
      </c>
      <c r="T18" s="2" t="s">
        <v>233</v>
      </c>
      <c r="U18" s="2" t="s">
        <v>329</v>
      </c>
      <c r="V18" s="2" t="s">
        <v>236</v>
      </c>
      <c r="W18" s="2" t="s">
        <v>237</v>
      </c>
      <c r="X18" s="2" t="s">
        <v>233</v>
      </c>
      <c r="Y18" s="2" t="s">
        <v>330</v>
      </c>
      <c r="Z18" s="4">
        <v>545</v>
      </c>
      <c r="AA18" s="4">
        <f>=ROUNDDOWN(136.25,0)</f>
      </c>
      <c r="AB18" s="5">
        <v>4</v>
      </c>
      <c r="AC18" s="2" t="s">
        <v>233</v>
      </c>
      <c r="AD18" s="4"/>
      <c r="AE18" s="4"/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233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233</v>
      </c>
      <c r="AW18" s="8" t="s">
        <v>233</v>
      </c>
      <c r="AX18" s="4" t="s">
        <v>233</v>
      </c>
      <c r="AY18" s="8" t="s">
        <v>233</v>
      </c>
      <c r="AZ18" s="7" t="s">
        <v>233</v>
      </c>
      <c r="BA18" s="7" t="s">
        <v>233</v>
      </c>
      <c r="BB18" s="7"/>
      <c r="BC18" s="4" t="s">
        <v>233</v>
      </c>
      <c r="BD18" s="8" t="s">
        <v>233</v>
      </c>
      <c r="BE18" s="4" t="s">
        <v>233</v>
      </c>
      <c r="BF18" s="8" t="s">
        <v>233</v>
      </c>
      <c r="BG18" s="7" t="s">
        <v>233</v>
      </c>
      <c r="BH18" s="7" t="s">
        <v>233</v>
      </c>
      <c r="BI18" s="7"/>
      <c r="BJ18" s="4">
        <v>2</v>
      </c>
      <c r="BK18" s="8">
        <v>132.22</v>
      </c>
      <c r="BL18" s="2" t="s">
        <v>331</v>
      </c>
      <c r="BM18" s="7"/>
      <c r="BN18" s="7"/>
      <c r="BO18" s="4"/>
      <c r="BP18" s="8"/>
      <c r="BQ18" s="4"/>
      <c r="BR18" s="8"/>
      <c r="BS18" s="7"/>
      <c r="BT18" s="7"/>
      <c r="BU18" s="2" t="s">
        <v>325</v>
      </c>
      <c r="BV18" s="2" t="s">
        <v>233</v>
      </c>
      <c r="BW18" s="2" t="s">
        <v>233</v>
      </c>
      <c r="BX18" s="2" t="s">
        <v>241</v>
      </c>
      <c r="BY18" s="2" t="s">
        <v>242</v>
      </c>
      <c r="BZ18" s="2" t="s">
        <v>230</v>
      </c>
      <c r="CA18" s="2" t="s">
        <v>330</v>
      </c>
      <c r="CB18" s="2" t="s">
        <v>332</v>
      </c>
      <c r="CC18" s="2" t="s">
        <v>245</v>
      </c>
      <c r="CD18" s="2" t="s">
        <v>233</v>
      </c>
      <c r="CE18" s="4">
        <v>545</v>
      </c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>
        <v>545</v>
      </c>
      <c r="GD18" s="4">
        <v>543</v>
      </c>
      <c r="GE18" s="4">
        <v>540</v>
      </c>
      <c r="GF18" s="4">
        <v>538</v>
      </c>
      <c r="GG18" s="4">
        <v>534</v>
      </c>
      <c r="GH18" s="4">
        <v>532</v>
      </c>
      <c r="GI18" s="4">
        <v>529</v>
      </c>
      <c r="GJ18" s="4">
        <v>527</v>
      </c>
      <c r="GK18" s="4">
        <v>526</v>
      </c>
      <c r="GL18" s="4">
        <v>525</v>
      </c>
      <c r="GM18" s="4">
        <v>524</v>
      </c>
      <c r="GN18" s="4">
        <v>523</v>
      </c>
      <c r="GO18" s="4">
        <v>522</v>
      </c>
      <c r="GP18" s="4">
        <v>521</v>
      </c>
      <c r="GQ18" s="4">
        <v>520</v>
      </c>
      <c r="GR18" s="4">
        <v>518</v>
      </c>
      <c r="GS18" s="4">
        <v>516</v>
      </c>
      <c r="GT18" s="4">
        <v>514</v>
      </c>
      <c r="GU18" s="4">
        <v>512</v>
      </c>
      <c r="GV18" s="4">
        <v>509</v>
      </c>
      <c r="GW18" s="4">
        <v>506</v>
      </c>
      <c r="GX18" s="4">
        <v>503</v>
      </c>
      <c r="GY18" s="4">
        <v>500</v>
      </c>
      <c r="GZ18" s="4">
        <v>495</v>
      </c>
      <c r="HA18" s="4">
        <v>490</v>
      </c>
      <c r="HB18" s="4">
        <v>485</v>
      </c>
      <c r="HC18" s="19">
        <v>181.7</v>
      </c>
      <c r="HD18" s="19">
        <v>181</v>
      </c>
      <c r="HE18" s="19">
        <v>180</v>
      </c>
      <c r="HF18" s="19">
        <v>179.3</v>
      </c>
      <c r="HG18" s="19">
        <v>267</v>
      </c>
      <c r="HH18" s="19">
        <v>266</v>
      </c>
      <c r="HI18" s="19">
        <v>529</v>
      </c>
      <c r="HJ18" s="19">
        <v>527</v>
      </c>
      <c r="HK18" s="19">
        <v>526</v>
      </c>
      <c r="HL18" s="19">
        <v>525</v>
      </c>
      <c r="HM18" s="19">
        <v>524</v>
      </c>
      <c r="HN18" s="19">
        <v>523</v>
      </c>
      <c r="HO18" s="19">
        <v>261</v>
      </c>
      <c r="HP18" s="19">
        <v>260.5</v>
      </c>
      <c r="HQ18" s="19">
        <v>260</v>
      </c>
      <c r="HR18" s="19">
        <v>259</v>
      </c>
      <c r="HS18" s="19">
        <v>258</v>
      </c>
      <c r="HT18" s="19">
        <v>171.3</v>
      </c>
      <c r="HU18" s="19">
        <v>170.7</v>
      </c>
      <c r="HV18" s="19">
        <v>127.3</v>
      </c>
      <c r="HW18" s="19">
        <v>126.5</v>
      </c>
      <c r="HX18" s="19">
        <v>125.8</v>
      </c>
      <c r="HY18" s="19">
        <v>100</v>
      </c>
      <c r="HZ18" s="19">
        <v>99</v>
      </c>
      <c r="IA18" s="19">
        <v>98</v>
      </c>
      <c r="IB18" s="19">
        <v>121.3</v>
      </c>
    </row>
    <row r="19">
      <c r="A19" s="2" t="s">
        <v>333</v>
      </c>
      <c r="B19" s="2" t="s">
        <v>222</v>
      </c>
      <c r="C19" s="2" t="s">
        <v>223</v>
      </c>
      <c r="D19" s="2" t="s">
        <v>224</v>
      </c>
      <c r="E19" s="2" t="s">
        <v>225</v>
      </c>
      <c r="F19" s="2" t="s">
        <v>321</v>
      </c>
      <c r="G19" s="2" t="s">
        <v>321</v>
      </c>
      <c r="H19" s="2" t="s">
        <v>321</v>
      </c>
      <c r="I19" s="2" t="s">
        <v>322</v>
      </c>
      <c r="J19" s="2" t="s">
        <v>252</v>
      </c>
      <c r="K19" s="2" t="s">
        <v>266</v>
      </c>
      <c r="L19" s="3">
        <v>74.19</v>
      </c>
      <c r="M19" s="3">
        <v>77.9</v>
      </c>
      <c r="N19" s="3">
        <v>139.99</v>
      </c>
      <c r="O19" s="2" t="s">
        <v>230</v>
      </c>
      <c r="P19" s="2" t="s">
        <v>231</v>
      </c>
      <c r="Q19" s="2" t="s">
        <v>232</v>
      </c>
      <c r="R19" s="2" t="s">
        <v>233</v>
      </c>
      <c r="S19" s="2" t="s">
        <v>323</v>
      </c>
      <c r="T19" s="2" t="s">
        <v>235</v>
      </c>
      <c r="U19" s="2" t="s">
        <v>233</v>
      </c>
      <c r="V19" s="2" t="s">
        <v>236</v>
      </c>
      <c r="W19" s="2" t="s">
        <v>237</v>
      </c>
      <c r="X19" s="2" t="s">
        <v>233</v>
      </c>
      <c r="Y19" s="2" t="s">
        <v>238</v>
      </c>
      <c r="Z19" s="4">
        <v>261</v>
      </c>
      <c r="AA19" s="4">
        <f>=ROUNDDOWN(65.25,0)</f>
      </c>
      <c r="AB19" s="5">
        <v>4</v>
      </c>
      <c r="AC19" s="2" t="s">
        <v>233</v>
      </c>
      <c r="AD19" s="4"/>
      <c r="AE19" s="4"/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233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233</v>
      </c>
      <c r="AW19" s="8" t="s">
        <v>233</v>
      </c>
      <c r="AX19" s="4" t="s">
        <v>233</v>
      </c>
      <c r="AY19" s="8" t="s">
        <v>233</v>
      </c>
      <c r="AZ19" s="7" t="s">
        <v>233</v>
      </c>
      <c r="BA19" s="7" t="s">
        <v>233</v>
      </c>
      <c r="BB19" s="7"/>
      <c r="BC19" s="4" t="s">
        <v>233</v>
      </c>
      <c r="BD19" s="8" t="s">
        <v>233</v>
      </c>
      <c r="BE19" s="4" t="s">
        <v>233</v>
      </c>
      <c r="BF19" s="8" t="s">
        <v>233</v>
      </c>
      <c r="BG19" s="7" t="s">
        <v>233</v>
      </c>
      <c r="BH19" s="7" t="s">
        <v>233</v>
      </c>
      <c r="BI19" s="7"/>
      <c r="BJ19" s="4"/>
      <c r="BK19" s="8"/>
      <c r="BL19" s="2" t="s">
        <v>233</v>
      </c>
      <c r="BM19" s="7"/>
      <c r="BN19" s="7"/>
      <c r="BO19" s="4"/>
      <c r="BP19" s="8"/>
      <c r="BQ19" s="4"/>
      <c r="BR19" s="8"/>
      <c r="BS19" s="7"/>
      <c r="BT19" s="7"/>
      <c r="BU19" s="2" t="s">
        <v>325</v>
      </c>
      <c r="BV19" s="2" t="s">
        <v>233</v>
      </c>
      <c r="BW19" s="2" t="s">
        <v>233</v>
      </c>
      <c r="BX19" s="2" t="s">
        <v>241</v>
      </c>
      <c r="BY19" s="2" t="s">
        <v>242</v>
      </c>
      <c r="BZ19" s="2" t="s">
        <v>230</v>
      </c>
      <c r="CA19" s="2" t="s">
        <v>243</v>
      </c>
      <c r="CB19" s="2" t="s">
        <v>334</v>
      </c>
      <c r="CC19" s="2" t="s">
        <v>245</v>
      </c>
      <c r="CD19" s="2" t="s">
        <v>233</v>
      </c>
      <c r="CE19" s="4">
        <v>261</v>
      </c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>
        <v>261</v>
      </c>
      <c r="GD19" s="4">
        <v>257</v>
      </c>
      <c r="GE19" s="4">
        <v>251</v>
      </c>
      <c r="GF19" s="4">
        <v>246</v>
      </c>
      <c r="GG19" s="4">
        <v>237</v>
      </c>
      <c r="GH19" s="4">
        <v>230</v>
      </c>
      <c r="GI19" s="4">
        <v>223</v>
      </c>
      <c r="GJ19" s="4">
        <v>219</v>
      </c>
      <c r="GK19" s="4">
        <v>217</v>
      </c>
      <c r="GL19" s="4">
        <v>214</v>
      </c>
      <c r="GM19" s="4">
        <v>211</v>
      </c>
      <c r="GN19" s="4">
        <v>208</v>
      </c>
      <c r="GO19" s="4">
        <v>205</v>
      </c>
      <c r="GP19" s="4">
        <v>202</v>
      </c>
      <c r="GQ19" s="4">
        <v>200</v>
      </c>
      <c r="GR19" s="4">
        <v>196</v>
      </c>
      <c r="GS19" s="4">
        <v>192</v>
      </c>
      <c r="GT19" s="4">
        <v>188</v>
      </c>
      <c r="GU19" s="4">
        <v>184</v>
      </c>
      <c r="GV19" s="4">
        <v>180</v>
      </c>
      <c r="GW19" s="4">
        <v>176</v>
      </c>
      <c r="GX19" s="4">
        <v>172</v>
      </c>
      <c r="GY19" s="4">
        <v>168</v>
      </c>
      <c r="GZ19" s="4">
        <v>164</v>
      </c>
      <c r="HA19" s="4">
        <v>160</v>
      </c>
      <c r="HB19" s="4">
        <v>156</v>
      </c>
      <c r="HC19" s="19">
        <v>43.5</v>
      </c>
      <c r="HD19" s="19">
        <v>36.7</v>
      </c>
      <c r="HE19" s="19">
        <v>35.9</v>
      </c>
      <c r="HF19" s="19">
        <v>35.1</v>
      </c>
      <c r="HG19" s="19">
        <v>47.4</v>
      </c>
      <c r="HH19" s="19">
        <v>57.5</v>
      </c>
      <c r="HI19" s="19">
        <v>74.3</v>
      </c>
      <c r="HJ19" s="19">
        <v>73</v>
      </c>
      <c r="HK19" s="19">
        <v>72.3</v>
      </c>
      <c r="HL19" s="19">
        <v>71.3</v>
      </c>
      <c r="HM19" s="19">
        <v>70.3</v>
      </c>
      <c r="HN19" s="19">
        <v>69.3</v>
      </c>
      <c r="HO19" s="19">
        <v>68.3</v>
      </c>
      <c r="HP19" s="19">
        <v>50.5</v>
      </c>
      <c r="HQ19" s="19">
        <v>50</v>
      </c>
      <c r="HR19" s="19">
        <v>49</v>
      </c>
      <c r="HS19" s="19">
        <v>48</v>
      </c>
      <c r="HT19" s="19">
        <v>47</v>
      </c>
      <c r="HU19" s="19">
        <v>46</v>
      </c>
      <c r="HV19" s="19">
        <v>45</v>
      </c>
      <c r="HW19" s="19">
        <v>44</v>
      </c>
      <c r="HX19" s="19">
        <v>43</v>
      </c>
      <c r="HY19" s="19">
        <v>42</v>
      </c>
      <c r="HZ19" s="19">
        <v>41</v>
      </c>
      <c r="IA19" s="19">
        <v>40</v>
      </c>
      <c r="IB19" s="19">
        <v>39</v>
      </c>
    </row>
    <row r="20">
      <c r="A20" s="2" t="s">
        <v>335</v>
      </c>
      <c r="B20" s="2" t="s">
        <v>222</v>
      </c>
      <c r="C20" s="2" t="s">
        <v>223</v>
      </c>
      <c r="D20" s="2" t="s">
        <v>224</v>
      </c>
      <c r="E20" s="2" t="s">
        <v>225</v>
      </c>
      <c r="F20" s="2" t="s">
        <v>321</v>
      </c>
      <c r="G20" s="2" t="s">
        <v>321</v>
      </c>
      <c r="H20" s="2" t="s">
        <v>321</v>
      </c>
      <c r="I20" s="2" t="s">
        <v>322</v>
      </c>
      <c r="J20" s="2" t="s">
        <v>336</v>
      </c>
      <c r="K20" s="2" t="s">
        <v>266</v>
      </c>
      <c r="L20" s="3">
        <v>84.79</v>
      </c>
      <c r="M20" s="3">
        <v>89.03</v>
      </c>
      <c r="N20" s="3">
        <v>159.99</v>
      </c>
      <c r="O20" s="2" t="s">
        <v>230</v>
      </c>
      <c r="P20" s="2" t="s">
        <v>231</v>
      </c>
      <c r="Q20" s="2" t="s">
        <v>232</v>
      </c>
      <c r="R20" s="2" t="s">
        <v>233</v>
      </c>
      <c r="S20" s="2" t="s">
        <v>323</v>
      </c>
      <c r="T20" s="2" t="s">
        <v>235</v>
      </c>
      <c r="U20" s="2" t="s">
        <v>233</v>
      </c>
      <c r="V20" s="2" t="s">
        <v>236</v>
      </c>
      <c r="W20" s="2" t="s">
        <v>237</v>
      </c>
      <c r="X20" s="2" t="s">
        <v>233</v>
      </c>
      <c r="Y20" s="2" t="s">
        <v>238</v>
      </c>
      <c r="Z20" s="4">
        <v>221</v>
      </c>
      <c r="AA20" s="4">
        <f>=ROUNDDOWN(36.8333333333333,0)</f>
      </c>
      <c r="AB20" s="5">
        <v>6</v>
      </c>
      <c r="AC20" s="2" t="s">
        <v>233</v>
      </c>
      <c r="AD20" s="4"/>
      <c r="AE20" s="4"/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233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233</v>
      </c>
      <c r="AW20" s="8" t="s">
        <v>233</v>
      </c>
      <c r="AX20" s="4" t="s">
        <v>233</v>
      </c>
      <c r="AY20" s="8" t="s">
        <v>233</v>
      </c>
      <c r="AZ20" s="7" t="s">
        <v>233</v>
      </c>
      <c r="BA20" s="7" t="s">
        <v>233</v>
      </c>
      <c r="BB20" s="7"/>
      <c r="BC20" s="4" t="s">
        <v>233</v>
      </c>
      <c r="BD20" s="8" t="s">
        <v>233</v>
      </c>
      <c r="BE20" s="4" t="s">
        <v>233</v>
      </c>
      <c r="BF20" s="8" t="s">
        <v>233</v>
      </c>
      <c r="BG20" s="7" t="s">
        <v>233</v>
      </c>
      <c r="BH20" s="7" t="s">
        <v>233</v>
      </c>
      <c r="BI20" s="7"/>
      <c r="BJ20" s="4">
        <v>9</v>
      </c>
      <c r="BK20" s="8">
        <v>806.46</v>
      </c>
      <c r="BL20" s="2" t="s">
        <v>337</v>
      </c>
      <c r="BM20" s="7"/>
      <c r="BN20" s="7"/>
      <c r="BO20" s="4"/>
      <c r="BP20" s="8"/>
      <c r="BQ20" s="4"/>
      <c r="BR20" s="8"/>
      <c r="BS20" s="7"/>
      <c r="BT20" s="7"/>
      <c r="BU20" s="2" t="s">
        <v>325</v>
      </c>
      <c r="BV20" s="2" t="s">
        <v>233</v>
      </c>
      <c r="BW20" s="2" t="s">
        <v>233</v>
      </c>
      <c r="BX20" s="2" t="s">
        <v>241</v>
      </c>
      <c r="BY20" s="2" t="s">
        <v>242</v>
      </c>
      <c r="BZ20" s="2" t="s">
        <v>230</v>
      </c>
      <c r="CA20" s="2" t="s">
        <v>243</v>
      </c>
      <c r="CB20" s="2" t="s">
        <v>338</v>
      </c>
      <c r="CC20" s="2" t="s">
        <v>245</v>
      </c>
      <c r="CD20" s="2" t="s">
        <v>233</v>
      </c>
      <c r="CE20" s="4">
        <v>221</v>
      </c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>
        <v>222</v>
      </c>
      <c r="GD20" s="4">
        <v>215</v>
      </c>
      <c r="GE20" s="4">
        <v>206</v>
      </c>
      <c r="GF20" s="4">
        <v>198</v>
      </c>
      <c r="GG20" s="4">
        <v>185</v>
      </c>
      <c r="GH20" s="4">
        <v>178</v>
      </c>
      <c r="GI20" s="4">
        <v>170</v>
      </c>
      <c r="GJ20" s="4">
        <v>166</v>
      </c>
      <c r="GK20" s="4">
        <v>163</v>
      </c>
      <c r="GL20" s="4">
        <v>159</v>
      </c>
      <c r="GM20" s="4">
        <v>156</v>
      </c>
      <c r="GN20" s="4">
        <v>152</v>
      </c>
      <c r="GO20" s="4">
        <v>148</v>
      </c>
      <c r="GP20" s="4">
        <v>144</v>
      </c>
      <c r="GQ20" s="4">
        <v>141</v>
      </c>
      <c r="GR20" s="4">
        <v>137</v>
      </c>
      <c r="GS20" s="4">
        <v>133</v>
      </c>
      <c r="GT20" s="4">
        <v>129</v>
      </c>
      <c r="GU20" s="4">
        <v>125</v>
      </c>
      <c r="GV20" s="4">
        <v>119</v>
      </c>
      <c r="GW20" s="4">
        <v>113</v>
      </c>
      <c r="GX20" s="4">
        <v>107</v>
      </c>
      <c r="GY20" s="4">
        <v>101</v>
      </c>
      <c r="GZ20" s="4">
        <v>94</v>
      </c>
      <c r="HA20" s="4">
        <v>87</v>
      </c>
      <c r="HB20" s="4">
        <v>80</v>
      </c>
      <c r="HC20" s="19">
        <v>24.7</v>
      </c>
      <c r="HD20" s="19">
        <v>23.9</v>
      </c>
      <c r="HE20" s="19">
        <v>22.9</v>
      </c>
      <c r="HF20" s="19">
        <v>24.8</v>
      </c>
      <c r="HG20" s="19">
        <v>30.8</v>
      </c>
      <c r="HH20" s="19">
        <v>35.6</v>
      </c>
      <c r="HI20" s="19">
        <v>42.5</v>
      </c>
      <c r="HJ20" s="19">
        <v>41.5</v>
      </c>
      <c r="HK20" s="19">
        <v>40.8</v>
      </c>
      <c r="HL20" s="19">
        <v>39.8</v>
      </c>
      <c r="HM20" s="19">
        <v>39</v>
      </c>
      <c r="HN20" s="19">
        <v>38</v>
      </c>
      <c r="HO20" s="19">
        <v>37</v>
      </c>
      <c r="HP20" s="19">
        <v>36</v>
      </c>
      <c r="HQ20" s="19">
        <v>35.3</v>
      </c>
      <c r="HR20" s="19">
        <v>34.3</v>
      </c>
      <c r="HS20" s="19">
        <v>26.6</v>
      </c>
      <c r="HT20" s="19">
        <v>21.5</v>
      </c>
      <c r="HU20" s="19">
        <v>20.8</v>
      </c>
      <c r="HV20" s="19">
        <v>19.8</v>
      </c>
      <c r="HW20" s="19">
        <v>18.8</v>
      </c>
      <c r="HX20" s="19">
        <v>15.3</v>
      </c>
      <c r="HY20" s="19">
        <v>14.4</v>
      </c>
      <c r="HZ20" s="19">
        <v>13.4</v>
      </c>
      <c r="IA20" s="19">
        <v>14.5</v>
      </c>
      <c r="IB20" s="19">
        <v>13.3</v>
      </c>
    </row>
    <row r="21">
      <c r="A21" s="2" t="s">
        <v>339</v>
      </c>
      <c r="B21" s="2" t="s">
        <v>222</v>
      </c>
      <c r="C21" s="2" t="s">
        <v>223</v>
      </c>
      <c r="D21" s="2" t="s">
        <v>224</v>
      </c>
      <c r="E21" s="2" t="s">
        <v>225</v>
      </c>
      <c r="F21" s="2" t="s">
        <v>321</v>
      </c>
      <c r="G21" s="2" t="s">
        <v>321</v>
      </c>
      <c r="H21" s="2" t="s">
        <v>321</v>
      </c>
      <c r="I21" s="2" t="s">
        <v>322</v>
      </c>
      <c r="J21" s="2" t="s">
        <v>256</v>
      </c>
      <c r="K21" s="2" t="s">
        <v>266</v>
      </c>
      <c r="L21" s="3">
        <v>100.69</v>
      </c>
      <c r="M21" s="3">
        <v>105.72</v>
      </c>
      <c r="N21" s="3">
        <v>189.99</v>
      </c>
      <c r="O21" s="2" t="s">
        <v>230</v>
      </c>
      <c r="P21" s="2" t="s">
        <v>231</v>
      </c>
      <c r="Q21" s="2" t="s">
        <v>232</v>
      </c>
      <c r="R21" s="2" t="s">
        <v>233</v>
      </c>
      <c r="S21" s="2" t="s">
        <v>323</v>
      </c>
      <c r="T21" s="2" t="s">
        <v>235</v>
      </c>
      <c r="U21" s="2" t="s">
        <v>233</v>
      </c>
      <c r="V21" s="2" t="s">
        <v>236</v>
      </c>
      <c r="W21" s="2" t="s">
        <v>237</v>
      </c>
      <c r="X21" s="2" t="s">
        <v>233</v>
      </c>
      <c r="Y21" s="2" t="s">
        <v>238</v>
      </c>
      <c r="Z21" s="4">
        <v>238</v>
      </c>
      <c r="AA21" s="4">
        <f>=ROUNDDOWN(47.6,0)</f>
      </c>
      <c r="AB21" s="5">
        <v>5</v>
      </c>
      <c r="AC21" s="2" t="s">
        <v>233</v>
      </c>
      <c r="AD21" s="4"/>
      <c r="AE21" s="4"/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233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233</v>
      </c>
      <c r="AW21" s="8" t="s">
        <v>233</v>
      </c>
      <c r="AX21" s="4" t="s">
        <v>233</v>
      </c>
      <c r="AY21" s="8" t="s">
        <v>233</v>
      </c>
      <c r="AZ21" s="7" t="s">
        <v>233</v>
      </c>
      <c r="BA21" s="7" t="s">
        <v>233</v>
      </c>
      <c r="BB21" s="7"/>
      <c r="BC21" s="4" t="s">
        <v>233</v>
      </c>
      <c r="BD21" s="8" t="s">
        <v>233</v>
      </c>
      <c r="BE21" s="4" t="s">
        <v>233</v>
      </c>
      <c r="BF21" s="8" t="s">
        <v>233</v>
      </c>
      <c r="BG21" s="7" t="s">
        <v>233</v>
      </c>
      <c r="BH21" s="7" t="s">
        <v>233</v>
      </c>
      <c r="BI21" s="7"/>
      <c r="BJ21" s="4">
        <v>6</v>
      </c>
      <c r="BK21" s="8">
        <v>693.89</v>
      </c>
      <c r="BL21" s="2" t="s">
        <v>340</v>
      </c>
      <c r="BM21" s="7"/>
      <c r="BN21" s="7"/>
      <c r="BO21" s="4"/>
      <c r="BP21" s="8"/>
      <c r="BQ21" s="4"/>
      <c r="BR21" s="8"/>
      <c r="BS21" s="7"/>
      <c r="BT21" s="7"/>
      <c r="BU21" s="2" t="s">
        <v>325</v>
      </c>
      <c r="BV21" s="2" t="s">
        <v>233</v>
      </c>
      <c r="BW21" s="2" t="s">
        <v>233</v>
      </c>
      <c r="BX21" s="2" t="s">
        <v>241</v>
      </c>
      <c r="BY21" s="2" t="s">
        <v>242</v>
      </c>
      <c r="BZ21" s="2" t="s">
        <v>230</v>
      </c>
      <c r="CA21" s="2" t="s">
        <v>243</v>
      </c>
      <c r="CB21" s="2" t="s">
        <v>341</v>
      </c>
      <c r="CC21" s="2" t="s">
        <v>245</v>
      </c>
      <c r="CD21" s="2" t="s">
        <v>233</v>
      </c>
      <c r="CE21" s="4">
        <v>238</v>
      </c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>
        <v>238</v>
      </c>
      <c r="GD21" s="4">
        <v>232</v>
      </c>
      <c r="GE21" s="4">
        <v>224</v>
      </c>
      <c r="GF21" s="4">
        <v>217</v>
      </c>
      <c r="GG21" s="4">
        <v>204</v>
      </c>
      <c r="GH21" s="4">
        <v>197</v>
      </c>
      <c r="GI21" s="4">
        <v>190</v>
      </c>
      <c r="GJ21" s="4">
        <v>186</v>
      </c>
      <c r="GK21" s="4">
        <v>183</v>
      </c>
      <c r="GL21" s="4">
        <v>179</v>
      </c>
      <c r="GM21" s="4">
        <v>176</v>
      </c>
      <c r="GN21" s="4">
        <v>173</v>
      </c>
      <c r="GO21" s="4">
        <v>170</v>
      </c>
      <c r="GP21" s="4">
        <v>167</v>
      </c>
      <c r="GQ21" s="4">
        <v>164</v>
      </c>
      <c r="GR21" s="4">
        <v>158</v>
      </c>
      <c r="GS21" s="4">
        <v>152</v>
      </c>
      <c r="GT21" s="4">
        <v>146</v>
      </c>
      <c r="GU21" s="4">
        <v>140</v>
      </c>
      <c r="GV21" s="4">
        <v>134</v>
      </c>
      <c r="GW21" s="4">
        <v>128</v>
      </c>
      <c r="GX21" s="4">
        <v>122</v>
      </c>
      <c r="GY21" s="4">
        <v>116</v>
      </c>
      <c r="GZ21" s="4">
        <v>110</v>
      </c>
      <c r="HA21" s="4">
        <v>104</v>
      </c>
      <c r="HB21" s="4">
        <v>98</v>
      </c>
      <c r="HC21" s="19">
        <v>29.8</v>
      </c>
      <c r="HD21" s="19">
        <v>25.8</v>
      </c>
      <c r="HE21" s="19">
        <v>28</v>
      </c>
      <c r="HF21" s="19">
        <v>27.1</v>
      </c>
      <c r="HG21" s="19">
        <v>40.8</v>
      </c>
      <c r="HH21" s="19">
        <v>49.3</v>
      </c>
      <c r="HI21" s="19">
        <v>47.5</v>
      </c>
      <c r="HJ21" s="19">
        <v>62</v>
      </c>
      <c r="HK21" s="19">
        <v>61</v>
      </c>
      <c r="HL21" s="19">
        <v>59.7</v>
      </c>
      <c r="HM21" s="19">
        <v>58.7</v>
      </c>
      <c r="HN21" s="19">
        <v>43.3</v>
      </c>
      <c r="HO21" s="19">
        <v>42.5</v>
      </c>
      <c r="HP21" s="19">
        <v>33.4</v>
      </c>
      <c r="HQ21" s="19">
        <v>27.3</v>
      </c>
      <c r="HR21" s="19">
        <v>26.3</v>
      </c>
      <c r="HS21" s="19">
        <v>25.3</v>
      </c>
      <c r="HT21" s="19">
        <v>24.3</v>
      </c>
      <c r="HU21" s="19">
        <v>23.3</v>
      </c>
      <c r="HV21" s="19">
        <v>22.3</v>
      </c>
      <c r="HW21" s="19">
        <v>21.3</v>
      </c>
      <c r="HX21" s="19">
        <v>20.3</v>
      </c>
      <c r="HY21" s="19">
        <v>19.3</v>
      </c>
      <c r="HZ21" s="19">
        <v>18.3</v>
      </c>
      <c r="IA21" s="19">
        <v>17.3</v>
      </c>
      <c r="IB21" s="19">
        <v>19.6</v>
      </c>
    </row>
    <row r="22">
      <c r="A22" s="2" t="s">
        <v>342</v>
      </c>
      <c r="B22" s="2" t="s">
        <v>279</v>
      </c>
      <c r="C22" s="2" t="s">
        <v>343</v>
      </c>
      <c r="D22" s="2" t="s">
        <v>281</v>
      </c>
      <c r="E22" s="2" t="s">
        <v>282</v>
      </c>
      <c r="F22" s="2" t="s">
        <v>344</v>
      </c>
      <c r="G22" s="2" t="s">
        <v>344</v>
      </c>
      <c r="H22" s="2" t="s">
        <v>344</v>
      </c>
      <c r="I22" s="2" t="s">
        <v>345</v>
      </c>
      <c r="J22" s="2" t="s">
        <v>252</v>
      </c>
      <c r="K22" s="2" t="s">
        <v>346</v>
      </c>
      <c r="L22" s="3">
        <v>23.75</v>
      </c>
      <c r="M22" s="3">
        <v>24.94</v>
      </c>
      <c r="N22" s="3">
        <v>49.99</v>
      </c>
      <c r="O22" s="2" t="s">
        <v>230</v>
      </c>
      <c r="P22" s="2" t="s">
        <v>231</v>
      </c>
      <c r="Q22" s="2" t="s">
        <v>232</v>
      </c>
      <c r="R22" s="2" t="s">
        <v>233</v>
      </c>
      <c r="S22" s="2" t="s">
        <v>347</v>
      </c>
      <c r="T22" s="2" t="s">
        <v>348</v>
      </c>
      <c r="U22" s="2" t="s">
        <v>287</v>
      </c>
      <c r="V22" s="2" t="s">
        <v>349</v>
      </c>
      <c r="W22" s="2" t="s">
        <v>237</v>
      </c>
      <c r="X22" s="2" t="s">
        <v>233</v>
      </c>
      <c r="Y22" s="2" t="s">
        <v>350</v>
      </c>
      <c r="Z22" s="4"/>
      <c r="AA22" s="4">
        <f>=ROUNDDOWN({0},0)</f>
      </c>
      <c r="AB22" s="5">
        <v>9</v>
      </c>
      <c r="AC22" s="2" t="s">
        <v>154</v>
      </c>
      <c r="AD22" s="4">
        <v>150</v>
      </c>
      <c r="AE22" s="4">
        <v>270</v>
      </c>
      <c r="AF22" s="6">
        <v>70</v>
      </c>
      <c r="AG22" s="6"/>
      <c r="AH22" s="7">
        <v>0</v>
      </c>
      <c r="AI22" s="4"/>
      <c r="AJ22" s="4">
        <f>=ROUNDDOWN({0},0)</f>
      </c>
      <c r="AK22" s="5"/>
      <c r="AL22" s="2" t="s">
        <v>233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233</v>
      </c>
      <c r="AW22" s="8" t="s">
        <v>233</v>
      </c>
      <c r="AX22" s="4" t="s">
        <v>233</v>
      </c>
      <c r="AY22" s="8" t="s">
        <v>233</v>
      </c>
      <c r="AZ22" s="7" t="s">
        <v>233</v>
      </c>
      <c r="BA22" s="7" t="s">
        <v>233</v>
      </c>
      <c r="BB22" s="7"/>
      <c r="BC22" s="4" t="s">
        <v>233</v>
      </c>
      <c r="BD22" s="8" t="s">
        <v>233</v>
      </c>
      <c r="BE22" s="4" t="s">
        <v>233</v>
      </c>
      <c r="BF22" s="8" t="s">
        <v>233</v>
      </c>
      <c r="BG22" s="7" t="s">
        <v>233</v>
      </c>
      <c r="BH22" s="7" t="s">
        <v>233</v>
      </c>
      <c r="BI22" s="7"/>
      <c r="BJ22" s="4">
        <v>5</v>
      </c>
      <c r="BK22" s="8">
        <v>136.55</v>
      </c>
      <c r="BL22" s="2" t="s">
        <v>351</v>
      </c>
      <c r="BM22" s="7"/>
      <c r="BN22" s="7"/>
      <c r="BO22" s="4"/>
      <c r="BP22" s="8"/>
      <c r="BQ22" s="4"/>
      <c r="BR22" s="8"/>
      <c r="BS22" s="7"/>
      <c r="BT22" s="7"/>
      <c r="BU22" s="2" t="s">
        <v>352</v>
      </c>
      <c r="BV22" s="2" t="s">
        <v>233</v>
      </c>
      <c r="BW22" s="2" t="s">
        <v>233</v>
      </c>
      <c r="BX22" s="2" t="s">
        <v>241</v>
      </c>
      <c r="BY22" s="2" t="s">
        <v>242</v>
      </c>
      <c r="BZ22" s="2" t="s">
        <v>230</v>
      </c>
      <c r="CA22" s="2" t="s">
        <v>353</v>
      </c>
      <c r="CB22" s="2" t="s">
        <v>354</v>
      </c>
      <c r="CC22" s="2" t="s">
        <v>245</v>
      </c>
      <c r="CD22" s="2" t="s">
        <v>233</v>
      </c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>
        <v>150</v>
      </c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>
        <v>40</v>
      </c>
      <c r="EC22" s="4"/>
      <c r="ED22" s="4"/>
      <c r="EE22" s="4"/>
      <c r="EF22" s="4"/>
      <c r="EG22" s="4"/>
      <c r="EH22" s="4"/>
      <c r="EI22" s="4"/>
      <c r="EJ22" s="4"/>
      <c r="EK22" s="4"/>
      <c r="EL22" s="4">
        <v>40</v>
      </c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>
        <v>40</v>
      </c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>
        <v>150</v>
      </c>
      <c r="GI22" s="4">
        <v>117</v>
      </c>
      <c r="GJ22" s="4">
        <v>147</v>
      </c>
      <c r="GK22" s="4">
        <v>179</v>
      </c>
      <c r="GL22" s="4">
        <v>170</v>
      </c>
      <c r="GM22" s="4">
        <v>161</v>
      </c>
      <c r="GN22" s="4">
        <v>152</v>
      </c>
      <c r="GO22" s="4">
        <v>143</v>
      </c>
      <c r="GP22" s="4">
        <v>134</v>
      </c>
      <c r="GQ22" s="4">
        <v>125</v>
      </c>
      <c r="GR22" s="4">
        <v>116</v>
      </c>
      <c r="GS22" s="4">
        <v>147</v>
      </c>
      <c r="GT22" s="4">
        <v>138</v>
      </c>
      <c r="GU22" s="4">
        <v>129</v>
      </c>
      <c r="GV22" s="4">
        <v>120</v>
      </c>
      <c r="GW22" s="4">
        <v>111</v>
      </c>
      <c r="GX22" s="4">
        <v>102</v>
      </c>
      <c r="GY22" s="4">
        <v>93</v>
      </c>
      <c r="GZ22" s="4">
        <v>84</v>
      </c>
      <c r="HA22" s="4">
        <v>75</v>
      </c>
      <c r="HB22" s="4">
        <v>66</v>
      </c>
      <c r="HC22" s="20">
        <v>0</v>
      </c>
      <c r="HD22" s="20">
        <v>0</v>
      </c>
      <c r="HE22" s="20">
        <v>0</v>
      </c>
      <c r="HF22" s="20">
        <v>0</v>
      </c>
      <c r="HG22" s="20">
        <v>0</v>
      </c>
      <c r="HH22" s="19">
        <v>10</v>
      </c>
      <c r="HI22" s="19">
        <v>13</v>
      </c>
      <c r="HJ22" s="19">
        <v>16.3</v>
      </c>
      <c r="HK22" s="19">
        <v>19.9</v>
      </c>
      <c r="HL22" s="19">
        <v>18.9</v>
      </c>
      <c r="HM22" s="19">
        <v>17.9</v>
      </c>
      <c r="HN22" s="19">
        <v>16.9</v>
      </c>
      <c r="HO22" s="19">
        <v>15.9</v>
      </c>
      <c r="HP22" s="19">
        <v>14.9</v>
      </c>
      <c r="HQ22" s="19">
        <v>13.9</v>
      </c>
      <c r="HR22" s="19">
        <v>12.9</v>
      </c>
      <c r="HS22" s="19">
        <v>16.3</v>
      </c>
      <c r="HT22" s="19">
        <v>15.3</v>
      </c>
      <c r="HU22" s="19">
        <v>14.3</v>
      </c>
      <c r="HV22" s="19">
        <v>13.3</v>
      </c>
      <c r="HW22" s="19">
        <v>12.3</v>
      </c>
      <c r="HX22" s="19">
        <v>11.3</v>
      </c>
      <c r="HY22" s="19">
        <v>10.3</v>
      </c>
      <c r="HZ22" s="19">
        <v>9.3</v>
      </c>
      <c r="IA22" s="19">
        <v>8.3</v>
      </c>
      <c r="IB22" s="19">
        <v>7.3</v>
      </c>
    </row>
    <row r="23">
      <c r="A23" s="2" t="s">
        <v>355</v>
      </c>
      <c r="B23" s="2" t="s">
        <v>279</v>
      </c>
      <c r="C23" s="2" t="s">
        <v>343</v>
      </c>
      <c r="D23" s="2" t="s">
        <v>281</v>
      </c>
      <c r="E23" s="2" t="s">
        <v>282</v>
      </c>
      <c r="F23" s="2" t="s">
        <v>344</v>
      </c>
      <c r="G23" s="2" t="s">
        <v>344</v>
      </c>
      <c r="H23" s="2" t="s">
        <v>344</v>
      </c>
      <c r="I23" s="2" t="s">
        <v>345</v>
      </c>
      <c r="J23" s="2" t="s">
        <v>256</v>
      </c>
      <c r="K23" s="2" t="s">
        <v>346</v>
      </c>
      <c r="L23" s="3">
        <v>28.5</v>
      </c>
      <c r="M23" s="3">
        <v>29.93</v>
      </c>
      <c r="N23" s="3">
        <v>59.99</v>
      </c>
      <c r="O23" s="2" t="s">
        <v>230</v>
      </c>
      <c r="P23" s="2" t="s">
        <v>231</v>
      </c>
      <c r="Q23" s="2" t="s">
        <v>232</v>
      </c>
      <c r="R23" s="2" t="s">
        <v>233</v>
      </c>
      <c r="S23" s="2" t="s">
        <v>347</v>
      </c>
      <c r="T23" s="2" t="s">
        <v>348</v>
      </c>
      <c r="U23" s="2" t="s">
        <v>287</v>
      </c>
      <c r="V23" s="2" t="s">
        <v>349</v>
      </c>
      <c r="W23" s="2" t="s">
        <v>237</v>
      </c>
      <c r="X23" s="2" t="s">
        <v>233</v>
      </c>
      <c r="Y23" s="2" t="s">
        <v>350</v>
      </c>
      <c r="Z23" s="4">
        <v>31</v>
      </c>
      <c r="AA23" s="4">
        <f>=ROUNDDOWN(6.2,0)</f>
      </c>
      <c r="AB23" s="5">
        <v>5</v>
      </c>
      <c r="AC23" s="2" t="s">
        <v>166</v>
      </c>
      <c r="AD23" s="4">
        <v>30</v>
      </c>
      <c r="AE23" s="4">
        <v>330</v>
      </c>
      <c r="AF23" s="6">
        <v>70</v>
      </c>
      <c r="AG23" s="6"/>
      <c r="AH23" s="7">
        <v>1</v>
      </c>
      <c r="AI23" s="4"/>
      <c r="AJ23" s="4">
        <f>=ROUNDDOWN({0},0)</f>
      </c>
      <c r="AK23" s="5"/>
      <c r="AL23" s="2" t="s">
        <v>233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233</v>
      </c>
      <c r="AW23" s="8" t="s">
        <v>233</v>
      </c>
      <c r="AX23" s="4" t="s">
        <v>233</v>
      </c>
      <c r="AY23" s="8" t="s">
        <v>233</v>
      </c>
      <c r="AZ23" s="7" t="s">
        <v>233</v>
      </c>
      <c r="BA23" s="7" t="s">
        <v>233</v>
      </c>
      <c r="BB23" s="7"/>
      <c r="BC23" s="4" t="s">
        <v>233</v>
      </c>
      <c r="BD23" s="8" t="s">
        <v>233</v>
      </c>
      <c r="BE23" s="4" t="s">
        <v>233</v>
      </c>
      <c r="BF23" s="8" t="s">
        <v>233</v>
      </c>
      <c r="BG23" s="7" t="s">
        <v>233</v>
      </c>
      <c r="BH23" s="7" t="s">
        <v>233</v>
      </c>
      <c r="BI23" s="7"/>
      <c r="BJ23" s="4">
        <v>25</v>
      </c>
      <c r="BK23" s="8">
        <v>800.9</v>
      </c>
      <c r="BL23" s="2" t="s">
        <v>356</v>
      </c>
      <c r="BM23" s="7"/>
      <c r="BN23" s="7"/>
      <c r="BO23" s="4"/>
      <c r="BP23" s="8"/>
      <c r="BQ23" s="4"/>
      <c r="BR23" s="8"/>
      <c r="BS23" s="7"/>
      <c r="BT23" s="7"/>
      <c r="BU23" s="2" t="s">
        <v>352</v>
      </c>
      <c r="BV23" s="2" t="s">
        <v>233</v>
      </c>
      <c r="BW23" s="2" t="s">
        <v>233</v>
      </c>
      <c r="BX23" s="2" t="s">
        <v>241</v>
      </c>
      <c r="BY23" s="2" t="s">
        <v>242</v>
      </c>
      <c r="BZ23" s="2" t="s">
        <v>230</v>
      </c>
      <c r="CA23" s="2" t="s">
        <v>353</v>
      </c>
      <c r="CB23" s="2" t="s">
        <v>357</v>
      </c>
      <c r="CC23" s="2" t="s">
        <v>245</v>
      </c>
      <c r="CD23" s="2" t="s">
        <v>233</v>
      </c>
      <c r="CE23" s="4">
        <v>31</v>
      </c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>
        <v>30</v>
      </c>
      <c r="EC23" s="4"/>
      <c r="ED23" s="4"/>
      <c r="EE23" s="4"/>
      <c r="EF23" s="4"/>
      <c r="EG23" s="4"/>
      <c r="EH23" s="4"/>
      <c r="EI23" s="4"/>
      <c r="EJ23" s="4"/>
      <c r="EK23" s="4"/>
      <c r="EL23" s="4">
        <v>200</v>
      </c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>
        <v>100</v>
      </c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>
        <v>37</v>
      </c>
      <c r="GD23" s="4">
        <v>31</v>
      </c>
      <c r="GE23" s="4">
        <v>27</v>
      </c>
      <c r="GF23" s="4">
        <v>22</v>
      </c>
      <c r="GG23" s="4">
        <v>11</v>
      </c>
      <c r="GH23" s="4">
        <v>1</v>
      </c>
      <c r="GI23" s="4"/>
      <c r="GJ23" s="4">
        <v>30</v>
      </c>
      <c r="GK23" s="4">
        <v>227</v>
      </c>
      <c r="GL23" s="4">
        <v>222</v>
      </c>
      <c r="GM23" s="4">
        <v>217</v>
      </c>
      <c r="GN23" s="4">
        <v>212</v>
      </c>
      <c r="GO23" s="4">
        <v>207</v>
      </c>
      <c r="GP23" s="4">
        <v>202</v>
      </c>
      <c r="GQ23" s="4">
        <v>197</v>
      </c>
      <c r="GR23" s="4">
        <v>192</v>
      </c>
      <c r="GS23" s="4">
        <v>287</v>
      </c>
      <c r="GT23" s="4">
        <v>282</v>
      </c>
      <c r="GU23" s="4">
        <v>277</v>
      </c>
      <c r="GV23" s="4">
        <v>272</v>
      </c>
      <c r="GW23" s="4">
        <v>267</v>
      </c>
      <c r="GX23" s="4">
        <v>262</v>
      </c>
      <c r="GY23" s="4">
        <v>257</v>
      </c>
      <c r="GZ23" s="4">
        <v>252</v>
      </c>
      <c r="HA23" s="4">
        <v>247</v>
      </c>
      <c r="HB23" s="4">
        <v>242</v>
      </c>
      <c r="HC23" s="19">
        <v>6.2</v>
      </c>
      <c r="HD23" s="19">
        <v>3.9</v>
      </c>
      <c r="HE23" s="19">
        <v>3.4</v>
      </c>
      <c r="HF23" s="19">
        <v>2.8</v>
      </c>
      <c r="HG23" s="19">
        <v>1.8</v>
      </c>
      <c r="HH23" s="19">
        <v>0.2</v>
      </c>
      <c r="HI23" s="20">
        <v>0</v>
      </c>
      <c r="HJ23" s="19">
        <v>7.5</v>
      </c>
      <c r="HK23" s="19">
        <v>45.4</v>
      </c>
      <c r="HL23" s="19">
        <v>44.4</v>
      </c>
      <c r="HM23" s="19">
        <v>43.4</v>
      </c>
      <c r="HN23" s="19">
        <v>42.4</v>
      </c>
      <c r="HO23" s="19">
        <v>41.4</v>
      </c>
      <c r="HP23" s="19">
        <v>40.4</v>
      </c>
      <c r="HQ23" s="19">
        <v>39.4</v>
      </c>
      <c r="HR23" s="19">
        <v>38.4</v>
      </c>
      <c r="HS23" s="19">
        <v>57.4</v>
      </c>
      <c r="HT23" s="19">
        <v>56.4</v>
      </c>
      <c r="HU23" s="19">
        <v>55.4</v>
      </c>
      <c r="HV23" s="19">
        <v>54.4</v>
      </c>
      <c r="HW23" s="19">
        <v>53.4</v>
      </c>
      <c r="HX23" s="19">
        <v>52.4</v>
      </c>
      <c r="HY23" s="19">
        <v>51.4</v>
      </c>
      <c r="HZ23" s="19">
        <v>50.4</v>
      </c>
      <c r="IA23" s="19">
        <v>49.4</v>
      </c>
      <c r="IB23" s="19">
        <v>48.4</v>
      </c>
    </row>
    <row r="24">
      <c r="A24" s="2" t="s">
        <v>358</v>
      </c>
      <c r="B24" s="2" t="s">
        <v>279</v>
      </c>
      <c r="C24" s="2" t="s">
        <v>343</v>
      </c>
      <c r="D24" s="2" t="s">
        <v>281</v>
      </c>
      <c r="E24" s="2" t="s">
        <v>282</v>
      </c>
      <c r="F24" s="2" t="s">
        <v>344</v>
      </c>
      <c r="G24" s="2" t="s">
        <v>344</v>
      </c>
      <c r="H24" s="2" t="s">
        <v>344</v>
      </c>
      <c r="I24" s="2" t="s">
        <v>345</v>
      </c>
      <c r="J24" s="2" t="s">
        <v>252</v>
      </c>
      <c r="K24" s="2" t="s">
        <v>359</v>
      </c>
      <c r="L24" s="3">
        <v>23.75</v>
      </c>
      <c r="M24" s="3">
        <v>24.94</v>
      </c>
      <c r="N24" s="3">
        <v>49.99</v>
      </c>
      <c r="O24" s="2" t="s">
        <v>230</v>
      </c>
      <c r="P24" s="2" t="s">
        <v>231</v>
      </c>
      <c r="Q24" s="2" t="s">
        <v>232</v>
      </c>
      <c r="R24" s="2" t="s">
        <v>233</v>
      </c>
      <c r="S24" s="2" t="s">
        <v>360</v>
      </c>
      <c r="T24" s="2" t="s">
        <v>348</v>
      </c>
      <c r="U24" s="2" t="s">
        <v>287</v>
      </c>
      <c r="V24" s="2" t="s">
        <v>361</v>
      </c>
      <c r="W24" s="2" t="s">
        <v>237</v>
      </c>
      <c r="X24" s="2" t="s">
        <v>233</v>
      </c>
      <c r="Y24" s="2" t="s">
        <v>350</v>
      </c>
      <c r="Z24" s="4">
        <v>95</v>
      </c>
      <c r="AA24" s="4">
        <f>=ROUNDDOWN(19,0)</f>
      </c>
      <c r="AB24" s="5">
        <v>5</v>
      </c>
      <c r="AC24" s="2" t="s">
        <v>154</v>
      </c>
      <c r="AD24" s="4">
        <v>20</v>
      </c>
      <c r="AE24" s="4">
        <v>220</v>
      </c>
      <c r="AF24" s="6">
        <v>70</v>
      </c>
      <c r="AG24" s="6"/>
      <c r="AH24" s="7">
        <v>0.6774</v>
      </c>
      <c r="AI24" s="4"/>
      <c r="AJ24" s="4">
        <f>=ROUNDDOWN({0},0)</f>
      </c>
      <c r="AK24" s="5"/>
      <c r="AL24" s="2" t="s">
        <v>233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233</v>
      </c>
      <c r="AW24" s="8" t="s">
        <v>233</v>
      </c>
      <c r="AX24" s="4" t="s">
        <v>233</v>
      </c>
      <c r="AY24" s="8" t="s">
        <v>233</v>
      </c>
      <c r="AZ24" s="7" t="s">
        <v>233</v>
      </c>
      <c r="BA24" s="7" t="s">
        <v>233</v>
      </c>
      <c r="BB24" s="7"/>
      <c r="BC24" s="4" t="s">
        <v>233</v>
      </c>
      <c r="BD24" s="8" t="s">
        <v>233</v>
      </c>
      <c r="BE24" s="4" t="s">
        <v>233</v>
      </c>
      <c r="BF24" s="8" t="s">
        <v>233</v>
      </c>
      <c r="BG24" s="7" t="s">
        <v>233</v>
      </c>
      <c r="BH24" s="7" t="s">
        <v>233</v>
      </c>
      <c r="BI24" s="7"/>
      <c r="BJ24" s="4">
        <v>5</v>
      </c>
      <c r="BK24" s="8">
        <v>133.16</v>
      </c>
      <c r="BL24" s="2" t="s">
        <v>362</v>
      </c>
      <c r="BM24" s="7"/>
      <c r="BN24" s="7"/>
      <c r="BO24" s="4"/>
      <c r="BP24" s="8"/>
      <c r="BQ24" s="4"/>
      <c r="BR24" s="8"/>
      <c r="BS24" s="7"/>
      <c r="BT24" s="7"/>
      <c r="BU24" s="2" t="s">
        <v>352</v>
      </c>
      <c r="BV24" s="2" t="s">
        <v>233</v>
      </c>
      <c r="BW24" s="2" t="s">
        <v>233</v>
      </c>
      <c r="BX24" s="2" t="s">
        <v>241</v>
      </c>
      <c r="BY24" s="2" t="s">
        <v>242</v>
      </c>
      <c r="BZ24" s="2" t="s">
        <v>230</v>
      </c>
      <c r="CA24" s="2" t="s">
        <v>353</v>
      </c>
      <c r="CB24" s="2" t="s">
        <v>363</v>
      </c>
      <c r="CC24" s="2" t="s">
        <v>245</v>
      </c>
      <c r="CD24" s="2" t="s">
        <v>233</v>
      </c>
      <c r="CE24" s="4">
        <v>95</v>
      </c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>
        <v>20</v>
      </c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>
        <v>100</v>
      </c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>
        <v>100</v>
      </c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>
        <v>100</v>
      </c>
      <c r="GD24" s="4">
        <v>91</v>
      </c>
      <c r="GE24" s="4">
        <v>86</v>
      </c>
      <c r="GF24" s="4">
        <v>80</v>
      </c>
      <c r="GG24" s="4">
        <v>68</v>
      </c>
      <c r="GH24" s="4">
        <v>77</v>
      </c>
      <c r="GI24" s="4">
        <v>68</v>
      </c>
      <c r="GJ24" s="4">
        <v>63</v>
      </c>
      <c r="GK24" s="4">
        <v>159</v>
      </c>
      <c r="GL24" s="4">
        <v>154</v>
      </c>
      <c r="GM24" s="4">
        <v>149</v>
      </c>
      <c r="GN24" s="4">
        <v>144</v>
      </c>
      <c r="GO24" s="4">
        <v>139</v>
      </c>
      <c r="GP24" s="4">
        <v>134</v>
      </c>
      <c r="GQ24" s="4">
        <v>129</v>
      </c>
      <c r="GR24" s="4">
        <v>124</v>
      </c>
      <c r="GS24" s="4">
        <v>219</v>
      </c>
      <c r="GT24" s="4">
        <v>214</v>
      </c>
      <c r="GU24" s="4">
        <v>209</v>
      </c>
      <c r="GV24" s="4">
        <v>204</v>
      </c>
      <c r="GW24" s="4">
        <v>199</v>
      </c>
      <c r="GX24" s="4">
        <v>194</v>
      </c>
      <c r="GY24" s="4">
        <v>189</v>
      </c>
      <c r="GZ24" s="4">
        <v>184</v>
      </c>
      <c r="HA24" s="4">
        <v>179</v>
      </c>
      <c r="HB24" s="4">
        <v>174</v>
      </c>
      <c r="HC24" s="19">
        <v>12.5</v>
      </c>
      <c r="HD24" s="19">
        <v>11.4</v>
      </c>
      <c r="HE24" s="19">
        <v>8.6</v>
      </c>
      <c r="HF24" s="19">
        <v>8.9</v>
      </c>
      <c r="HG24" s="19">
        <v>9.7</v>
      </c>
      <c r="HH24" s="19">
        <v>12.8</v>
      </c>
      <c r="HI24" s="19">
        <v>13.6</v>
      </c>
      <c r="HJ24" s="19">
        <v>12.6</v>
      </c>
      <c r="HK24" s="19">
        <v>31.8</v>
      </c>
      <c r="HL24" s="19">
        <v>30.8</v>
      </c>
      <c r="HM24" s="19">
        <v>29.8</v>
      </c>
      <c r="HN24" s="19">
        <v>28.8</v>
      </c>
      <c r="HO24" s="19">
        <v>27.8</v>
      </c>
      <c r="HP24" s="19">
        <v>26.8</v>
      </c>
      <c r="HQ24" s="19">
        <v>25.8</v>
      </c>
      <c r="HR24" s="19">
        <v>24.8</v>
      </c>
      <c r="HS24" s="19">
        <v>43.8</v>
      </c>
      <c r="HT24" s="19">
        <v>42.8</v>
      </c>
      <c r="HU24" s="19">
        <v>41.8</v>
      </c>
      <c r="HV24" s="19">
        <v>40.8</v>
      </c>
      <c r="HW24" s="19">
        <v>39.8</v>
      </c>
      <c r="HX24" s="19">
        <v>38.8</v>
      </c>
      <c r="HY24" s="19">
        <v>37.8</v>
      </c>
      <c r="HZ24" s="19">
        <v>36.8</v>
      </c>
      <c r="IA24" s="19">
        <v>35.8</v>
      </c>
      <c r="IB24" s="19">
        <v>34.8</v>
      </c>
    </row>
    <row r="25">
      <c r="A25" s="2" t="s">
        <v>364</v>
      </c>
      <c r="B25" s="2" t="s">
        <v>279</v>
      </c>
      <c r="C25" s="2" t="s">
        <v>343</v>
      </c>
      <c r="D25" s="2" t="s">
        <v>281</v>
      </c>
      <c r="E25" s="2" t="s">
        <v>282</v>
      </c>
      <c r="F25" s="2" t="s">
        <v>344</v>
      </c>
      <c r="G25" s="2" t="s">
        <v>344</v>
      </c>
      <c r="H25" s="2" t="s">
        <v>344</v>
      </c>
      <c r="I25" s="2" t="s">
        <v>345</v>
      </c>
      <c r="J25" s="2" t="s">
        <v>336</v>
      </c>
      <c r="K25" s="2" t="s">
        <v>359</v>
      </c>
      <c r="L25" s="3">
        <v>25</v>
      </c>
      <c r="M25" s="3">
        <v>26.25</v>
      </c>
      <c r="N25" s="3">
        <v>54.99</v>
      </c>
      <c r="O25" s="2" t="s">
        <v>230</v>
      </c>
      <c r="P25" s="2" t="s">
        <v>231</v>
      </c>
      <c r="Q25" s="2" t="s">
        <v>232</v>
      </c>
      <c r="R25" s="2" t="s">
        <v>233</v>
      </c>
      <c r="S25" s="2" t="s">
        <v>360</v>
      </c>
      <c r="T25" s="2" t="s">
        <v>348</v>
      </c>
      <c r="U25" s="2" t="s">
        <v>287</v>
      </c>
      <c r="V25" s="2" t="s">
        <v>361</v>
      </c>
      <c r="W25" s="2" t="s">
        <v>237</v>
      </c>
      <c r="X25" s="2" t="s">
        <v>233</v>
      </c>
      <c r="Y25" s="2" t="s">
        <v>350</v>
      </c>
      <c r="Z25" s="4">
        <v>81</v>
      </c>
      <c r="AA25" s="4">
        <f>=ROUNDDOWN(5.32894736842105,0)</f>
      </c>
      <c r="AB25" s="5">
        <v>15.2</v>
      </c>
      <c r="AC25" s="2" t="s">
        <v>154</v>
      </c>
      <c r="AD25" s="4">
        <v>220</v>
      </c>
      <c r="AE25" s="4">
        <v>630</v>
      </c>
      <c r="AF25" s="6">
        <v>70</v>
      </c>
      <c r="AG25" s="6"/>
      <c r="AH25" s="7">
        <v>0.4839</v>
      </c>
      <c r="AI25" s="4"/>
      <c r="AJ25" s="4">
        <f>=ROUNDDOWN({0},0)</f>
      </c>
      <c r="AK25" s="5"/>
      <c r="AL25" s="2" t="s">
        <v>233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233</v>
      </c>
      <c r="AW25" s="8" t="s">
        <v>233</v>
      </c>
      <c r="AX25" s="4" t="s">
        <v>233</v>
      </c>
      <c r="AY25" s="8" t="s">
        <v>233</v>
      </c>
      <c r="AZ25" s="7" t="s">
        <v>233</v>
      </c>
      <c r="BA25" s="7" t="s">
        <v>233</v>
      </c>
      <c r="BB25" s="7"/>
      <c r="BC25" s="4" t="s">
        <v>233</v>
      </c>
      <c r="BD25" s="8" t="s">
        <v>233</v>
      </c>
      <c r="BE25" s="4" t="s">
        <v>233</v>
      </c>
      <c r="BF25" s="8" t="s">
        <v>233</v>
      </c>
      <c r="BG25" s="7" t="s">
        <v>233</v>
      </c>
      <c r="BH25" s="7" t="s">
        <v>233</v>
      </c>
      <c r="BI25" s="7"/>
      <c r="BJ25" s="4">
        <v>17</v>
      </c>
      <c r="BK25" s="8">
        <v>479.23</v>
      </c>
      <c r="BL25" s="2" t="s">
        <v>365</v>
      </c>
      <c r="BM25" s="7"/>
      <c r="BN25" s="7"/>
      <c r="BO25" s="4"/>
      <c r="BP25" s="8"/>
      <c r="BQ25" s="4"/>
      <c r="BR25" s="8"/>
      <c r="BS25" s="7"/>
      <c r="BT25" s="7"/>
      <c r="BU25" s="2" t="s">
        <v>352</v>
      </c>
      <c r="BV25" s="2" t="s">
        <v>233</v>
      </c>
      <c r="BW25" s="2" t="s">
        <v>233</v>
      </c>
      <c r="BX25" s="2" t="s">
        <v>241</v>
      </c>
      <c r="BY25" s="2" t="s">
        <v>242</v>
      </c>
      <c r="BZ25" s="2" t="s">
        <v>230</v>
      </c>
      <c r="CA25" s="2" t="s">
        <v>353</v>
      </c>
      <c r="CB25" s="2" t="s">
        <v>366</v>
      </c>
      <c r="CC25" s="2" t="s">
        <v>245</v>
      </c>
      <c r="CD25" s="2" t="s">
        <v>233</v>
      </c>
      <c r="CE25" s="4">
        <v>81</v>
      </c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>
        <v>220</v>
      </c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>
        <v>200</v>
      </c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>
        <v>210</v>
      </c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>
        <v>87</v>
      </c>
      <c r="GD25" s="4">
        <v>76</v>
      </c>
      <c r="GE25" s="4">
        <v>62</v>
      </c>
      <c r="GF25" s="4">
        <v>47</v>
      </c>
      <c r="GG25" s="4">
        <v>15</v>
      </c>
      <c r="GH25" s="4">
        <v>220</v>
      </c>
      <c r="GI25" s="4">
        <v>195</v>
      </c>
      <c r="GJ25" s="4">
        <v>180</v>
      </c>
      <c r="GK25" s="4">
        <v>369</v>
      </c>
      <c r="GL25" s="4">
        <v>354</v>
      </c>
      <c r="GM25" s="4">
        <v>339</v>
      </c>
      <c r="GN25" s="4">
        <v>324</v>
      </c>
      <c r="GO25" s="4">
        <v>309</v>
      </c>
      <c r="GP25" s="4">
        <v>294</v>
      </c>
      <c r="GQ25" s="4">
        <v>279</v>
      </c>
      <c r="GR25" s="4">
        <v>264</v>
      </c>
      <c r="GS25" s="4">
        <v>459</v>
      </c>
      <c r="GT25" s="4">
        <v>444</v>
      </c>
      <c r="GU25" s="4">
        <v>429</v>
      </c>
      <c r="GV25" s="4">
        <v>414</v>
      </c>
      <c r="GW25" s="4">
        <v>399</v>
      </c>
      <c r="GX25" s="4">
        <v>384</v>
      </c>
      <c r="GY25" s="4">
        <v>369</v>
      </c>
      <c r="GZ25" s="4">
        <v>354</v>
      </c>
      <c r="HA25" s="4">
        <v>339</v>
      </c>
      <c r="HB25" s="4">
        <v>324</v>
      </c>
      <c r="HC25" s="19">
        <v>4.8</v>
      </c>
      <c r="HD25" s="19">
        <v>3.3</v>
      </c>
      <c r="HE25" s="19">
        <v>2.4</v>
      </c>
      <c r="HF25" s="19">
        <v>1.8</v>
      </c>
      <c r="HG25" s="19">
        <v>0.8</v>
      </c>
      <c r="HH25" s="19">
        <v>13.8</v>
      </c>
      <c r="HI25" s="19">
        <v>13.9</v>
      </c>
      <c r="HJ25" s="19">
        <v>12.9</v>
      </c>
      <c r="HK25" s="19">
        <v>24.6</v>
      </c>
      <c r="HL25" s="19">
        <v>23.6</v>
      </c>
      <c r="HM25" s="19">
        <v>22.6</v>
      </c>
      <c r="HN25" s="19">
        <v>21.6</v>
      </c>
      <c r="HO25" s="19">
        <v>20.6</v>
      </c>
      <c r="HP25" s="19">
        <v>19.6</v>
      </c>
      <c r="HQ25" s="19">
        <v>18.6</v>
      </c>
      <c r="HR25" s="19">
        <v>17.6</v>
      </c>
      <c r="HS25" s="19">
        <v>30.6</v>
      </c>
      <c r="HT25" s="19">
        <v>29.6</v>
      </c>
      <c r="HU25" s="19">
        <v>28.6</v>
      </c>
      <c r="HV25" s="19">
        <v>27.6</v>
      </c>
      <c r="HW25" s="19">
        <v>26.6</v>
      </c>
      <c r="HX25" s="19">
        <v>25.6</v>
      </c>
      <c r="HY25" s="19">
        <v>24.6</v>
      </c>
      <c r="HZ25" s="19">
        <v>23.6</v>
      </c>
      <c r="IA25" s="19">
        <v>22.6</v>
      </c>
      <c r="IB25" s="19">
        <v>21.6</v>
      </c>
    </row>
    <row r="26">
      <c r="A26" s="2" t="s">
        <v>367</v>
      </c>
      <c r="B26" s="2" t="s">
        <v>279</v>
      </c>
      <c r="C26" s="2" t="s">
        <v>343</v>
      </c>
      <c r="D26" s="2" t="s">
        <v>281</v>
      </c>
      <c r="E26" s="2" t="s">
        <v>282</v>
      </c>
      <c r="F26" s="2" t="s">
        <v>344</v>
      </c>
      <c r="G26" s="2" t="s">
        <v>344</v>
      </c>
      <c r="H26" s="2" t="s">
        <v>344</v>
      </c>
      <c r="I26" s="2" t="s">
        <v>345</v>
      </c>
      <c r="J26" s="2" t="s">
        <v>256</v>
      </c>
      <c r="K26" s="2" t="s">
        <v>359</v>
      </c>
      <c r="L26" s="3">
        <v>28.5</v>
      </c>
      <c r="M26" s="3">
        <v>29.93</v>
      </c>
      <c r="N26" s="3">
        <v>59.99</v>
      </c>
      <c r="O26" s="2" t="s">
        <v>230</v>
      </c>
      <c r="P26" s="2" t="s">
        <v>231</v>
      </c>
      <c r="Q26" s="2" t="s">
        <v>232</v>
      </c>
      <c r="R26" s="2" t="s">
        <v>233</v>
      </c>
      <c r="S26" s="2" t="s">
        <v>360</v>
      </c>
      <c r="T26" s="2" t="s">
        <v>348</v>
      </c>
      <c r="U26" s="2" t="s">
        <v>287</v>
      </c>
      <c r="V26" s="2" t="s">
        <v>361</v>
      </c>
      <c r="W26" s="2" t="s">
        <v>237</v>
      </c>
      <c r="X26" s="2" t="s">
        <v>233</v>
      </c>
      <c r="Y26" s="2" t="s">
        <v>350</v>
      </c>
      <c r="Z26" s="4">
        <v>21</v>
      </c>
      <c r="AA26" s="4">
        <f>=ROUNDDOWN(1.75,0)</f>
      </c>
      <c r="AB26" s="5">
        <v>12</v>
      </c>
      <c r="AC26" s="2" t="s">
        <v>154</v>
      </c>
      <c r="AD26" s="4">
        <v>120</v>
      </c>
      <c r="AE26" s="4">
        <v>500</v>
      </c>
      <c r="AF26" s="6">
        <v>70</v>
      </c>
      <c r="AG26" s="6"/>
      <c r="AH26" s="7">
        <v>0.4516</v>
      </c>
      <c r="AI26" s="4"/>
      <c r="AJ26" s="4">
        <f>=ROUNDDOWN({0},0)</f>
      </c>
      <c r="AK26" s="5"/>
      <c r="AL26" s="2" t="s">
        <v>233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233</v>
      </c>
      <c r="AW26" s="8" t="s">
        <v>233</v>
      </c>
      <c r="AX26" s="4" t="s">
        <v>233</v>
      </c>
      <c r="AY26" s="8" t="s">
        <v>233</v>
      </c>
      <c r="AZ26" s="7" t="s">
        <v>233</v>
      </c>
      <c r="BA26" s="7" t="s">
        <v>233</v>
      </c>
      <c r="BB26" s="7"/>
      <c r="BC26" s="4" t="s">
        <v>233</v>
      </c>
      <c r="BD26" s="8" t="s">
        <v>233</v>
      </c>
      <c r="BE26" s="4" t="s">
        <v>233</v>
      </c>
      <c r="BF26" s="8" t="s">
        <v>233</v>
      </c>
      <c r="BG26" s="7" t="s">
        <v>233</v>
      </c>
      <c r="BH26" s="7" t="s">
        <v>233</v>
      </c>
      <c r="BI26" s="7"/>
      <c r="BJ26" s="4">
        <v>19</v>
      </c>
      <c r="BK26" s="8">
        <v>612.84</v>
      </c>
      <c r="BL26" s="2" t="s">
        <v>368</v>
      </c>
      <c r="BM26" s="7"/>
      <c r="BN26" s="7"/>
      <c r="BO26" s="4"/>
      <c r="BP26" s="8"/>
      <c r="BQ26" s="4"/>
      <c r="BR26" s="8"/>
      <c r="BS26" s="7"/>
      <c r="BT26" s="7"/>
      <c r="BU26" s="2" t="s">
        <v>352</v>
      </c>
      <c r="BV26" s="2" t="s">
        <v>233</v>
      </c>
      <c r="BW26" s="2" t="s">
        <v>233</v>
      </c>
      <c r="BX26" s="2" t="s">
        <v>241</v>
      </c>
      <c r="BY26" s="2" t="s">
        <v>242</v>
      </c>
      <c r="BZ26" s="2" t="s">
        <v>230</v>
      </c>
      <c r="CA26" s="2" t="s">
        <v>353</v>
      </c>
      <c r="CB26" s="2" t="s">
        <v>369</v>
      </c>
      <c r="CC26" s="2" t="s">
        <v>245</v>
      </c>
      <c r="CD26" s="2" t="s">
        <v>233</v>
      </c>
      <c r="CE26" s="4">
        <v>21</v>
      </c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>
        <v>120</v>
      </c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>
        <v>200</v>
      </c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>
        <v>180</v>
      </c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>
        <v>34</v>
      </c>
      <c r="GD26" s="4">
        <v>19</v>
      </c>
      <c r="GE26" s="4">
        <v>8</v>
      </c>
      <c r="GF26" s="4"/>
      <c r="GG26" s="4"/>
      <c r="GH26" s="4">
        <v>120</v>
      </c>
      <c r="GI26" s="4">
        <v>92</v>
      </c>
      <c r="GJ26" s="4">
        <v>79</v>
      </c>
      <c r="GK26" s="4">
        <v>269</v>
      </c>
      <c r="GL26" s="4">
        <v>257</v>
      </c>
      <c r="GM26" s="4">
        <v>245</v>
      </c>
      <c r="GN26" s="4">
        <v>233</v>
      </c>
      <c r="GO26" s="4">
        <v>221</v>
      </c>
      <c r="GP26" s="4">
        <v>209</v>
      </c>
      <c r="GQ26" s="4">
        <v>197</v>
      </c>
      <c r="GR26" s="4">
        <v>185</v>
      </c>
      <c r="GS26" s="4">
        <v>353</v>
      </c>
      <c r="GT26" s="4">
        <v>341</v>
      </c>
      <c r="GU26" s="4">
        <v>329</v>
      </c>
      <c r="GV26" s="4">
        <v>317</v>
      </c>
      <c r="GW26" s="4">
        <v>305</v>
      </c>
      <c r="GX26" s="4">
        <v>293</v>
      </c>
      <c r="GY26" s="4">
        <v>281</v>
      </c>
      <c r="GZ26" s="4">
        <v>269</v>
      </c>
      <c r="HA26" s="4">
        <v>257</v>
      </c>
      <c r="HB26" s="4">
        <v>245</v>
      </c>
      <c r="HC26" s="19">
        <v>2.1</v>
      </c>
      <c r="HD26" s="19">
        <v>1</v>
      </c>
      <c r="HE26" s="19">
        <v>0.3</v>
      </c>
      <c r="HF26" s="20">
        <v>0</v>
      </c>
      <c r="HG26" s="20">
        <v>0</v>
      </c>
      <c r="HH26" s="19">
        <v>7.5</v>
      </c>
      <c r="HI26" s="19">
        <v>7.7</v>
      </c>
      <c r="HJ26" s="19">
        <v>6.6</v>
      </c>
      <c r="HK26" s="19">
        <v>22.4</v>
      </c>
      <c r="HL26" s="19">
        <v>21.4</v>
      </c>
      <c r="HM26" s="19">
        <v>20.4</v>
      </c>
      <c r="HN26" s="19">
        <v>19.4</v>
      </c>
      <c r="HO26" s="19">
        <v>18.4</v>
      </c>
      <c r="HP26" s="19">
        <v>17.4</v>
      </c>
      <c r="HQ26" s="19">
        <v>16.4</v>
      </c>
      <c r="HR26" s="19">
        <v>15.4</v>
      </c>
      <c r="HS26" s="19">
        <v>29.4</v>
      </c>
      <c r="HT26" s="19">
        <v>28.4</v>
      </c>
      <c r="HU26" s="19">
        <v>27.4</v>
      </c>
      <c r="HV26" s="19">
        <v>26.4</v>
      </c>
      <c r="HW26" s="19">
        <v>25.4</v>
      </c>
      <c r="HX26" s="19">
        <v>24.4</v>
      </c>
      <c r="HY26" s="19">
        <v>23.4</v>
      </c>
      <c r="HZ26" s="19">
        <v>22.4</v>
      </c>
      <c r="IA26" s="19">
        <v>21.4</v>
      </c>
      <c r="IB26" s="19">
        <v>20.4</v>
      </c>
    </row>
    <row r="27">
      <c r="A27" s="2" t="s">
        <v>370</v>
      </c>
      <c r="B27" s="2" t="s">
        <v>279</v>
      </c>
      <c r="C27" s="2" t="s">
        <v>343</v>
      </c>
      <c r="D27" s="2" t="s">
        <v>281</v>
      </c>
      <c r="E27" s="2" t="s">
        <v>282</v>
      </c>
      <c r="F27" s="2" t="s">
        <v>344</v>
      </c>
      <c r="G27" s="2" t="s">
        <v>344</v>
      </c>
      <c r="H27" s="2" t="s">
        <v>344</v>
      </c>
      <c r="I27" s="2" t="s">
        <v>345</v>
      </c>
      <c r="J27" s="2" t="s">
        <v>252</v>
      </c>
      <c r="K27" s="2" t="s">
        <v>371</v>
      </c>
      <c r="L27" s="3">
        <v>23.75</v>
      </c>
      <c r="M27" s="3">
        <v>24.94</v>
      </c>
      <c r="N27" s="3">
        <v>49.99</v>
      </c>
      <c r="O27" s="2" t="s">
        <v>230</v>
      </c>
      <c r="P27" s="2" t="s">
        <v>231</v>
      </c>
      <c r="Q27" s="2" t="s">
        <v>232</v>
      </c>
      <c r="R27" s="2" t="s">
        <v>233</v>
      </c>
      <c r="S27" s="2" t="s">
        <v>372</v>
      </c>
      <c r="T27" s="2" t="s">
        <v>348</v>
      </c>
      <c r="U27" s="2" t="s">
        <v>287</v>
      </c>
      <c r="V27" s="2" t="s">
        <v>349</v>
      </c>
      <c r="W27" s="2" t="s">
        <v>237</v>
      </c>
      <c r="X27" s="2" t="s">
        <v>233</v>
      </c>
      <c r="Y27" s="2" t="s">
        <v>350</v>
      </c>
      <c r="Z27" s="4"/>
      <c r="AA27" s="4">
        <f>=ROUNDDOWN({0},0)</f>
      </c>
      <c r="AB27" s="5">
        <v>10</v>
      </c>
      <c r="AC27" s="2" t="s">
        <v>154</v>
      </c>
      <c r="AD27" s="4">
        <v>100</v>
      </c>
      <c r="AE27" s="4">
        <v>250</v>
      </c>
      <c r="AF27" s="6">
        <v>70</v>
      </c>
      <c r="AG27" s="6"/>
      <c r="AH27" s="7">
        <v>0.6452</v>
      </c>
      <c r="AI27" s="4"/>
      <c r="AJ27" s="4">
        <f>=ROUNDDOWN({0},0)</f>
      </c>
      <c r="AK27" s="5"/>
      <c r="AL27" s="2" t="s">
        <v>233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233</v>
      </c>
      <c r="AW27" s="8" t="s">
        <v>233</v>
      </c>
      <c r="AX27" s="4" t="s">
        <v>233</v>
      </c>
      <c r="AY27" s="8" t="s">
        <v>233</v>
      </c>
      <c r="AZ27" s="7" t="s">
        <v>233</v>
      </c>
      <c r="BA27" s="7" t="s">
        <v>233</v>
      </c>
      <c r="BB27" s="7"/>
      <c r="BC27" s="4" t="s">
        <v>233</v>
      </c>
      <c r="BD27" s="8" t="s">
        <v>233</v>
      </c>
      <c r="BE27" s="4" t="s">
        <v>233</v>
      </c>
      <c r="BF27" s="8" t="s">
        <v>233</v>
      </c>
      <c r="BG27" s="7" t="s">
        <v>233</v>
      </c>
      <c r="BH27" s="7" t="s">
        <v>233</v>
      </c>
      <c r="BI27" s="7"/>
      <c r="BJ27" s="4">
        <v>43</v>
      </c>
      <c r="BK27" s="8">
        <v>1151.73</v>
      </c>
      <c r="BL27" s="2" t="s">
        <v>373</v>
      </c>
      <c r="BM27" s="7"/>
      <c r="BN27" s="7"/>
      <c r="BO27" s="4"/>
      <c r="BP27" s="8"/>
      <c r="BQ27" s="4"/>
      <c r="BR27" s="8"/>
      <c r="BS27" s="7"/>
      <c r="BT27" s="7"/>
      <c r="BU27" s="2" t="s">
        <v>352</v>
      </c>
      <c r="BV27" s="2" t="s">
        <v>233</v>
      </c>
      <c r="BW27" s="2" t="s">
        <v>233</v>
      </c>
      <c r="BX27" s="2" t="s">
        <v>241</v>
      </c>
      <c r="BY27" s="2" t="s">
        <v>242</v>
      </c>
      <c r="BZ27" s="2" t="s">
        <v>230</v>
      </c>
      <c r="CA27" s="2" t="s">
        <v>353</v>
      </c>
      <c r="CB27" s="2" t="s">
        <v>363</v>
      </c>
      <c r="CC27" s="2" t="s">
        <v>245</v>
      </c>
      <c r="CD27" s="2" t="s">
        <v>233</v>
      </c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>
        <v>100</v>
      </c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>
        <v>70</v>
      </c>
      <c r="EC27" s="4"/>
      <c r="ED27" s="4"/>
      <c r="EE27" s="4"/>
      <c r="EF27" s="4"/>
      <c r="EG27" s="4"/>
      <c r="EH27" s="4"/>
      <c r="EI27" s="4"/>
      <c r="EJ27" s="4"/>
      <c r="EK27" s="4"/>
      <c r="EL27" s="4">
        <v>30</v>
      </c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>
        <v>50</v>
      </c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>
        <v>1</v>
      </c>
      <c r="GD27" s="4"/>
      <c r="GE27" s="4"/>
      <c r="GF27" s="4"/>
      <c r="GG27" s="4"/>
      <c r="GH27" s="4">
        <v>100</v>
      </c>
      <c r="GI27" s="4">
        <v>65</v>
      </c>
      <c r="GJ27" s="4">
        <v>124</v>
      </c>
      <c r="GK27" s="4">
        <v>146</v>
      </c>
      <c r="GL27" s="4">
        <v>136</v>
      </c>
      <c r="GM27" s="4">
        <v>126</v>
      </c>
      <c r="GN27" s="4">
        <v>116</v>
      </c>
      <c r="GO27" s="4">
        <v>106</v>
      </c>
      <c r="GP27" s="4">
        <v>96</v>
      </c>
      <c r="GQ27" s="4">
        <v>86</v>
      </c>
      <c r="GR27" s="4">
        <v>76</v>
      </c>
      <c r="GS27" s="4">
        <v>116</v>
      </c>
      <c r="GT27" s="4">
        <v>106</v>
      </c>
      <c r="GU27" s="4">
        <v>96</v>
      </c>
      <c r="GV27" s="4">
        <v>86</v>
      </c>
      <c r="GW27" s="4">
        <v>76</v>
      </c>
      <c r="GX27" s="4">
        <v>66</v>
      </c>
      <c r="GY27" s="4">
        <v>56</v>
      </c>
      <c r="GZ27" s="4">
        <v>46</v>
      </c>
      <c r="HA27" s="4">
        <v>170</v>
      </c>
      <c r="HB27" s="4">
        <v>160</v>
      </c>
      <c r="HC27" s="19">
        <v>0.1</v>
      </c>
      <c r="HD27" s="20">
        <v>0</v>
      </c>
      <c r="HE27" s="20">
        <v>0</v>
      </c>
      <c r="HF27" s="20">
        <v>0</v>
      </c>
      <c r="HG27" s="20">
        <v>0</v>
      </c>
      <c r="HH27" s="19">
        <v>6.3</v>
      </c>
      <c r="HI27" s="19">
        <v>6.5</v>
      </c>
      <c r="HJ27" s="19">
        <v>12.4</v>
      </c>
      <c r="HK27" s="19">
        <v>14.6</v>
      </c>
      <c r="HL27" s="19">
        <v>13.6</v>
      </c>
      <c r="HM27" s="19">
        <v>12.6</v>
      </c>
      <c r="HN27" s="19">
        <v>11.6</v>
      </c>
      <c r="HO27" s="19">
        <v>10.6</v>
      </c>
      <c r="HP27" s="19">
        <v>9.6</v>
      </c>
      <c r="HQ27" s="19">
        <v>8.6</v>
      </c>
      <c r="HR27" s="19">
        <v>7.6</v>
      </c>
      <c r="HS27" s="19">
        <v>11.6</v>
      </c>
      <c r="HT27" s="19">
        <v>10.6</v>
      </c>
      <c r="HU27" s="19">
        <v>9.6</v>
      </c>
      <c r="HV27" s="19">
        <v>8.6</v>
      </c>
      <c r="HW27" s="19">
        <v>7.6</v>
      </c>
      <c r="HX27" s="19">
        <v>6.6</v>
      </c>
      <c r="HY27" s="19">
        <v>5.6</v>
      </c>
      <c r="HZ27" s="19">
        <v>4.6</v>
      </c>
      <c r="IA27" s="19">
        <v>17</v>
      </c>
      <c r="IB27" s="19">
        <v>16</v>
      </c>
    </row>
    <row r="28">
      <c r="A28" s="2" t="s">
        <v>374</v>
      </c>
      <c r="B28" s="2" t="s">
        <v>279</v>
      </c>
      <c r="C28" s="2" t="s">
        <v>343</v>
      </c>
      <c r="D28" s="2" t="s">
        <v>281</v>
      </c>
      <c r="E28" s="2" t="s">
        <v>282</v>
      </c>
      <c r="F28" s="2" t="s">
        <v>344</v>
      </c>
      <c r="G28" s="2" t="s">
        <v>344</v>
      </c>
      <c r="H28" s="2" t="s">
        <v>344</v>
      </c>
      <c r="I28" s="2" t="s">
        <v>345</v>
      </c>
      <c r="J28" s="2" t="s">
        <v>336</v>
      </c>
      <c r="K28" s="2" t="s">
        <v>371</v>
      </c>
      <c r="L28" s="3">
        <v>25</v>
      </c>
      <c r="M28" s="3">
        <v>26.25</v>
      </c>
      <c r="N28" s="3">
        <v>54.99</v>
      </c>
      <c r="O28" s="2" t="s">
        <v>230</v>
      </c>
      <c r="P28" s="2" t="s">
        <v>231</v>
      </c>
      <c r="Q28" s="2" t="s">
        <v>232</v>
      </c>
      <c r="R28" s="2" t="s">
        <v>233</v>
      </c>
      <c r="S28" s="2" t="s">
        <v>372</v>
      </c>
      <c r="T28" s="2" t="s">
        <v>348</v>
      </c>
      <c r="U28" s="2" t="s">
        <v>287</v>
      </c>
      <c r="V28" s="2" t="s">
        <v>349</v>
      </c>
      <c r="W28" s="2" t="s">
        <v>237</v>
      </c>
      <c r="X28" s="2" t="s">
        <v>233</v>
      </c>
      <c r="Y28" s="2" t="s">
        <v>350</v>
      </c>
      <c r="Z28" s="4">
        <v>4</v>
      </c>
      <c r="AA28" s="4">
        <f>=ROUNDDOWN(0.333333333333333,0)</f>
      </c>
      <c r="AB28" s="5">
        <v>12</v>
      </c>
      <c r="AC28" s="2" t="s">
        <v>154</v>
      </c>
      <c r="AD28" s="4">
        <v>150</v>
      </c>
      <c r="AE28" s="4">
        <v>590</v>
      </c>
      <c r="AF28" s="6">
        <v>70</v>
      </c>
      <c r="AG28" s="6"/>
      <c r="AH28" s="7">
        <v>0.8065</v>
      </c>
      <c r="AI28" s="4"/>
      <c r="AJ28" s="4">
        <f>=ROUNDDOWN({0},0)</f>
      </c>
      <c r="AK28" s="5"/>
      <c r="AL28" s="2" t="s">
        <v>233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233</v>
      </c>
      <c r="AW28" s="8" t="s">
        <v>233</v>
      </c>
      <c r="AX28" s="4" t="s">
        <v>233</v>
      </c>
      <c r="AY28" s="8" t="s">
        <v>233</v>
      </c>
      <c r="AZ28" s="7" t="s">
        <v>233</v>
      </c>
      <c r="BA28" s="7" t="s">
        <v>233</v>
      </c>
      <c r="BB28" s="7"/>
      <c r="BC28" s="4" t="s">
        <v>233</v>
      </c>
      <c r="BD28" s="8" t="s">
        <v>233</v>
      </c>
      <c r="BE28" s="4" t="s">
        <v>233</v>
      </c>
      <c r="BF28" s="8" t="s">
        <v>233</v>
      </c>
      <c r="BG28" s="7" t="s">
        <v>233</v>
      </c>
      <c r="BH28" s="7" t="s">
        <v>233</v>
      </c>
      <c r="BI28" s="7"/>
      <c r="BJ28" s="4">
        <v>72</v>
      </c>
      <c r="BK28" s="8">
        <v>2065.17</v>
      </c>
      <c r="BL28" s="2" t="s">
        <v>375</v>
      </c>
      <c r="BM28" s="7"/>
      <c r="BN28" s="7"/>
      <c r="BO28" s="4"/>
      <c r="BP28" s="8"/>
      <c r="BQ28" s="4"/>
      <c r="BR28" s="8"/>
      <c r="BS28" s="7"/>
      <c r="BT28" s="7"/>
      <c r="BU28" s="2" t="s">
        <v>352</v>
      </c>
      <c r="BV28" s="2" t="s">
        <v>233</v>
      </c>
      <c r="BW28" s="2" t="s">
        <v>233</v>
      </c>
      <c r="BX28" s="2" t="s">
        <v>241</v>
      </c>
      <c r="BY28" s="2" t="s">
        <v>242</v>
      </c>
      <c r="BZ28" s="2" t="s">
        <v>230</v>
      </c>
      <c r="CA28" s="2" t="s">
        <v>353</v>
      </c>
      <c r="CB28" s="2" t="s">
        <v>376</v>
      </c>
      <c r="CC28" s="2" t="s">
        <v>245</v>
      </c>
      <c r="CD28" s="2" t="s">
        <v>233</v>
      </c>
      <c r="CE28" s="4">
        <v>4</v>
      </c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>
        <v>150</v>
      </c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>
        <v>140</v>
      </c>
      <c r="EC28" s="4"/>
      <c r="ED28" s="4"/>
      <c r="EE28" s="4"/>
      <c r="EF28" s="4"/>
      <c r="EG28" s="4"/>
      <c r="EH28" s="4"/>
      <c r="EI28" s="4"/>
      <c r="EJ28" s="4"/>
      <c r="EK28" s="4"/>
      <c r="EL28" s="4">
        <v>160</v>
      </c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>
        <v>140</v>
      </c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>
        <v>11</v>
      </c>
      <c r="GD28" s="4">
        <v>6</v>
      </c>
      <c r="GE28" s="4"/>
      <c r="GF28" s="4"/>
      <c r="GG28" s="4"/>
      <c r="GH28" s="4">
        <v>150</v>
      </c>
      <c r="GI28" s="4">
        <v>134</v>
      </c>
      <c r="GJ28" s="4">
        <v>265</v>
      </c>
      <c r="GK28" s="4">
        <v>417</v>
      </c>
      <c r="GL28" s="4">
        <v>405</v>
      </c>
      <c r="GM28" s="4">
        <v>393</v>
      </c>
      <c r="GN28" s="4">
        <v>381</v>
      </c>
      <c r="GO28" s="4">
        <v>369</v>
      </c>
      <c r="GP28" s="4">
        <v>357</v>
      </c>
      <c r="GQ28" s="4">
        <v>345</v>
      </c>
      <c r="GR28" s="4">
        <v>333</v>
      </c>
      <c r="GS28" s="4">
        <v>461</v>
      </c>
      <c r="GT28" s="4">
        <v>449</v>
      </c>
      <c r="GU28" s="4">
        <v>437</v>
      </c>
      <c r="GV28" s="4">
        <v>425</v>
      </c>
      <c r="GW28" s="4">
        <v>413</v>
      </c>
      <c r="GX28" s="4">
        <v>401</v>
      </c>
      <c r="GY28" s="4">
        <v>389</v>
      </c>
      <c r="GZ28" s="4">
        <v>377</v>
      </c>
      <c r="HA28" s="4">
        <v>365</v>
      </c>
      <c r="HB28" s="4">
        <v>353</v>
      </c>
      <c r="HC28" s="19">
        <v>1</v>
      </c>
      <c r="HD28" s="19">
        <v>0.4</v>
      </c>
      <c r="HE28" s="20">
        <v>0</v>
      </c>
      <c r="HF28" s="20">
        <v>0</v>
      </c>
      <c r="HG28" s="20">
        <v>0</v>
      </c>
      <c r="HH28" s="19">
        <v>13.6</v>
      </c>
      <c r="HI28" s="19">
        <v>13.4</v>
      </c>
      <c r="HJ28" s="19">
        <v>24.1</v>
      </c>
      <c r="HK28" s="19">
        <v>34.8</v>
      </c>
      <c r="HL28" s="19">
        <v>33.8</v>
      </c>
      <c r="HM28" s="19">
        <v>32.8</v>
      </c>
      <c r="HN28" s="19">
        <v>31.8</v>
      </c>
      <c r="HO28" s="19">
        <v>30.8</v>
      </c>
      <c r="HP28" s="19">
        <v>29.8</v>
      </c>
      <c r="HQ28" s="19">
        <v>28.8</v>
      </c>
      <c r="HR28" s="19">
        <v>27.8</v>
      </c>
      <c r="HS28" s="19">
        <v>38.4</v>
      </c>
      <c r="HT28" s="19">
        <v>37.4</v>
      </c>
      <c r="HU28" s="19">
        <v>36.4</v>
      </c>
      <c r="HV28" s="19">
        <v>35.4</v>
      </c>
      <c r="HW28" s="19">
        <v>34.4</v>
      </c>
      <c r="HX28" s="19">
        <v>33.4</v>
      </c>
      <c r="HY28" s="19">
        <v>32.4</v>
      </c>
      <c r="HZ28" s="19">
        <v>31.4</v>
      </c>
      <c r="IA28" s="19">
        <v>30.4</v>
      </c>
      <c r="IB28" s="19">
        <v>29.4</v>
      </c>
    </row>
    <row r="29">
      <c r="A29" s="2" t="s">
        <v>377</v>
      </c>
      <c r="B29" s="2" t="s">
        <v>279</v>
      </c>
      <c r="C29" s="2" t="s">
        <v>343</v>
      </c>
      <c r="D29" s="2" t="s">
        <v>281</v>
      </c>
      <c r="E29" s="2" t="s">
        <v>282</v>
      </c>
      <c r="F29" s="2" t="s">
        <v>344</v>
      </c>
      <c r="G29" s="2" t="s">
        <v>344</v>
      </c>
      <c r="H29" s="2" t="s">
        <v>344</v>
      </c>
      <c r="I29" s="2" t="s">
        <v>345</v>
      </c>
      <c r="J29" s="2" t="s">
        <v>256</v>
      </c>
      <c r="K29" s="2" t="s">
        <v>371</v>
      </c>
      <c r="L29" s="3">
        <v>28.5</v>
      </c>
      <c r="M29" s="3">
        <v>29.93</v>
      </c>
      <c r="N29" s="3">
        <v>59.99</v>
      </c>
      <c r="O29" s="2" t="s">
        <v>230</v>
      </c>
      <c r="P29" s="2" t="s">
        <v>231</v>
      </c>
      <c r="Q29" s="2" t="s">
        <v>232</v>
      </c>
      <c r="R29" s="2" t="s">
        <v>233</v>
      </c>
      <c r="S29" s="2" t="s">
        <v>372</v>
      </c>
      <c r="T29" s="2" t="s">
        <v>348</v>
      </c>
      <c r="U29" s="2" t="s">
        <v>287</v>
      </c>
      <c r="V29" s="2" t="s">
        <v>349</v>
      </c>
      <c r="W29" s="2" t="s">
        <v>237</v>
      </c>
      <c r="X29" s="2" t="s">
        <v>233</v>
      </c>
      <c r="Y29" s="2" t="s">
        <v>350</v>
      </c>
      <c r="Z29" s="4"/>
      <c r="AA29" s="4">
        <f>=ROUNDDOWN({0},0)</f>
      </c>
      <c r="AB29" s="5">
        <v>11.8</v>
      </c>
      <c r="AC29" s="2" t="s">
        <v>154</v>
      </c>
      <c r="AD29" s="4">
        <v>70</v>
      </c>
      <c r="AE29" s="4">
        <v>470</v>
      </c>
      <c r="AF29" s="6">
        <v>70</v>
      </c>
      <c r="AG29" s="6"/>
      <c r="AH29" s="7">
        <v>0</v>
      </c>
      <c r="AI29" s="4"/>
      <c r="AJ29" s="4">
        <f>=ROUNDDOWN({0},0)</f>
      </c>
      <c r="AK29" s="5"/>
      <c r="AL29" s="2" t="s">
        <v>233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233</v>
      </c>
      <c r="AW29" s="8" t="s">
        <v>233</v>
      </c>
      <c r="AX29" s="4" t="s">
        <v>233</v>
      </c>
      <c r="AY29" s="8" t="s">
        <v>233</v>
      </c>
      <c r="AZ29" s="7" t="s">
        <v>233</v>
      </c>
      <c r="BA29" s="7" t="s">
        <v>233</v>
      </c>
      <c r="BB29" s="7"/>
      <c r="BC29" s="4" t="s">
        <v>233</v>
      </c>
      <c r="BD29" s="8" t="s">
        <v>233</v>
      </c>
      <c r="BE29" s="4" t="s">
        <v>233</v>
      </c>
      <c r="BF29" s="8" t="s">
        <v>233</v>
      </c>
      <c r="BG29" s="7" t="s">
        <v>233</v>
      </c>
      <c r="BH29" s="7" t="s">
        <v>233</v>
      </c>
      <c r="BI29" s="7"/>
      <c r="BJ29" s="4">
        <v>4</v>
      </c>
      <c r="BK29" s="8">
        <v>131.12</v>
      </c>
      <c r="BL29" s="2" t="s">
        <v>351</v>
      </c>
      <c r="BM29" s="7"/>
      <c r="BN29" s="7"/>
      <c r="BO29" s="4"/>
      <c r="BP29" s="8"/>
      <c r="BQ29" s="4"/>
      <c r="BR29" s="8"/>
      <c r="BS29" s="7"/>
      <c r="BT29" s="7"/>
      <c r="BU29" s="2" t="s">
        <v>352</v>
      </c>
      <c r="BV29" s="2" t="s">
        <v>233</v>
      </c>
      <c r="BW29" s="2" t="s">
        <v>233</v>
      </c>
      <c r="BX29" s="2" t="s">
        <v>241</v>
      </c>
      <c r="BY29" s="2" t="s">
        <v>242</v>
      </c>
      <c r="BZ29" s="2" t="s">
        <v>230</v>
      </c>
      <c r="CA29" s="2" t="s">
        <v>353</v>
      </c>
      <c r="CB29" s="2" t="s">
        <v>378</v>
      </c>
      <c r="CC29" s="2" t="s">
        <v>245</v>
      </c>
      <c r="CD29" s="2" t="s">
        <v>233</v>
      </c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>
        <v>70</v>
      </c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>
        <v>70</v>
      </c>
      <c r="EC29" s="4"/>
      <c r="ED29" s="4"/>
      <c r="EE29" s="4"/>
      <c r="EF29" s="4"/>
      <c r="EG29" s="4"/>
      <c r="EH29" s="4"/>
      <c r="EI29" s="4"/>
      <c r="EJ29" s="4"/>
      <c r="EK29" s="4"/>
      <c r="EL29" s="4">
        <v>200</v>
      </c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>
        <v>130</v>
      </c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>
        <v>70</v>
      </c>
      <c r="GI29" s="4">
        <v>31</v>
      </c>
      <c r="GJ29" s="4">
        <v>87</v>
      </c>
      <c r="GK29" s="4">
        <v>277</v>
      </c>
      <c r="GL29" s="4">
        <v>265</v>
      </c>
      <c r="GM29" s="4">
        <v>253</v>
      </c>
      <c r="GN29" s="4">
        <v>241</v>
      </c>
      <c r="GO29" s="4">
        <v>229</v>
      </c>
      <c r="GP29" s="4">
        <v>217</v>
      </c>
      <c r="GQ29" s="4">
        <v>205</v>
      </c>
      <c r="GR29" s="4">
        <v>193</v>
      </c>
      <c r="GS29" s="4">
        <v>311</v>
      </c>
      <c r="GT29" s="4">
        <v>299</v>
      </c>
      <c r="GU29" s="4">
        <v>287</v>
      </c>
      <c r="GV29" s="4">
        <v>275</v>
      </c>
      <c r="GW29" s="4">
        <v>263</v>
      </c>
      <c r="GX29" s="4">
        <v>251</v>
      </c>
      <c r="GY29" s="4">
        <v>239</v>
      </c>
      <c r="GZ29" s="4">
        <v>227</v>
      </c>
      <c r="HA29" s="4">
        <v>215</v>
      </c>
      <c r="HB29" s="4">
        <v>203</v>
      </c>
      <c r="HC29" s="20">
        <v>0</v>
      </c>
      <c r="HD29" s="20">
        <v>0</v>
      </c>
      <c r="HE29" s="20">
        <v>0</v>
      </c>
      <c r="HF29" s="20">
        <v>0</v>
      </c>
      <c r="HG29" s="20">
        <v>0</v>
      </c>
      <c r="HH29" s="19">
        <v>3.7</v>
      </c>
      <c r="HI29" s="19">
        <v>2.6</v>
      </c>
      <c r="HJ29" s="19">
        <v>7.3</v>
      </c>
      <c r="HK29" s="19">
        <v>23.1</v>
      </c>
      <c r="HL29" s="19">
        <v>22.1</v>
      </c>
      <c r="HM29" s="19">
        <v>21.1</v>
      </c>
      <c r="HN29" s="19">
        <v>20.1</v>
      </c>
      <c r="HO29" s="19">
        <v>19.1</v>
      </c>
      <c r="HP29" s="19">
        <v>18.1</v>
      </c>
      <c r="HQ29" s="19">
        <v>17.1</v>
      </c>
      <c r="HR29" s="19">
        <v>16.1</v>
      </c>
      <c r="HS29" s="19">
        <v>25.9</v>
      </c>
      <c r="HT29" s="19">
        <v>24.9</v>
      </c>
      <c r="HU29" s="19">
        <v>23.9</v>
      </c>
      <c r="HV29" s="19">
        <v>22.9</v>
      </c>
      <c r="HW29" s="19">
        <v>21.9</v>
      </c>
      <c r="HX29" s="19">
        <v>20.9</v>
      </c>
      <c r="HY29" s="19">
        <v>19.9</v>
      </c>
      <c r="HZ29" s="19">
        <v>18.9</v>
      </c>
      <c r="IA29" s="19">
        <v>17.9</v>
      </c>
      <c r="IB29" s="19">
        <v>16.9</v>
      </c>
    </row>
    <row r="30">
      <c r="A30" s="2" t="s">
        <v>379</v>
      </c>
      <c r="B30" s="2" t="s">
        <v>222</v>
      </c>
      <c r="C30" s="2" t="s">
        <v>223</v>
      </c>
      <c r="D30" s="2" t="s">
        <v>224</v>
      </c>
      <c r="E30" s="2" t="s">
        <v>225</v>
      </c>
      <c r="F30" s="2" t="s">
        <v>380</v>
      </c>
      <c r="G30" s="2" t="s">
        <v>380</v>
      </c>
      <c r="H30" s="2" t="s">
        <v>380</v>
      </c>
      <c r="I30" s="2" t="s">
        <v>381</v>
      </c>
      <c r="J30" s="2" t="s">
        <v>228</v>
      </c>
      <c r="K30" s="2" t="s">
        <v>229</v>
      </c>
      <c r="L30" s="3">
        <v>41.4</v>
      </c>
      <c r="M30" s="3">
        <v>43.47</v>
      </c>
      <c r="N30" s="3">
        <v>89.99</v>
      </c>
      <c r="O30" s="2" t="s">
        <v>230</v>
      </c>
      <c r="P30" s="2" t="s">
        <v>231</v>
      </c>
      <c r="Q30" s="2" t="s">
        <v>232</v>
      </c>
      <c r="R30" s="2" t="s">
        <v>233</v>
      </c>
      <c r="S30" s="2" t="s">
        <v>382</v>
      </c>
      <c r="T30" s="2" t="s">
        <v>235</v>
      </c>
      <c r="U30" s="2" t="s">
        <v>233</v>
      </c>
      <c r="V30" s="2" t="s">
        <v>236</v>
      </c>
      <c r="W30" s="2" t="s">
        <v>237</v>
      </c>
      <c r="X30" s="2" t="s">
        <v>233</v>
      </c>
      <c r="Y30" s="2" t="s">
        <v>238</v>
      </c>
      <c r="Z30" s="4">
        <v>508</v>
      </c>
      <c r="AA30" s="4">
        <f>=ROUNDDOWN(46.1818181818182,0)</f>
      </c>
      <c r="AB30" s="5">
        <v>11</v>
      </c>
      <c r="AC30" s="2" t="s">
        <v>233</v>
      </c>
      <c r="AD30" s="4"/>
      <c r="AE30" s="4"/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233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233</v>
      </c>
      <c r="AW30" s="8" t="s">
        <v>233</v>
      </c>
      <c r="AX30" s="4" t="s">
        <v>233</v>
      </c>
      <c r="AY30" s="8" t="s">
        <v>233</v>
      </c>
      <c r="AZ30" s="7" t="s">
        <v>233</v>
      </c>
      <c r="BA30" s="7" t="s">
        <v>233</v>
      </c>
      <c r="BB30" s="7"/>
      <c r="BC30" s="4" t="s">
        <v>233</v>
      </c>
      <c r="BD30" s="8" t="s">
        <v>233</v>
      </c>
      <c r="BE30" s="4" t="s">
        <v>233</v>
      </c>
      <c r="BF30" s="8" t="s">
        <v>233</v>
      </c>
      <c r="BG30" s="7" t="s">
        <v>233</v>
      </c>
      <c r="BH30" s="7" t="s">
        <v>233</v>
      </c>
      <c r="BI30" s="7"/>
      <c r="BJ30" s="4">
        <v>11</v>
      </c>
      <c r="BK30" s="8">
        <v>497.92</v>
      </c>
      <c r="BL30" s="2" t="s">
        <v>383</v>
      </c>
      <c r="BM30" s="7"/>
      <c r="BN30" s="7"/>
      <c r="BO30" s="4"/>
      <c r="BP30" s="8"/>
      <c r="BQ30" s="4"/>
      <c r="BR30" s="8"/>
      <c r="BS30" s="7"/>
      <c r="BT30" s="7"/>
      <c r="BU30" s="2" t="s">
        <v>384</v>
      </c>
      <c r="BV30" s="2" t="s">
        <v>233</v>
      </c>
      <c r="BW30" s="2" t="s">
        <v>233</v>
      </c>
      <c r="BX30" s="2" t="s">
        <v>241</v>
      </c>
      <c r="BY30" s="2" t="s">
        <v>242</v>
      </c>
      <c r="BZ30" s="2" t="s">
        <v>230</v>
      </c>
      <c r="CA30" s="2" t="s">
        <v>243</v>
      </c>
      <c r="CB30" s="2" t="s">
        <v>385</v>
      </c>
      <c r="CC30" s="2" t="s">
        <v>245</v>
      </c>
      <c r="CD30" s="2" t="s">
        <v>233</v>
      </c>
      <c r="CE30" s="4">
        <v>358</v>
      </c>
      <c r="CF30" s="4">
        <v>150</v>
      </c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>
        <v>510</v>
      </c>
      <c r="GD30" s="4">
        <v>472</v>
      </c>
      <c r="GE30" s="4">
        <v>453</v>
      </c>
      <c r="GF30" s="4">
        <v>437</v>
      </c>
      <c r="GG30" s="4">
        <v>409</v>
      </c>
      <c r="GH30" s="4">
        <v>394</v>
      </c>
      <c r="GI30" s="4">
        <v>378</v>
      </c>
      <c r="GJ30" s="4">
        <v>368</v>
      </c>
      <c r="GK30" s="4">
        <v>361</v>
      </c>
      <c r="GL30" s="4">
        <v>353</v>
      </c>
      <c r="GM30" s="4">
        <v>346</v>
      </c>
      <c r="GN30" s="4">
        <v>338</v>
      </c>
      <c r="GO30" s="4">
        <v>330</v>
      </c>
      <c r="GP30" s="4">
        <v>322</v>
      </c>
      <c r="GQ30" s="4">
        <v>315</v>
      </c>
      <c r="GR30" s="4">
        <v>304</v>
      </c>
      <c r="GS30" s="4">
        <v>293</v>
      </c>
      <c r="GT30" s="4">
        <v>281</v>
      </c>
      <c r="GU30" s="4">
        <v>270</v>
      </c>
      <c r="GV30" s="4">
        <v>259</v>
      </c>
      <c r="GW30" s="4">
        <v>248</v>
      </c>
      <c r="GX30" s="4">
        <v>237</v>
      </c>
      <c r="GY30" s="4">
        <v>226</v>
      </c>
      <c r="GZ30" s="4">
        <v>215</v>
      </c>
      <c r="HA30" s="4">
        <v>204</v>
      </c>
      <c r="HB30" s="4">
        <v>192</v>
      </c>
      <c r="HC30" s="19">
        <v>20.4</v>
      </c>
      <c r="HD30" s="19">
        <v>23.6</v>
      </c>
      <c r="HE30" s="19">
        <v>23.8</v>
      </c>
      <c r="HF30" s="19">
        <v>25.7</v>
      </c>
      <c r="HG30" s="19">
        <v>34.1</v>
      </c>
      <c r="HH30" s="19">
        <v>39.4</v>
      </c>
      <c r="HI30" s="19">
        <v>47.3</v>
      </c>
      <c r="HJ30" s="19">
        <v>46</v>
      </c>
      <c r="HK30" s="19">
        <v>45.1</v>
      </c>
      <c r="HL30" s="19">
        <v>44.1</v>
      </c>
      <c r="HM30" s="19">
        <v>43.3</v>
      </c>
      <c r="HN30" s="19">
        <v>42.3</v>
      </c>
      <c r="HO30" s="19">
        <v>36.7</v>
      </c>
      <c r="HP30" s="19">
        <v>32.2</v>
      </c>
      <c r="HQ30" s="19">
        <v>28.6</v>
      </c>
      <c r="HR30" s="19">
        <v>27.6</v>
      </c>
      <c r="HS30" s="19">
        <v>26.6</v>
      </c>
      <c r="HT30" s="19">
        <v>25.5</v>
      </c>
      <c r="HU30" s="19">
        <v>24.5</v>
      </c>
      <c r="HV30" s="19">
        <v>23.5</v>
      </c>
      <c r="HW30" s="19">
        <v>22.5</v>
      </c>
      <c r="HX30" s="19">
        <v>21.5</v>
      </c>
      <c r="HY30" s="19">
        <v>18.8</v>
      </c>
      <c r="HZ30" s="19">
        <v>17.9</v>
      </c>
      <c r="IA30" s="19">
        <v>17</v>
      </c>
      <c r="IB30" s="19">
        <v>16</v>
      </c>
    </row>
    <row r="31">
      <c r="A31" s="2" t="s">
        <v>386</v>
      </c>
      <c r="B31" s="2" t="s">
        <v>222</v>
      </c>
      <c r="C31" s="2" t="s">
        <v>223</v>
      </c>
      <c r="D31" s="2" t="s">
        <v>224</v>
      </c>
      <c r="E31" s="2" t="s">
        <v>225</v>
      </c>
      <c r="F31" s="2" t="s">
        <v>380</v>
      </c>
      <c r="G31" s="2" t="s">
        <v>380</v>
      </c>
      <c r="H31" s="2" t="s">
        <v>380</v>
      </c>
      <c r="I31" s="2" t="s">
        <v>381</v>
      </c>
      <c r="J31" s="2" t="s">
        <v>252</v>
      </c>
      <c r="K31" s="2" t="s">
        <v>229</v>
      </c>
      <c r="L31" s="3">
        <v>54</v>
      </c>
      <c r="M31" s="3">
        <v>56.7</v>
      </c>
      <c r="N31" s="3">
        <v>119.99</v>
      </c>
      <c r="O31" s="2" t="s">
        <v>230</v>
      </c>
      <c r="P31" s="2" t="s">
        <v>231</v>
      </c>
      <c r="Q31" s="2" t="s">
        <v>232</v>
      </c>
      <c r="R31" s="2" t="s">
        <v>233</v>
      </c>
      <c r="S31" s="2" t="s">
        <v>382</v>
      </c>
      <c r="T31" s="2" t="s">
        <v>235</v>
      </c>
      <c r="U31" s="2" t="s">
        <v>233</v>
      </c>
      <c r="V31" s="2" t="s">
        <v>236</v>
      </c>
      <c r="W31" s="2" t="s">
        <v>237</v>
      </c>
      <c r="X31" s="2" t="s">
        <v>233</v>
      </c>
      <c r="Y31" s="2" t="s">
        <v>238</v>
      </c>
      <c r="Z31" s="4">
        <v>312</v>
      </c>
      <c r="AA31" s="4">
        <f>=ROUNDDOWN(44.5714285714286,0)</f>
      </c>
      <c r="AB31" s="5">
        <v>7</v>
      </c>
      <c r="AC31" s="2" t="s">
        <v>233</v>
      </c>
      <c r="AD31" s="4"/>
      <c r="AE31" s="4"/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233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233</v>
      </c>
      <c r="AW31" s="8" t="s">
        <v>233</v>
      </c>
      <c r="AX31" s="4" t="s">
        <v>233</v>
      </c>
      <c r="AY31" s="8" t="s">
        <v>233</v>
      </c>
      <c r="AZ31" s="7" t="s">
        <v>233</v>
      </c>
      <c r="BA31" s="7" t="s">
        <v>233</v>
      </c>
      <c r="BB31" s="7"/>
      <c r="BC31" s="4" t="s">
        <v>233</v>
      </c>
      <c r="BD31" s="8" t="s">
        <v>233</v>
      </c>
      <c r="BE31" s="4" t="s">
        <v>233</v>
      </c>
      <c r="BF31" s="8" t="s">
        <v>233</v>
      </c>
      <c r="BG31" s="7" t="s">
        <v>233</v>
      </c>
      <c r="BH31" s="7" t="s">
        <v>233</v>
      </c>
      <c r="BI31" s="7"/>
      <c r="BJ31" s="4">
        <v>3</v>
      </c>
      <c r="BK31" s="8">
        <v>181.81</v>
      </c>
      <c r="BL31" s="2" t="s">
        <v>387</v>
      </c>
      <c r="BM31" s="7"/>
      <c r="BN31" s="7"/>
      <c r="BO31" s="4"/>
      <c r="BP31" s="8"/>
      <c r="BQ31" s="4"/>
      <c r="BR31" s="8"/>
      <c r="BS31" s="7"/>
      <c r="BT31" s="7"/>
      <c r="BU31" s="2" t="s">
        <v>384</v>
      </c>
      <c r="BV31" s="2" t="s">
        <v>233</v>
      </c>
      <c r="BW31" s="2" t="s">
        <v>233</v>
      </c>
      <c r="BX31" s="2" t="s">
        <v>241</v>
      </c>
      <c r="BY31" s="2" t="s">
        <v>242</v>
      </c>
      <c r="BZ31" s="2" t="s">
        <v>230</v>
      </c>
      <c r="CA31" s="2" t="s">
        <v>243</v>
      </c>
      <c r="CB31" s="2" t="s">
        <v>388</v>
      </c>
      <c r="CC31" s="2" t="s">
        <v>245</v>
      </c>
      <c r="CD31" s="2" t="s">
        <v>233</v>
      </c>
      <c r="CE31" s="4">
        <v>262</v>
      </c>
      <c r="CF31" s="4">
        <v>50</v>
      </c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>
        <v>315</v>
      </c>
      <c r="GD31" s="4">
        <v>306</v>
      </c>
      <c r="GE31" s="4">
        <v>295</v>
      </c>
      <c r="GF31" s="4">
        <v>286</v>
      </c>
      <c r="GG31" s="4">
        <v>270</v>
      </c>
      <c r="GH31" s="4">
        <v>258</v>
      </c>
      <c r="GI31" s="4">
        <v>245</v>
      </c>
      <c r="GJ31" s="4">
        <v>238</v>
      </c>
      <c r="GK31" s="4">
        <v>234</v>
      </c>
      <c r="GL31" s="4">
        <v>229</v>
      </c>
      <c r="GM31" s="4">
        <v>224</v>
      </c>
      <c r="GN31" s="4">
        <v>219</v>
      </c>
      <c r="GO31" s="4">
        <v>214</v>
      </c>
      <c r="GP31" s="4">
        <v>209</v>
      </c>
      <c r="GQ31" s="4">
        <v>205</v>
      </c>
      <c r="GR31" s="4">
        <v>199</v>
      </c>
      <c r="GS31" s="4">
        <v>193</v>
      </c>
      <c r="GT31" s="4">
        <v>186</v>
      </c>
      <c r="GU31" s="4">
        <v>180</v>
      </c>
      <c r="GV31" s="4">
        <v>174</v>
      </c>
      <c r="GW31" s="4">
        <v>168</v>
      </c>
      <c r="GX31" s="4">
        <v>162</v>
      </c>
      <c r="GY31" s="4">
        <v>156</v>
      </c>
      <c r="GZ31" s="4">
        <v>150</v>
      </c>
      <c r="HA31" s="4">
        <v>144</v>
      </c>
      <c r="HB31" s="4">
        <v>138</v>
      </c>
      <c r="HC31" s="19">
        <v>28.6</v>
      </c>
      <c r="HD31" s="19">
        <v>25.5</v>
      </c>
      <c r="HE31" s="19">
        <v>24.6</v>
      </c>
      <c r="HF31" s="19">
        <v>23.8</v>
      </c>
      <c r="HG31" s="19">
        <v>30</v>
      </c>
      <c r="HH31" s="19">
        <v>36.9</v>
      </c>
      <c r="HI31" s="19">
        <v>49</v>
      </c>
      <c r="HJ31" s="19">
        <v>47.6</v>
      </c>
      <c r="HK31" s="19">
        <v>46.8</v>
      </c>
      <c r="HL31" s="19">
        <v>45.8</v>
      </c>
      <c r="HM31" s="19">
        <v>44.8</v>
      </c>
      <c r="HN31" s="19">
        <v>43.8</v>
      </c>
      <c r="HO31" s="19">
        <v>42.8</v>
      </c>
      <c r="HP31" s="19">
        <v>34.8</v>
      </c>
      <c r="HQ31" s="19">
        <v>34.2</v>
      </c>
      <c r="HR31" s="19">
        <v>33.2</v>
      </c>
      <c r="HS31" s="19">
        <v>32.2</v>
      </c>
      <c r="HT31" s="19">
        <v>31</v>
      </c>
      <c r="HU31" s="19">
        <v>30</v>
      </c>
      <c r="HV31" s="19">
        <v>29</v>
      </c>
      <c r="HW31" s="19">
        <v>28</v>
      </c>
      <c r="HX31" s="19">
        <v>27</v>
      </c>
      <c r="HY31" s="19">
        <v>26</v>
      </c>
      <c r="HZ31" s="19">
        <v>25</v>
      </c>
      <c r="IA31" s="19">
        <v>24</v>
      </c>
      <c r="IB31" s="19">
        <v>23</v>
      </c>
    </row>
    <row r="32">
      <c r="A32" s="2" t="s">
        <v>389</v>
      </c>
      <c r="B32" s="2" t="s">
        <v>222</v>
      </c>
      <c r="C32" s="2" t="s">
        <v>223</v>
      </c>
      <c r="D32" s="2" t="s">
        <v>224</v>
      </c>
      <c r="E32" s="2" t="s">
        <v>225</v>
      </c>
      <c r="F32" s="2" t="s">
        <v>380</v>
      </c>
      <c r="G32" s="2" t="s">
        <v>380</v>
      </c>
      <c r="H32" s="2" t="s">
        <v>380</v>
      </c>
      <c r="I32" s="2" t="s">
        <v>381</v>
      </c>
      <c r="J32" s="2" t="s">
        <v>336</v>
      </c>
      <c r="K32" s="2" t="s">
        <v>229</v>
      </c>
      <c r="L32" s="3">
        <v>62.1</v>
      </c>
      <c r="M32" s="3">
        <v>65.2</v>
      </c>
      <c r="N32" s="3">
        <v>134.99</v>
      </c>
      <c r="O32" s="2" t="s">
        <v>230</v>
      </c>
      <c r="P32" s="2" t="s">
        <v>231</v>
      </c>
      <c r="Q32" s="2" t="s">
        <v>232</v>
      </c>
      <c r="R32" s="2" t="s">
        <v>233</v>
      </c>
      <c r="S32" s="2" t="s">
        <v>382</v>
      </c>
      <c r="T32" s="2" t="s">
        <v>235</v>
      </c>
      <c r="U32" s="2" t="s">
        <v>233</v>
      </c>
      <c r="V32" s="2" t="s">
        <v>236</v>
      </c>
      <c r="W32" s="2" t="s">
        <v>237</v>
      </c>
      <c r="X32" s="2" t="s">
        <v>233</v>
      </c>
      <c r="Y32" s="2" t="s">
        <v>238</v>
      </c>
      <c r="Z32" s="4">
        <v>524</v>
      </c>
      <c r="AA32" s="4">
        <f>=ROUNDDOWN(32.75,0)</f>
      </c>
      <c r="AB32" s="5">
        <v>16</v>
      </c>
      <c r="AC32" s="2" t="s">
        <v>233</v>
      </c>
      <c r="AD32" s="4"/>
      <c r="AE32" s="4"/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233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233</v>
      </c>
      <c r="AW32" s="8" t="s">
        <v>233</v>
      </c>
      <c r="AX32" s="4" t="s">
        <v>233</v>
      </c>
      <c r="AY32" s="8" t="s">
        <v>233</v>
      </c>
      <c r="AZ32" s="7" t="s">
        <v>233</v>
      </c>
      <c r="BA32" s="7" t="s">
        <v>233</v>
      </c>
      <c r="BB32" s="7"/>
      <c r="BC32" s="4" t="s">
        <v>233</v>
      </c>
      <c r="BD32" s="8" t="s">
        <v>233</v>
      </c>
      <c r="BE32" s="4" t="s">
        <v>233</v>
      </c>
      <c r="BF32" s="8" t="s">
        <v>233</v>
      </c>
      <c r="BG32" s="7" t="s">
        <v>233</v>
      </c>
      <c r="BH32" s="7" t="s">
        <v>233</v>
      </c>
      <c r="BI32" s="7"/>
      <c r="BJ32" s="4">
        <v>31</v>
      </c>
      <c r="BK32" s="8">
        <v>2183.83</v>
      </c>
      <c r="BL32" s="2" t="s">
        <v>390</v>
      </c>
      <c r="BM32" s="7"/>
      <c r="BN32" s="7"/>
      <c r="BO32" s="4"/>
      <c r="BP32" s="8"/>
      <c r="BQ32" s="4"/>
      <c r="BR32" s="8"/>
      <c r="BS32" s="7"/>
      <c r="BT32" s="7"/>
      <c r="BU32" s="2" t="s">
        <v>384</v>
      </c>
      <c r="BV32" s="2" t="s">
        <v>233</v>
      </c>
      <c r="BW32" s="2" t="s">
        <v>233</v>
      </c>
      <c r="BX32" s="2" t="s">
        <v>241</v>
      </c>
      <c r="BY32" s="2" t="s">
        <v>242</v>
      </c>
      <c r="BZ32" s="2" t="s">
        <v>230</v>
      </c>
      <c r="CA32" s="2" t="s">
        <v>243</v>
      </c>
      <c r="CB32" s="2" t="s">
        <v>391</v>
      </c>
      <c r="CC32" s="2" t="s">
        <v>245</v>
      </c>
      <c r="CD32" s="2" t="s">
        <v>233</v>
      </c>
      <c r="CE32" s="4">
        <v>447</v>
      </c>
      <c r="CF32" s="4">
        <v>77</v>
      </c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>
        <v>526</v>
      </c>
      <c r="GD32" s="4">
        <v>502</v>
      </c>
      <c r="GE32" s="4">
        <v>478</v>
      </c>
      <c r="GF32" s="4">
        <v>457</v>
      </c>
      <c r="GG32" s="4">
        <v>423</v>
      </c>
      <c r="GH32" s="4">
        <v>404</v>
      </c>
      <c r="GI32" s="4">
        <v>383</v>
      </c>
      <c r="GJ32" s="4">
        <v>371</v>
      </c>
      <c r="GK32" s="4">
        <v>362</v>
      </c>
      <c r="GL32" s="4">
        <v>352</v>
      </c>
      <c r="GM32" s="4">
        <v>343</v>
      </c>
      <c r="GN32" s="4">
        <v>333</v>
      </c>
      <c r="GO32" s="4">
        <v>323</v>
      </c>
      <c r="GP32" s="4">
        <v>313</v>
      </c>
      <c r="GQ32" s="4">
        <v>304</v>
      </c>
      <c r="GR32" s="4">
        <v>292</v>
      </c>
      <c r="GS32" s="4">
        <v>280</v>
      </c>
      <c r="GT32" s="4">
        <v>268</v>
      </c>
      <c r="GU32" s="4">
        <v>256</v>
      </c>
      <c r="GV32" s="4">
        <v>240</v>
      </c>
      <c r="GW32" s="4">
        <v>224</v>
      </c>
      <c r="GX32" s="4">
        <v>208</v>
      </c>
      <c r="GY32" s="4">
        <v>192</v>
      </c>
      <c r="GZ32" s="4">
        <v>174</v>
      </c>
      <c r="HA32" s="4">
        <v>156</v>
      </c>
      <c r="HB32" s="4">
        <v>138</v>
      </c>
      <c r="HC32" s="19">
        <v>20.2</v>
      </c>
      <c r="HD32" s="19">
        <v>20.9</v>
      </c>
      <c r="HE32" s="19">
        <v>19.9</v>
      </c>
      <c r="HF32" s="19">
        <v>20.8</v>
      </c>
      <c r="HG32" s="19">
        <v>28.2</v>
      </c>
      <c r="HH32" s="19">
        <v>31.1</v>
      </c>
      <c r="HI32" s="19">
        <v>38.3</v>
      </c>
      <c r="HJ32" s="19">
        <v>37.1</v>
      </c>
      <c r="HK32" s="19">
        <v>36.2</v>
      </c>
      <c r="HL32" s="19">
        <v>35.2</v>
      </c>
      <c r="HM32" s="19">
        <v>34.3</v>
      </c>
      <c r="HN32" s="19">
        <v>33.3</v>
      </c>
      <c r="HO32" s="19">
        <v>29.4</v>
      </c>
      <c r="HP32" s="19">
        <v>28.5</v>
      </c>
      <c r="HQ32" s="19">
        <v>25.3</v>
      </c>
      <c r="HR32" s="19">
        <v>22.5</v>
      </c>
      <c r="HS32" s="19">
        <v>20</v>
      </c>
      <c r="HT32" s="19">
        <v>17.9</v>
      </c>
      <c r="HU32" s="19">
        <v>16</v>
      </c>
      <c r="HV32" s="19">
        <v>15</v>
      </c>
      <c r="HW32" s="19">
        <v>13.2</v>
      </c>
      <c r="HX32" s="19">
        <v>11.6</v>
      </c>
      <c r="HY32" s="19">
        <v>10.7</v>
      </c>
      <c r="HZ32" s="19">
        <v>9.7</v>
      </c>
      <c r="IA32" s="19">
        <v>9.2</v>
      </c>
      <c r="IB32" s="19">
        <v>8.6</v>
      </c>
    </row>
    <row r="33">
      <c r="A33" s="2" t="s">
        <v>392</v>
      </c>
      <c r="B33" s="2" t="s">
        <v>222</v>
      </c>
      <c r="C33" s="2" t="s">
        <v>223</v>
      </c>
      <c r="D33" s="2" t="s">
        <v>224</v>
      </c>
      <c r="E33" s="2" t="s">
        <v>225</v>
      </c>
      <c r="F33" s="2" t="s">
        <v>380</v>
      </c>
      <c r="G33" s="2" t="s">
        <v>380</v>
      </c>
      <c r="H33" s="2" t="s">
        <v>380</v>
      </c>
      <c r="I33" s="2" t="s">
        <v>381</v>
      </c>
      <c r="J33" s="2" t="s">
        <v>256</v>
      </c>
      <c r="K33" s="2" t="s">
        <v>229</v>
      </c>
      <c r="L33" s="3">
        <v>76.8</v>
      </c>
      <c r="M33" s="3">
        <v>80.64</v>
      </c>
      <c r="N33" s="3">
        <v>159.99</v>
      </c>
      <c r="O33" s="2" t="s">
        <v>230</v>
      </c>
      <c r="P33" s="2" t="s">
        <v>231</v>
      </c>
      <c r="Q33" s="2" t="s">
        <v>232</v>
      </c>
      <c r="R33" s="2" t="s">
        <v>233</v>
      </c>
      <c r="S33" s="2" t="s">
        <v>382</v>
      </c>
      <c r="T33" s="2" t="s">
        <v>235</v>
      </c>
      <c r="U33" s="2" t="s">
        <v>233</v>
      </c>
      <c r="V33" s="2" t="s">
        <v>236</v>
      </c>
      <c r="W33" s="2" t="s">
        <v>237</v>
      </c>
      <c r="X33" s="2" t="s">
        <v>233</v>
      </c>
      <c r="Y33" s="2" t="s">
        <v>238</v>
      </c>
      <c r="Z33" s="4">
        <v>324</v>
      </c>
      <c r="AA33" s="4">
        <f>=ROUNDDOWN(54,0)</f>
      </c>
      <c r="AB33" s="5">
        <v>6</v>
      </c>
      <c r="AC33" s="2" t="s">
        <v>233</v>
      </c>
      <c r="AD33" s="4"/>
      <c r="AE33" s="4"/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233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233</v>
      </c>
      <c r="AW33" s="8" t="s">
        <v>233</v>
      </c>
      <c r="AX33" s="4" t="s">
        <v>233</v>
      </c>
      <c r="AY33" s="8" t="s">
        <v>233</v>
      </c>
      <c r="AZ33" s="7" t="s">
        <v>233</v>
      </c>
      <c r="BA33" s="7" t="s">
        <v>233</v>
      </c>
      <c r="BB33" s="7"/>
      <c r="BC33" s="4" t="s">
        <v>233</v>
      </c>
      <c r="BD33" s="8" t="s">
        <v>233</v>
      </c>
      <c r="BE33" s="4" t="s">
        <v>233</v>
      </c>
      <c r="BF33" s="8" t="s">
        <v>233</v>
      </c>
      <c r="BG33" s="7" t="s">
        <v>233</v>
      </c>
      <c r="BH33" s="7" t="s">
        <v>233</v>
      </c>
      <c r="BI33" s="7"/>
      <c r="BJ33" s="4">
        <v>18</v>
      </c>
      <c r="BK33" s="8">
        <v>1530.68</v>
      </c>
      <c r="BL33" s="2" t="s">
        <v>393</v>
      </c>
      <c r="BM33" s="7"/>
      <c r="BN33" s="7"/>
      <c r="BO33" s="4"/>
      <c r="BP33" s="8"/>
      <c r="BQ33" s="4"/>
      <c r="BR33" s="8"/>
      <c r="BS33" s="7"/>
      <c r="BT33" s="7"/>
      <c r="BU33" s="2" t="s">
        <v>384</v>
      </c>
      <c r="BV33" s="2" t="s">
        <v>233</v>
      </c>
      <c r="BW33" s="2" t="s">
        <v>233</v>
      </c>
      <c r="BX33" s="2" t="s">
        <v>241</v>
      </c>
      <c r="BY33" s="2" t="s">
        <v>242</v>
      </c>
      <c r="BZ33" s="2" t="s">
        <v>230</v>
      </c>
      <c r="CA33" s="2" t="s">
        <v>243</v>
      </c>
      <c r="CB33" s="2" t="s">
        <v>394</v>
      </c>
      <c r="CC33" s="2" t="s">
        <v>245</v>
      </c>
      <c r="CD33" s="2" t="s">
        <v>233</v>
      </c>
      <c r="CE33" s="4">
        <v>275</v>
      </c>
      <c r="CF33" s="4">
        <v>49</v>
      </c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>
        <v>327</v>
      </c>
      <c r="GD33" s="4">
        <v>319</v>
      </c>
      <c r="GE33" s="4">
        <v>309</v>
      </c>
      <c r="GF33" s="4">
        <v>301</v>
      </c>
      <c r="GG33" s="4">
        <v>286</v>
      </c>
      <c r="GH33" s="4">
        <v>278</v>
      </c>
      <c r="GI33" s="4">
        <v>270</v>
      </c>
      <c r="GJ33" s="4">
        <v>265</v>
      </c>
      <c r="GK33" s="4">
        <v>262</v>
      </c>
      <c r="GL33" s="4">
        <v>258</v>
      </c>
      <c r="GM33" s="4">
        <v>254</v>
      </c>
      <c r="GN33" s="4">
        <v>250</v>
      </c>
      <c r="GO33" s="4">
        <v>246</v>
      </c>
      <c r="GP33" s="4">
        <v>242</v>
      </c>
      <c r="GQ33" s="4">
        <v>238</v>
      </c>
      <c r="GR33" s="4">
        <v>231</v>
      </c>
      <c r="GS33" s="4">
        <v>224</v>
      </c>
      <c r="GT33" s="4">
        <v>217</v>
      </c>
      <c r="GU33" s="4">
        <v>210</v>
      </c>
      <c r="GV33" s="4">
        <v>203</v>
      </c>
      <c r="GW33" s="4">
        <v>196</v>
      </c>
      <c r="GX33" s="4">
        <v>189</v>
      </c>
      <c r="GY33" s="4">
        <v>182</v>
      </c>
      <c r="GZ33" s="4">
        <v>175</v>
      </c>
      <c r="HA33" s="4">
        <v>168</v>
      </c>
      <c r="HB33" s="4">
        <v>161</v>
      </c>
      <c r="HC33" s="19">
        <v>32.7</v>
      </c>
      <c r="HD33" s="19">
        <v>31.9</v>
      </c>
      <c r="HE33" s="19">
        <v>30.9</v>
      </c>
      <c r="HF33" s="19">
        <v>33.4</v>
      </c>
      <c r="HG33" s="19">
        <v>47.7</v>
      </c>
      <c r="HH33" s="19">
        <v>55.6</v>
      </c>
      <c r="HI33" s="19">
        <v>67.5</v>
      </c>
      <c r="HJ33" s="19">
        <v>66.3</v>
      </c>
      <c r="HK33" s="19">
        <v>65.5</v>
      </c>
      <c r="HL33" s="19">
        <v>64.5</v>
      </c>
      <c r="HM33" s="19">
        <v>63.5</v>
      </c>
      <c r="HN33" s="19">
        <v>50</v>
      </c>
      <c r="HO33" s="19">
        <v>41</v>
      </c>
      <c r="HP33" s="19">
        <v>40.3</v>
      </c>
      <c r="HQ33" s="19">
        <v>34</v>
      </c>
      <c r="HR33" s="19">
        <v>33</v>
      </c>
      <c r="HS33" s="19">
        <v>32</v>
      </c>
      <c r="HT33" s="19">
        <v>31</v>
      </c>
      <c r="HU33" s="19">
        <v>30</v>
      </c>
      <c r="HV33" s="19">
        <v>29</v>
      </c>
      <c r="HW33" s="19">
        <v>28</v>
      </c>
      <c r="HX33" s="19">
        <v>27</v>
      </c>
      <c r="HY33" s="19">
        <v>26</v>
      </c>
      <c r="HZ33" s="19">
        <v>25</v>
      </c>
      <c r="IA33" s="19">
        <v>28</v>
      </c>
      <c r="IB33" s="19">
        <v>26.8</v>
      </c>
    </row>
    <row r="34">
      <c r="A34" s="2" t="s">
        <v>395</v>
      </c>
      <c r="B34" s="2" t="s">
        <v>222</v>
      </c>
      <c r="C34" s="2" t="s">
        <v>223</v>
      </c>
      <c r="D34" s="2" t="s">
        <v>224</v>
      </c>
      <c r="E34" s="2" t="s">
        <v>225</v>
      </c>
      <c r="F34" s="2" t="s">
        <v>380</v>
      </c>
      <c r="G34" s="2" t="s">
        <v>380</v>
      </c>
      <c r="H34" s="2" t="s">
        <v>380</v>
      </c>
      <c r="I34" s="2" t="s">
        <v>381</v>
      </c>
      <c r="J34" s="2" t="s">
        <v>285</v>
      </c>
      <c r="K34" s="2" t="s">
        <v>229</v>
      </c>
      <c r="L34" s="3">
        <v>76.8</v>
      </c>
      <c r="M34" s="3">
        <v>80.64</v>
      </c>
      <c r="N34" s="3">
        <v>159.99</v>
      </c>
      <c r="O34" s="2" t="s">
        <v>230</v>
      </c>
      <c r="P34" s="2" t="s">
        <v>231</v>
      </c>
      <c r="Q34" s="2" t="s">
        <v>232</v>
      </c>
      <c r="R34" s="2" t="s">
        <v>233</v>
      </c>
      <c r="S34" s="2" t="s">
        <v>382</v>
      </c>
      <c r="T34" s="2" t="s">
        <v>235</v>
      </c>
      <c r="U34" s="2" t="s">
        <v>233</v>
      </c>
      <c r="V34" s="2" t="s">
        <v>236</v>
      </c>
      <c r="W34" s="2" t="s">
        <v>237</v>
      </c>
      <c r="X34" s="2" t="s">
        <v>233</v>
      </c>
      <c r="Y34" s="2" t="s">
        <v>238</v>
      </c>
      <c r="Z34" s="4">
        <v>158</v>
      </c>
      <c r="AA34" s="4">
        <f>=ROUNDDOWN(52.6666666666667,0)</f>
      </c>
      <c r="AB34" s="5">
        <v>3</v>
      </c>
      <c r="AC34" s="2" t="s">
        <v>233</v>
      </c>
      <c r="AD34" s="4"/>
      <c r="AE34" s="4"/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233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233</v>
      </c>
      <c r="AW34" s="8" t="s">
        <v>233</v>
      </c>
      <c r="AX34" s="4" t="s">
        <v>233</v>
      </c>
      <c r="AY34" s="8" t="s">
        <v>233</v>
      </c>
      <c r="AZ34" s="7" t="s">
        <v>233</v>
      </c>
      <c r="BA34" s="7" t="s">
        <v>233</v>
      </c>
      <c r="BB34" s="7"/>
      <c r="BC34" s="4" t="s">
        <v>233</v>
      </c>
      <c r="BD34" s="8" t="s">
        <v>233</v>
      </c>
      <c r="BE34" s="4" t="s">
        <v>233</v>
      </c>
      <c r="BF34" s="8" t="s">
        <v>233</v>
      </c>
      <c r="BG34" s="7" t="s">
        <v>233</v>
      </c>
      <c r="BH34" s="7" t="s">
        <v>233</v>
      </c>
      <c r="BI34" s="7"/>
      <c r="BJ34" s="4">
        <v>8</v>
      </c>
      <c r="BK34" s="8">
        <v>723.1</v>
      </c>
      <c r="BL34" s="2" t="s">
        <v>396</v>
      </c>
      <c r="BM34" s="7"/>
      <c r="BN34" s="7"/>
      <c r="BO34" s="4"/>
      <c r="BP34" s="8"/>
      <c r="BQ34" s="4"/>
      <c r="BR34" s="8"/>
      <c r="BS34" s="7"/>
      <c r="BT34" s="7"/>
      <c r="BU34" s="2" t="s">
        <v>384</v>
      </c>
      <c r="BV34" s="2" t="s">
        <v>233</v>
      </c>
      <c r="BW34" s="2" t="s">
        <v>233</v>
      </c>
      <c r="BX34" s="2" t="s">
        <v>241</v>
      </c>
      <c r="BY34" s="2" t="s">
        <v>242</v>
      </c>
      <c r="BZ34" s="2" t="s">
        <v>230</v>
      </c>
      <c r="CA34" s="2" t="s">
        <v>243</v>
      </c>
      <c r="CB34" s="2" t="s">
        <v>341</v>
      </c>
      <c r="CC34" s="2" t="s">
        <v>245</v>
      </c>
      <c r="CD34" s="2" t="s">
        <v>233</v>
      </c>
      <c r="CE34" s="4">
        <v>158</v>
      </c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>
        <v>159</v>
      </c>
      <c r="GD34" s="4">
        <v>154</v>
      </c>
      <c r="GE34" s="4">
        <v>148</v>
      </c>
      <c r="GF34" s="4">
        <v>143</v>
      </c>
      <c r="GG34" s="4">
        <v>134</v>
      </c>
      <c r="GH34" s="4">
        <v>129</v>
      </c>
      <c r="GI34" s="4">
        <v>124</v>
      </c>
      <c r="GJ34" s="4">
        <v>121</v>
      </c>
      <c r="GK34" s="4">
        <v>119</v>
      </c>
      <c r="GL34" s="4">
        <v>117</v>
      </c>
      <c r="GM34" s="4">
        <v>115</v>
      </c>
      <c r="GN34" s="4">
        <v>113</v>
      </c>
      <c r="GO34" s="4">
        <v>111</v>
      </c>
      <c r="GP34" s="4">
        <v>109</v>
      </c>
      <c r="GQ34" s="4">
        <v>107</v>
      </c>
      <c r="GR34" s="4">
        <v>104</v>
      </c>
      <c r="GS34" s="4">
        <v>101</v>
      </c>
      <c r="GT34" s="4">
        <v>98</v>
      </c>
      <c r="GU34" s="4">
        <v>95</v>
      </c>
      <c r="GV34" s="4">
        <v>92</v>
      </c>
      <c r="GW34" s="4">
        <v>89</v>
      </c>
      <c r="GX34" s="4">
        <v>86</v>
      </c>
      <c r="GY34" s="4">
        <v>83</v>
      </c>
      <c r="GZ34" s="4">
        <v>80</v>
      </c>
      <c r="HA34" s="4">
        <v>77</v>
      </c>
      <c r="HB34" s="4">
        <v>74</v>
      </c>
      <c r="HC34" s="19">
        <v>26.5</v>
      </c>
      <c r="HD34" s="19">
        <v>25.7</v>
      </c>
      <c r="HE34" s="19">
        <v>24.7</v>
      </c>
      <c r="HF34" s="19">
        <v>23.8</v>
      </c>
      <c r="HG34" s="19">
        <v>33.5</v>
      </c>
      <c r="HH34" s="19">
        <v>43</v>
      </c>
      <c r="HI34" s="19">
        <v>62</v>
      </c>
      <c r="HJ34" s="19">
        <v>60.5</v>
      </c>
      <c r="HK34" s="19">
        <v>59.5</v>
      </c>
      <c r="HL34" s="19">
        <v>58.5</v>
      </c>
      <c r="HM34" s="19">
        <v>57.5</v>
      </c>
      <c r="HN34" s="19">
        <v>56.5</v>
      </c>
      <c r="HO34" s="19">
        <v>55.5</v>
      </c>
      <c r="HP34" s="19">
        <v>36.3</v>
      </c>
      <c r="HQ34" s="19">
        <v>35.7</v>
      </c>
      <c r="HR34" s="19">
        <v>34.7</v>
      </c>
      <c r="HS34" s="19">
        <v>33.7</v>
      </c>
      <c r="HT34" s="19">
        <v>32.7</v>
      </c>
      <c r="HU34" s="19">
        <v>31.7</v>
      </c>
      <c r="HV34" s="19">
        <v>30.7</v>
      </c>
      <c r="HW34" s="19">
        <v>29.7</v>
      </c>
      <c r="HX34" s="19">
        <v>28.7</v>
      </c>
      <c r="HY34" s="19">
        <v>27.7</v>
      </c>
      <c r="HZ34" s="19">
        <v>26.7</v>
      </c>
      <c r="IA34" s="19">
        <v>25.7</v>
      </c>
      <c r="IB34" s="19">
        <v>37</v>
      </c>
    </row>
    <row r="35">
      <c r="A35" s="2" t="s">
        <v>397</v>
      </c>
      <c r="B35" s="2" t="s">
        <v>222</v>
      </c>
      <c r="C35" s="2" t="s">
        <v>223</v>
      </c>
      <c r="D35" s="2" t="s">
        <v>224</v>
      </c>
      <c r="E35" s="2" t="s">
        <v>225</v>
      </c>
      <c r="F35" s="2" t="s">
        <v>398</v>
      </c>
      <c r="G35" s="2" t="s">
        <v>398</v>
      </c>
      <c r="H35" s="2" t="s">
        <v>398</v>
      </c>
      <c r="I35" s="2" t="s">
        <v>322</v>
      </c>
      <c r="J35" s="2" t="s">
        <v>228</v>
      </c>
      <c r="K35" s="2" t="s">
        <v>266</v>
      </c>
      <c r="L35" s="3">
        <v>68.26</v>
      </c>
      <c r="M35" s="3">
        <v>71.67</v>
      </c>
      <c r="N35" s="3">
        <v>129.99</v>
      </c>
      <c r="O35" s="2" t="s">
        <v>230</v>
      </c>
      <c r="P35" s="2" t="s">
        <v>231</v>
      </c>
      <c r="Q35" s="2" t="s">
        <v>232</v>
      </c>
      <c r="R35" s="2" t="s">
        <v>233</v>
      </c>
      <c r="S35" s="2" t="s">
        <v>399</v>
      </c>
      <c r="T35" s="2" t="s">
        <v>235</v>
      </c>
      <c r="U35" s="2" t="s">
        <v>233</v>
      </c>
      <c r="V35" s="2" t="s">
        <v>236</v>
      </c>
      <c r="W35" s="2" t="s">
        <v>237</v>
      </c>
      <c r="X35" s="2" t="s">
        <v>233</v>
      </c>
      <c r="Y35" s="2" t="s">
        <v>238</v>
      </c>
      <c r="Z35" s="4">
        <v>214</v>
      </c>
      <c r="AA35" s="4">
        <f>=ROUNDDOWN(42.8,0)</f>
      </c>
      <c r="AB35" s="5">
        <v>5</v>
      </c>
      <c r="AC35" s="2" t="s">
        <v>233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233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233</v>
      </c>
      <c r="AW35" s="8" t="s">
        <v>233</v>
      </c>
      <c r="AX35" s="4" t="s">
        <v>233</v>
      </c>
      <c r="AY35" s="8" t="s">
        <v>233</v>
      </c>
      <c r="AZ35" s="7" t="s">
        <v>233</v>
      </c>
      <c r="BA35" s="7" t="s">
        <v>233</v>
      </c>
      <c r="BB35" s="7"/>
      <c r="BC35" s="4" t="s">
        <v>233</v>
      </c>
      <c r="BD35" s="8" t="s">
        <v>233</v>
      </c>
      <c r="BE35" s="4" t="s">
        <v>233</v>
      </c>
      <c r="BF35" s="8" t="s">
        <v>233</v>
      </c>
      <c r="BG35" s="7" t="s">
        <v>233</v>
      </c>
      <c r="BH35" s="7" t="s">
        <v>233</v>
      </c>
      <c r="BI35" s="7"/>
      <c r="BJ35" s="4">
        <v>6</v>
      </c>
      <c r="BK35" s="8">
        <v>431.56</v>
      </c>
      <c r="BL35" s="2" t="s">
        <v>400</v>
      </c>
      <c r="BM35" s="7"/>
      <c r="BN35" s="7"/>
      <c r="BO35" s="4"/>
      <c r="BP35" s="8"/>
      <c r="BQ35" s="4"/>
      <c r="BR35" s="8"/>
      <c r="BS35" s="7"/>
      <c r="BT35" s="7"/>
      <c r="BU35" s="2" t="s">
        <v>401</v>
      </c>
      <c r="BV35" s="2" t="s">
        <v>233</v>
      </c>
      <c r="BW35" s="2" t="s">
        <v>233</v>
      </c>
      <c r="BX35" s="2" t="s">
        <v>241</v>
      </c>
      <c r="BY35" s="2" t="s">
        <v>242</v>
      </c>
      <c r="BZ35" s="2" t="s">
        <v>230</v>
      </c>
      <c r="CA35" s="2" t="s">
        <v>243</v>
      </c>
      <c r="CB35" s="2" t="s">
        <v>402</v>
      </c>
      <c r="CC35" s="2" t="s">
        <v>245</v>
      </c>
      <c r="CD35" s="2" t="s">
        <v>233</v>
      </c>
      <c r="CE35" s="4">
        <v>164</v>
      </c>
      <c r="CF35" s="4">
        <v>50</v>
      </c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>
        <v>214</v>
      </c>
      <c r="GD35" s="4">
        <v>207</v>
      </c>
      <c r="GE35" s="4">
        <v>197</v>
      </c>
      <c r="GF35" s="4">
        <v>188</v>
      </c>
      <c r="GG35" s="4">
        <v>173</v>
      </c>
      <c r="GH35" s="4">
        <v>165</v>
      </c>
      <c r="GI35" s="4">
        <v>156</v>
      </c>
      <c r="GJ35" s="4">
        <v>151</v>
      </c>
      <c r="GK35" s="4">
        <v>148</v>
      </c>
      <c r="GL35" s="4">
        <v>144</v>
      </c>
      <c r="GM35" s="4">
        <v>141</v>
      </c>
      <c r="GN35" s="4">
        <v>137</v>
      </c>
      <c r="GO35" s="4">
        <v>133</v>
      </c>
      <c r="GP35" s="4">
        <v>129</v>
      </c>
      <c r="GQ35" s="4">
        <v>126</v>
      </c>
      <c r="GR35" s="4">
        <v>121</v>
      </c>
      <c r="GS35" s="4">
        <v>116</v>
      </c>
      <c r="GT35" s="4">
        <v>110</v>
      </c>
      <c r="GU35" s="4">
        <v>105</v>
      </c>
      <c r="GV35" s="4">
        <v>100</v>
      </c>
      <c r="GW35" s="4">
        <v>95</v>
      </c>
      <c r="GX35" s="4">
        <v>90</v>
      </c>
      <c r="GY35" s="4">
        <v>85</v>
      </c>
      <c r="GZ35" s="4">
        <v>80</v>
      </c>
      <c r="HA35" s="4">
        <v>75</v>
      </c>
      <c r="HB35" s="4">
        <v>70</v>
      </c>
      <c r="HC35" s="19">
        <v>21.4</v>
      </c>
      <c r="HD35" s="19">
        <v>20.7</v>
      </c>
      <c r="HE35" s="19">
        <v>19.7</v>
      </c>
      <c r="HF35" s="19">
        <v>20.9</v>
      </c>
      <c r="HG35" s="19">
        <v>28.8</v>
      </c>
      <c r="HH35" s="19">
        <v>33</v>
      </c>
      <c r="HI35" s="19">
        <v>39</v>
      </c>
      <c r="HJ35" s="19">
        <v>37.8</v>
      </c>
      <c r="HK35" s="19">
        <v>37</v>
      </c>
      <c r="HL35" s="19">
        <v>36</v>
      </c>
      <c r="HM35" s="19">
        <v>35.3</v>
      </c>
      <c r="HN35" s="19">
        <v>34.3</v>
      </c>
      <c r="HO35" s="19">
        <v>33.3</v>
      </c>
      <c r="HP35" s="19">
        <v>25.8</v>
      </c>
      <c r="HQ35" s="19">
        <v>25.2</v>
      </c>
      <c r="HR35" s="19">
        <v>24.2</v>
      </c>
      <c r="HS35" s="19">
        <v>23.2</v>
      </c>
      <c r="HT35" s="19">
        <v>22</v>
      </c>
      <c r="HU35" s="19">
        <v>21</v>
      </c>
      <c r="HV35" s="19">
        <v>20</v>
      </c>
      <c r="HW35" s="19">
        <v>19</v>
      </c>
      <c r="HX35" s="19">
        <v>18</v>
      </c>
      <c r="HY35" s="19">
        <v>17</v>
      </c>
      <c r="HZ35" s="19">
        <v>16</v>
      </c>
      <c r="IA35" s="19">
        <v>15</v>
      </c>
      <c r="IB35" s="19">
        <v>14</v>
      </c>
    </row>
    <row r="36">
      <c r="A36" s="2" t="s">
        <v>403</v>
      </c>
      <c r="B36" s="2" t="s">
        <v>222</v>
      </c>
      <c r="C36" s="2" t="s">
        <v>223</v>
      </c>
      <c r="D36" s="2" t="s">
        <v>224</v>
      </c>
      <c r="E36" s="2" t="s">
        <v>225</v>
      </c>
      <c r="F36" s="2" t="s">
        <v>398</v>
      </c>
      <c r="G36" s="2" t="s">
        <v>398</v>
      </c>
      <c r="H36" s="2" t="s">
        <v>398</v>
      </c>
      <c r="I36" s="2" t="s">
        <v>322</v>
      </c>
      <c r="J36" s="2" t="s">
        <v>247</v>
      </c>
      <c r="K36" s="2" t="s">
        <v>266</v>
      </c>
      <c r="L36" s="3">
        <v>68.26</v>
      </c>
      <c r="M36" s="3">
        <v>71.67</v>
      </c>
      <c r="N36" s="3">
        <v>129.99</v>
      </c>
      <c r="O36" s="2" t="s">
        <v>230</v>
      </c>
      <c r="P36" s="2" t="s">
        <v>231</v>
      </c>
      <c r="Q36" s="2" t="s">
        <v>232</v>
      </c>
      <c r="R36" s="2" t="s">
        <v>233</v>
      </c>
      <c r="S36" s="2" t="s">
        <v>399</v>
      </c>
      <c r="T36" s="2" t="s">
        <v>235</v>
      </c>
      <c r="U36" s="2" t="s">
        <v>233</v>
      </c>
      <c r="V36" s="2" t="s">
        <v>236</v>
      </c>
      <c r="W36" s="2" t="s">
        <v>237</v>
      </c>
      <c r="X36" s="2" t="s">
        <v>233</v>
      </c>
      <c r="Y36" s="2" t="s">
        <v>238</v>
      </c>
      <c r="Z36" s="4">
        <v>98</v>
      </c>
      <c r="AA36" s="4">
        <f>=ROUNDDOWN(8.90909090909091,0)</f>
      </c>
      <c r="AB36" s="5">
        <v>11</v>
      </c>
      <c r="AC36" s="2" t="s">
        <v>145</v>
      </c>
      <c r="AD36" s="4">
        <v>150</v>
      </c>
      <c r="AE36" s="4">
        <v>150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233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233</v>
      </c>
      <c r="AW36" s="8" t="s">
        <v>233</v>
      </c>
      <c r="AX36" s="4" t="s">
        <v>233</v>
      </c>
      <c r="AY36" s="8" t="s">
        <v>233</v>
      </c>
      <c r="AZ36" s="7" t="s">
        <v>233</v>
      </c>
      <c r="BA36" s="7" t="s">
        <v>233</v>
      </c>
      <c r="BB36" s="7"/>
      <c r="BC36" s="4" t="s">
        <v>233</v>
      </c>
      <c r="BD36" s="8" t="s">
        <v>233</v>
      </c>
      <c r="BE36" s="4" t="s">
        <v>233</v>
      </c>
      <c r="BF36" s="8" t="s">
        <v>233</v>
      </c>
      <c r="BG36" s="7" t="s">
        <v>233</v>
      </c>
      <c r="BH36" s="7" t="s">
        <v>233</v>
      </c>
      <c r="BI36" s="7"/>
      <c r="BJ36" s="4">
        <v>13</v>
      </c>
      <c r="BK36" s="8">
        <v>907.7</v>
      </c>
      <c r="BL36" s="2" t="s">
        <v>404</v>
      </c>
      <c r="BM36" s="7"/>
      <c r="BN36" s="7"/>
      <c r="BO36" s="4"/>
      <c r="BP36" s="8"/>
      <c r="BQ36" s="4"/>
      <c r="BR36" s="8"/>
      <c r="BS36" s="7"/>
      <c r="BT36" s="7"/>
      <c r="BU36" s="2" t="s">
        <v>401</v>
      </c>
      <c r="BV36" s="2" t="s">
        <v>233</v>
      </c>
      <c r="BW36" s="2" t="s">
        <v>233</v>
      </c>
      <c r="BX36" s="2" t="s">
        <v>241</v>
      </c>
      <c r="BY36" s="2" t="s">
        <v>242</v>
      </c>
      <c r="BZ36" s="2" t="s">
        <v>230</v>
      </c>
      <c r="CA36" s="2" t="s">
        <v>405</v>
      </c>
      <c r="CB36" s="2" t="s">
        <v>406</v>
      </c>
      <c r="CC36" s="2" t="s">
        <v>245</v>
      </c>
      <c r="CD36" s="2" t="s">
        <v>233</v>
      </c>
      <c r="CE36" s="4">
        <v>98</v>
      </c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>
        <v>150</v>
      </c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>
        <v>98</v>
      </c>
      <c r="GD36" s="4">
        <v>92</v>
      </c>
      <c r="GE36" s="4">
        <v>84</v>
      </c>
      <c r="GF36" s="4">
        <v>227</v>
      </c>
      <c r="GG36" s="4">
        <v>215</v>
      </c>
      <c r="GH36" s="4">
        <v>208</v>
      </c>
      <c r="GI36" s="4">
        <v>200</v>
      </c>
      <c r="GJ36" s="4">
        <v>196</v>
      </c>
      <c r="GK36" s="4">
        <v>194</v>
      </c>
      <c r="GL36" s="4">
        <v>191</v>
      </c>
      <c r="GM36" s="4">
        <v>188</v>
      </c>
      <c r="GN36" s="4">
        <v>185</v>
      </c>
      <c r="GO36" s="4">
        <v>182</v>
      </c>
      <c r="GP36" s="4">
        <v>179</v>
      </c>
      <c r="GQ36" s="4">
        <v>176</v>
      </c>
      <c r="GR36" s="4">
        <v>169</v>
      </c>
      <c r="GS36" s="4">
        <v>162</v>
      </c>
      <c r="GT36" s="4">
        <v>155</v>
      </c>
      <c r="GU36" s="4">
        <v>148</v>
      </c>
      <c r="GV36" s="4">
        <v>139</v>
      </c>
      <c r="GW36" s="4">
        <v>130</v>
      </c>
      <c r="GX36" s="4">
        <v>121</v>
      </c>
      <c r="GY36" s="4">
        <v>112</v>
      </c>
      <c r="GZ36" s="4">
        <v>99</v>
      </c>
      <c r="HA36" s="4">
        <v>86</v>
      </c>
      <c r="HB36" s="4">
        <v>73</v>
      </c>
      <c r="HC36" s="19">
        <v>12.3</v>
      </c>
      <c r="HD36" s="19">
        <v>11.5</v>
      </c>
      <c r="HE36" s="19">
        <v>10.5</v>
      </c>
      <c r="HF36" s="19">
        <v>28.4</v>
      </c>
      <c r="HG36" s="19">
        <v>43</v>
      </c>
      <c r="HH36" s="19">
        <v>52</v>
      </c>
      <c r="HI36" s="19">
        <v>66.7</v>
      </c>
      <c r="HJ36" s="19">
        <v>65.3</v>
      </c>
      <c r="HK36" s="19">
        <v>64.7</v>
      </c>
      <c r="HL36" s="19">
        <v>63.7</v>
      </c>
      <c r="HM36" s="19">
        <v>62.7</v>
      </c>
      <c r="HN36" s="19">
        <v>46.3</v>
      </c>
      <c r="HO36" s="19">
        <v>36.4</v>
      </c>
      <c r="HP36" s="19">
        <v>29.8</v>
      </c>
      <c r="HQ36" s="19">
        <v>25.1</v>
      </c>
      <c r="HR36" s="9"/>
      <c r="HS36" s="19">
        <v>20.3</v>
      </c>
      <c r="HT36" s="19">
        <v>19.4</v>
      </c>
      <c r="HU36" s="19">
        <v>16.4</v>
      </c>
      <c r="HV36" s="19">
        <v>13.9</v>
      </c>
      <c r="HW36" s="19">
        <v>11.8</v>
      </c>
      <c r="HX36" s="19">
        <v>10.1</v>
      </c>
      <c r="HY36" s="19">
        <v>8.6</v>
      </c>
      <c r="HZ36" s="19">
        <v>7.6</v>
      </c>
      <c r="IA36" s="19">
        <v>6.6</v>
      </c>
      <c r="IB36" s="19">
        <v>6.1</v>
      </c>
    </row>
    <row r="37">
      <c r="A37" s="2" t="s">
        <v>407</v>
      </c>
      <c r="B37" s="2" t="s">
        <v>222</v>
      </c>
      <c r="C37" s="2" t="s">
        <v>223</v>
      </c>
      <c r="D37" s="2" t="s">
        <v>224</v>
      </c>
      <c r="E37" s="2" t="s">
        <v>225</v>
      </c>
      <c r="F37" s="2" t="s">
        <v>398</v>
      </c>
      <c r="G37" s="2" t="s">
        <v>398</v>
      </c>
      <c r="H37" s="2" t="s">
        <v>398</v>
      </c>
      <c r="I37" s="2" t="s">
        <v>322</v>
      </c>
      <c r="J37" s="2" t="s">
        <v>252</v>
      </c>
      <c r="K37" s="2" t="s">
        <v>266</v>
      </c>
      <c r="L37" s="3">
        <v>87.76</v>
      </c>
      <c r="M37" s="3">
        <v>92.15</v>
      </c>
      <c r="N37" s="3">
        <v>169.99</v>
      </c>
      <c r="O37" s="2" t="s">
        <v>230</v>
      </c>
      <c r="P37" s="2" t="s">
        <v>231</v>
      </c>
      <c r="Q37" s="2" t="s">
        <v>232</v>
      </c>
      <c r="R37" s="2" t="s">
        <v>233</v>
      </c>
      <c r="S37" s="2" t="s">
        <v>399</v>
      </c>
      <c r="T37" s="2" t="s">
        <v>235</v>
      </c>
      <c r="U37" s="2" t="s">
        <v>233</v>
      </c>
      <c r="V37" s="2" t="s">
        <v>236</v>
      </c>
      <c r="W37" s="2" t="s">
        <v>237</v>
      </c>
      <c r="X37" s="2" t="s">
        <v>233</v>
      </c>
      <c r="Y37" s="2" t="s">
        <v>238</v>
      </c>
      <c r="Z37" s="4">
        <v>121</v>
      </c>
      <c r="AA37" s="4">
        <f>=ROUNDDOWN(30.25,0)</f>
      </c>
      <c r="AB37" s="5">
        <v>4</v>
      </c>
      <c r="AC37" s="2" t="s">
        <v>233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233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233</v>
      </c>
      <c r="AW37" s="8" t="s">
        <v>233</v>
      </c>
      <c r="AX37" s="4" t="s">
        <v>233</v>
      </c>
      <c r="AY37" s="8" t="s">
        <v>233</v>
      </c>
      <c r="AZ37" s="7" t="s">
        <v>233</v>
      </c>
      <c r="BA37" s="7" t="s">
        <v>233</v>
      </c>
      <c r="BB37" s="7"/>
      <c r="BC37" s="4" t="s">
        <v>233</v>
      </c>
      <c r="BD37" s="8" t="s">
        <v>233</v>
      </c>
      <c r="BE37" s="4" t="s">
        <v>233</v>
      </c>
      <c r="BF37" s="8" t="s">
        <v>233</v>
      </c>
      <c r="BG37" s="7" t="s">
        <v>233</v>
      </c>
      <c r="BH37" s="7" t="s">
        <v>233</v>
      </c>
      <c r="BI37" s="7"/>
      <c r="BJ37" s="4">
        <v>15</v>
      </c>
      <c r="BK37" s="8">
        <v>1422.87</v>
      </c>
      <c r="BL37" s="2" t="s">
        <v>337</v>
      </c>
      <c r="BM37" s="7"/>
      <c r="BN37" s="7"/>
      <c r="BO37" s="4"/>
      <c r="BP37" s="8"/>
      <c r="BQ37" s="4"/>
      <c r="BR37" s="8"/>
      <c r="BS37" s="7"/>
      <c r="BT37" s="7"/>
      <c r="BU37" s="2" t="s">
        <v>401</v>
      </c>
      <c r="BV37" s="2" t="s">
        <v>233</v>
      </c>
      <c r="BW37" s="2" t="s">
        <v>233</v>
      </c>
      <c r="BX37" s="2" t="s">
        <v>241</v>
      </c>
      <c r="BY37" s="2" t="s">
        <v>242</v>
      </c>
      <c r="BZ37" s="2" t="s">
        <v>230</v>
      </c>
      <c r="CA37" s="2" t="s">
        <v>243</v>
      </c>
      <c r="CB37" s="2" t="s">
        <v>408</v>
      </c>
      <c r="CC37" s="2" t="s">
        <v>245</v>
      </c>
      <c r="CD37" s="2" t="s">
        <v>233</v>
      </c>
      <c r="CE37" s="4">
        <v>121</v>
      </c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>
        <v>121</v>
      </c>
      <c r="GD37" s="4">
        <v>117</v>
      </c>
      <c r="GE37" s="4">
        <v>111</v>
      </c>
      <c r="GF37" s="4">
        <v>106</v>
      </c>
      <c r="GG37" s="4">
        <v>97</v>
      </c>
      <c r="GH37" s="4">
        <v>90</v>
      </c>
      <c r="GI37" s="4">
        <v>83</v>
      </c>
      <c r="GJ37" s="4">
        <v>79</v>
      </c>
      <c r="GK37" s="4">
        <v>77</v>
      </c>
      <c r="GL37" s="4">
        <v>74</v>
      </c>
      <c r="GM37" s="4">
        <v>71</v>
      </c>
      <c r="GN37" s="4">
        <v>68</v>
      </c>
      <c r="GO37" s="4">
        <v>65</v>
      </c>
      <c r="GP37" s="4">
        <v>62</v>
      </c>
      <c r="GQ37" s="4">
        <v>60</v>
      </c>
      <c r="GR37" s="4">
        <v>56</v>
      </c>
      <c r="GS37" s="4">
        <v>52</v>
      </c>
      <c r="GT37" s="4">
        <v>48</v>
      </c>
      <c r="GU37" s="4">
        <v>44</v>
      </c>
      <c r="GV37" s="4">
        <v>40</v>
      </c>
      <c r="GW37" s="4">
        <v>36</v>
      </c>
      <c r="GX37" s="4">
        <v>32</v>
      </c>
      <c r="GY37" s="4">
        <v>28</v>
      </c>
      <c r="GZ37" s="4">
        <v>24</v>
      </c>
      <c r="HA37" s="4">
        <v>20</v>
      </c>
      <c r="HB37" s="4">
        <v>16</v>
      </c>
      <c r="HC37" s="19">
        <v>20.2</v>
      </c>
      <c r="HD37" s="19">
        <v>16.7</v>
      </c>
      <c r="HE37" s="19">
        <v>15.9</v>
      </c>
      <c r="HF37" s="19">
        <v>15.1</v>
      </c>
      <c r="HG37" s="19">
        <v>19.4</v>
      </c>
      <c r="HH37" s="19">
        <v>22.5</v>
      </c>
      <c r="HI37" s="19">
        <v>27.7</v>
      </c>
      <c r="HJ37" s="19">
        <v>26.3</v>
      </c>
      <c r="HK37" s="19">
        <v>25.7</v>
      </c>
      <c r="HL37" s="19">
        <v>24.7</v>
      </c>
      <c r="HM37" s="19">
        <v>23.7</v>
      </c>
      <c r="HN37" s="19">
        <v>22.7</v>
      </c>
      <c r="HO37" s="19">
        <v>21.7</v>
      </c>
      <c r="HP37" s="19">
        <v>15.5</v>
      </c>
      <c r="HQ37" s="19">
        <v>15</v>
      </c>
      <c r="HR37" s="19">
        <v>14</v>
      </c>
      <c r="HS37" s="19">
        <v>13</v>
      </c>
      <c r="HT37" s="19">
        <v>12</v>
      </c>
      <c r="HU37" s="19">
        <v>11</v>
      </c>
      <c r="HV37" s="19">
        <v>10</v>
      </c>
      <c r="HW37" s="19">
        <v>9</v>
      </c>
      <c r="HX37" s="19">
        <v>8</v>
      </c>
      <c r="HY37" s="19">
        <v>7</v>
      </c>
      <c r="HZ37" s="19">
        <v>6</v>
      </c>
      <c r="IA37" s="19">
        <v>5</v>
      </c>
      <c r="IB37" s="19">
        <v>4</v>
      </c>
    </row>
    <row r="38">
      <c r="A38" s="2" t="s">
        <v>409</v>
      </c>
      <c r="B38" s="2" t="s">
        <v>222</v>
      </c>
      <c r="C38" s="2" t="s">
        <v>223</v>
      </c>
      <c r="D38" s="2" t="s">
        <v>224</v>
      </c>
      <c r="E38" s="2" t="s">
        <v>225</v>
      </c>
      <c r="F38" s="2" t="s">
        <v>398</v>
      </c>
      <c r="G38" s="2" t="s">
        <v>398</v>
      </c>
      <c r="H38" s="2" t="s">
        <v>398</v>
      </c>
      <c r="I38" s="2" t="s">
        <v>322</v>
      </c>
      <c r="J38" s="2" t="s">
        <v>256</v>
      </c>
      <c r="K38" s="2" t="s">
        <v>266</v>
      </c>
      <c r="L38" s="3">
        <v>121.9</v>
      </c>
      <c r="M38" s="3">
        <v>128</v>
      </c>
      <c r="N38" s="3">
        <v>239.99</v>
      </c>
      <c r="O38" s="2" t="s">
        <v>230</v>
      </c>
      <c r="P38" s="2" t="s">
        <v>231</v>
      </c>
      <c r="Q38" s="2" t="s">
        <v>232</v>
      </c>
      <c r="R38" s="2" t="s">
        <v>233</v>
      </c>
      <c r="S38" s="2" t="s">
        <v>399</v>
      </c>
      <c r="T38" s="2" t="s">
        <v>235</v>
      </c>
      <c r="U38" s="2" t="s">
        <v>233</v>
      </c>
      <c r="V38" s="2" t="s">
        <v>236</v>
      </c>
      <c r="W38" s="2" t="s">
        <v>237</v>
      </c>
      <c r="X38" s="2" t="s">
        <v>233</v>
      </c>
      <c r="Y38" s="2" t="s">
        <v>238</v>
      </c>
      <c r="Z38" s="4">
        <v>107</v>
      </c>
      <c r="AA38" s="4">
        <f>=ROUNDDOWN(26.75,0)</f>
      </c>
      <c r="AB38" s="5">
        <v>4</v>
      </c>
      <c r="AC38" s="2" t="s">
        <v>145</v>
      </c>
      <c r="AD38" s="4">
        <v>50</v>
      </c>
      <c r="AE38" s="4">
        <v>50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233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233</v>
      </c>
      <c r="AW38" s="8" t="s">
        <v>233</v>
      </c>
      <c r="AX38" s="4" t="s">
        <v>233</v>
      </c>
      <c r="AY38" s="8" t="s">
        <v>233</v>
      </c>
      <c r="AZ38" s="7" t="s">
        <v>233</v>
      </c>
      <c r="BA38" s="7" t="s">
        <v>233</v>
      </c>
      <c r="BB38" s="7"/>
      <c r="BC38" s="4" t="s">
        <v>233</v>
      </c>
      <c r="BD38" s="8" t="s">
        <v>233</v>
      </c>
      <c r="BE38" s="4" t="s">
        <v>233</v>
      </c>
      <c r="BF38" s="8" t="s">
        <v>233</v>
      </c>
      <c r="BG38" s="7" t="s">
        <v>233</v>
      </c>
      <c r="BH38" s="7" t="s">
        <v>233</v>
      </c>
      <c r="BI38" s="7"/>
      <c r="BJ38" s="4">
        <v>8</v>
      </c>
      <c r="BK38" s="8">
        <v>1053</v>
      </c>
      <c r="BL38" s="2" t="s">
        <v>410</v>
      </c>
      <c r="BM38" s="7"/>
      <c r="BN38" s="7"/>
      <c r="BO38" s="4"/>
      <c r="BP38" s="8"/>
      <c r="BQ38" s="4"/>
      <c r="BR38" s="8"/>
      <c r="BS38" s="7"/>
      <c r="BT38" s="7"/>
      <c r="BU38" s="2" t="s">
        <v>401</v>
      </c>
      <c r="BV38" s="2" t="s">
        <v>233</v>
      </c>
      <c r="BW38" s="2" t="s">
        <v>233</v>
      </c>
      <c r="BX38" s="2" t="s">
        <v>241</v>
      </c>
      <c r="BY38" s="2" t="s">
        <v>242</v>
      </c>
      <c r="BZ38" s="2" t="s">
        <v>230</v>
      </c>
      <c r="CA38" s="2" t="s">
        <v>243</v>
      </c>
      <c r="CB38" s="2" t="s">
        <v>411</v>
      </c>
      <c r="CC38" s="2" t="s">
        <v>245</v>
      </c>
      <c r="CD38" s="2" t="s">
        <v>233</v>
      </c>
      <c r="CE38" s="4">
        <v>3</v>
      </c>
      <c r="CF38" s="4">
        <v>49</v>
      </c>
      <c r="CG38" s="4"/>
      <c r="CH38" s="4">
        <v>55</v>
      </c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>
        <v>50</v>
      </c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>
        <v>107</v>
      </c>
      <c r="GD38" s="4">
        <v>102</v>
      </c>
      <c r="GE38" s="4">
        <v>96</v>
      </c>
      <c r="GF38" s="4">
        <v>140</v>
      </c>
      <c r="GG38" s="4">
        <v>130</v>
      </c>
      <c r="GH38" s="4">
        <v>125</v>
      </c>
      <c r="GI38" s="4">
        <v>119</v>
      </c>
      <c r="GJ38" s="4">
        <v>116</v>
      </c>
      <c r="GK38" s="4">
        <v>114</v>
      </c>
      <c r="GL38" s="4">
        <v>111</v>
      </c>
      <c r="GM38" s="4">
        <v>109</v>
      </c>
      <c r="GN38" s="4">
        <v>107</v>
      </c>
      <c r="GO38" s="4">
        <v>105</v>
      </c>
      <c r="GP38" s="4">
        <v>103</v>
      </c>
      <c r="GQ38" s="4">
        <v>101</v>
      </c>
      <c r="GR38" s="4">
        <v>97</v>
      </c>
      <c r="GS38" s="4">
        <v>93</v>
      </c>
      <c r="GT38" s="4">
        <v>88</v>
      </c>
      <c r="GU38" s="4">
        <v>84</v>
      </c>
      <c r="GV38" s="4">
        <v>79</v>
      </c>
      <c r="GW38" s="4">
        <v>74</v>
      </c>
      <c r="GX38" s="4">
        <v>69</v>
      </c>
      <c r="GY38" s="4">
        <v>64</v>
      </c>
      <c r="GZ38" s="4">
        <v>60</v>
      </c>
      <c r="HA38" s="4">
        <v>56</v>
      </c>
      <c r="HB38" s="4">
        <v>52</v>
      </c>
      <c r="HC38" s="19">
        <v>15.3</v>
      </c>
      <c r="HD38" s="19">
        <v>14.6</v>
      </c>
      <c r="HE38" s="19">
        <v>13.7</v>
      </c>
      <c r="HF38" s="19">
        <v>23.3</v>
      </c>
      <c r="HG38" s="19">
        <v>32.5</v>
      </c>
      <c r="HH38" s="19">
        <v>31.3</v>
      </c>
      <c r="HI38" s="19">
        <v>59.5</v>
      </c>
      <c r="HJ38" s="19">
        <v>58</v>
      </c>
      <c r="HK38" s="19">
        <v>57</v>
      </c>
      <c r="HL38" s="19">
        <v>55.5</v>
      </c>
      <c r="HM38" s="19">
        <v>54.5</v>
      </c>
      <c r="HN38" s="19">
        <v>53.5</v>
      </c>
      <c r="HO38" s="19">
        <v>35</v>
      </c>
      <c r="HP38" s="19">
        <v>25.8</v>
      </c>
      <c r="HQ38" s="19">
        <v>25.3</v>
      </c>
      <c r="HR38" s="19">
        <v>24.3</v>
      </c>
      <c r="HS38" s="19">
        <v>18.6</v>
      </c>
      <c r="HT38" s="19">
        <v>17.6</v>
      </c>
      <c r="HU38" s="19">
        <v>16.8</v>
      </c>
      <c r="HV38" s="19">
        <v>15.8</v>
      </c>
      <c r="HW38" s="19">
        <v>18.5</v>
      </c>
      <c r="HX38" s="19">
        <v>17.3</v>
      </c>
      <c r="HY38" s="19">
        <v>16</v>
      </c>
      <c r="HZ38" s="19">
        <v>15</v>
      </c>
      <c r="IA38" s="19">
        <v>14</v>
      </c>
      <c r="IB38" s="19">
        <v>13</v>
      </c>
    </row>
    <row r="39">
      <c r="A39" s="2" t="s">
        <v>412</v>
      </c>
      <c r="B39" s="2" t="s">
        <v>222</v>
      </c>
      <c r="C39" s="2" t="s">
        <v>223</v>
      </c>
      <c r="D39" s="2" t="s">
        <v>224</v>
      </c>
      <c r="E39" s="2" t="s">
        <v>225</v>
      </c>
      <c r="F39" s="2" t="s">
        <v>413</v>
      </c>
      <c r="G39" s="2" t="s">
        <v>414</v>
      </c>
      <c r="H39" s="2" t="s">
        <v>413</v>
      </c>
      <c r="I39" s="2" t="s">
        <v>415</v>
      </c>
      <c r="J39" s="2" t="s">
        <v>228</v>
      </c>
      <c r="K39" s="2" t="s">
        <v>266</v>
      </c>
      <c r="L39" s="3">
        <v>79.49</v>
      </c>
      <c r="M39" s="3">
        <v>83.46</v>
      </c>
      <c r="N39" s="3">
        <v>149.99</v>
      </c>
      <c r="O39" s="2" t="s">
        <v>230</v>
      </c>
      <c r="P39" s="2" t="s">
        <v>231</v>
      </c>
      <c r="Q39" s="2" t="s">
        <v>232</v>
      </c>
      <c r="R39" s="2" t="s">
        <v>233</v>
      </c>
      <c r="S39" s="2" t="s">
        <v>416</v>
      </c>
      <c r="T39" s="2" t="s">
        <v>235</v>
      </c>
      <c r="U39" s="2" t="s">
        <v>233</v>
      </c>
      <c r="V39" s="2" t="s">
        <v>236</v>
      </c>
      <c r="W39" s="2" t="s">
        <v>237</v>
      </c>
      <c r="X39" s="2" t="s">
        <v>233</v>
      </c>
      <c r="Y39" s="2" t="s">
        <v>238</v>
      </c>
      <c r="Z39" s="4">
        <v>158</v>
      </c>
      <c r="AA39" s="4">
        <f>=ROUNDDOWN(39.5,0)</f>
      </c>
      <c r="AB39" s="5">
        <v>4</v>
      </c>
      <c r="AC39" s="2" t="s">
        <v>233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233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233</v>
      </c>
      <c r="AW39" s="8" t="s">
        <v>233</v>
      </c>
      <c r="AX39" s="4" t="s">
        <v>233</v>
      </c>
      <c r="AY39" s="8" t="s">
        <v>233</v>
      </c>
      <c r="AZ39" s="7" t="s">
        <v>233</v>
      </c>
      <c r="BA39" s="7" t="s">
        <v>233</v>
      </c>
      <c r="BB39" s="7"/>
      <c r="BC39" s="4" t="s">
        <v>233</v>
      </c>
      <c r="BD39" s="8" t="s">
        <v>233</v>
      </c>
      <c r="BE39" s="4" t="s">
        <v>233</v>
      </c>
      <c r="BF39" s="8" t="s">
        <v>233</v>
      </c>
      <c r="BG39" s="7" t="s">
        <v>233</v>
      </c>
      <c r="BH39" s="7" t="s">
        <v>233</v>
      </c>
      <c r="BI39" s="7"/>
      <c r="BJ39" s="4">
        <v>7</v>
      </c>
      <c r="BK39" s="8">
        <v>525.97</v>
      </c>
      <c r="BL39" s="2" t="s">
        <v>417</v>
      </c>
      <c r="BM39" s="7"/>
      <c r="BN39" s="7"/>
      <c r="BO39" s="4"/>
      <c r="BP39" s="8"/>
      <c r="BQ39" s="4"/>
      <c r="BR39" s="8"/>
      <c r="BS39" s="7"/>
      <c r="BT39" s="7"/>
      <c r="BU39" s="2" t="s">
        <v>418</v>
      </c>
      <c r="BV39" s="2" t="s">
        <v>233</v>
      </c>
      <c r="BW39" s="2" t="s">
        <v>233</v>
      </c>
      <c r="BX39" s="2" t="s">
        <v>241</v>
      </c>
      <c r="BY39" s="2" t="s">
        <v>242</v>
      </c>
      <c r="BZ39" s="2" t="s">
        <v>230</v>
      </c>
      <c r="CA39" s="2" t="s">
        <v>419</v>
      </c>
      <c r="CB39" s="2" t="s">
        <v>254</v>
      </c>
      <c r="CC39" s="2" t="s">
        <v>245</v>
      </c>
      <c r="CD39" s="2" t="s">
        <v>233</v>
      </c>
      <c r="CE39" s="4">
        <v>158</v>
      </c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>
        <v>158</v>
      </c>
      <c r="GD39" s="4">
        <v>152</v>
      </c>
      <c r="GE39" s="4">
        <v>144</v>
      </c>
      <c r="GF39" s="4">
        <v>137</v>
      </c>
      <c r="GG39" s="4">
        <v>125</v>
      </c>
      <c r="GH39" s="4">
        <v>119</v>
      </c>
      <c r="GI39" s="4">
        <v>112</v>
      </c>
      <c r="GJ39" s="4">
        <v>108</v>
      </c>
      <c r="GK39" s="4">
        <v>106</v>
      </c>
      <c r="GL39" s="4">
        <v>103</v>
      </c>
      <c r="GM39" s="4">
        <v>101</v>
      </c>
      <c r="GN39" s="4">
        <v>98</v>
      </c>
      <c r="GO39" s="4">
        <v>95</v>
      </c>
      <c r="GP39" s="4">
        <v>92</v>
      </c>
      <c r="GQ39" s="4">
        <v>90</v>
      </c>
      <c r="GR39" s="4">
        <v>86</v>
      </c>
      <c r="GS39" s="4">
        <v>82</v>
      </c>
      <c r="GT39" s="4">
        <v>78</v>
      </c>
      <c r="GU39" s="4">
        <v>74</v>
      </c>
      <c r="GV39" s="4">
        <v>70</v>
      </c>
      <c r="GW39" s="4">
        <v>66</v>
      </c>
      <c r="GX39" s="4">
        <v>62</v>
      </c>
      <c r="GY39" s="4">
        <v>58</v>
      </c>
      <c r="GZ39" s="4">
        <v>54</v>
      </c>
      <c r="HA39" s="4">
        <v>50</v>
      </c>
      <c r="HB39" s="4">
        <v>46</v>
      </c>
      <c r="HC39" s="19">
        <v>19.8</v>
      </c>
      <c r="HD39" s="19">
        <v>19</v>
      </c>
      <c r="HE39" s="19">
        <v>18</v>
      </c>
      <c r="HF39" s="19">
        <v>19.6</v>
      </c>
      <c r="HG39" s="19">
        <v>25</v>
      </c>
      <c r="HH39" s="19">
        <v>29.8</v>
      </c>
      <c r="HI39" s="19">
        <v>37.3</v>
      </c>
      <c r="HJ39" s="19">
        <v>54</v>
      </c>
      <c r="HK39" s="19">
        <v>35.3</v>
      </c>
      <c r="HL39" s="19">
        <v>34.3</v>
      </c>
      <c r="HM39" s="19">
        <v>33.7</v>
      </c>
      <c r="HN39" s="19">
        <v>32.7</v>
      </c>
      <c r="HO39" s="19">
        <v>31.7</v>
      </c>
      <c r="HP39" s="19">
        <v>23</v>
      </c>
      <c r="HQ39" s="19">
        <v>22.5</v>
      </c>
      <c r="HR39" s="19">
        <v>21.5</v>
      </c>
      <c r="HS39" s="19">
        <v>20.5</v>
      </c>
      <c r="HT39" s="19">
        <v>19.5</v>
      </c>
      <c r="HU39" s="19">
        <v>18.5</v>
      </c>
      <c r="HV39" s="19">
        <v>17.5</v>
      </c>
      <c r="HW39" s="19">
        <v>16.5</v>
      </c>
      <c r="HX39" s="19">
        <v>15.5</v>
      </c>
      <c r="HY39" s="19">
        <v>14.5</v>
      </c>
      <c r="HZ39" s="19">
        <v>13.5</v>
      </c>
      <c r="IA39" s="19">
        <v>12.5</v>
      </c>
      <c r="IB39" s="19">
        <v>11.5</v>
      </c>
    </row>
    <row r="40">
      <c r="A40" s="2" t="s">
        <v>420</v>
      </c>
      <c r="B40" s="2" t="s">
        <v>222</v>
      </c>
      <c r="C40" s="2" t="s">
        <v>223</v>
      </c>
      <c r="D40" s="2" t="s">
        <v>224</v>
      </c>
      <c r="E40" s="2" t="s">
        <v>225</v>
      </c>
      <c r="F40" s="2" t="s">
        <v>413</v>
      </c>
      <c r="G40" s="2" t="s">
        <v>414</v>
      </c>
      <c r="H40" s="2" t="s">
        <v>413</v>
      </c>
      <c r="I40" s="2" t="s">
        <v>415</v>
      </c>
      <c r="J40" s="2" t="s">
        <v>247</v>
      </c>
      <c r="K40" s="2" t="s">
        <v>266</v>
      </c>
      <c r="L40" s="3">
        <v>79.49</v>
      </c>
      <c r="M40" s="3">
        <v>83.46</v>
      </c>
      <c r="N40" s="3">
        <v>149.99</v>
      </c>
      <c r="O40" s="2" t="s">
        <v>230</v>
      </c>
      <c r="P40" s="2" t="s">
        <v>231</v>
      </c>
      <c r="Q40" s="2" t="s">
        <v>232</v>
      </c>
      <c r="R40" s="2" t="s">
        <v>233</v>
      </c>
      <c r="S40" s="2" t="s">
        <v>416</v>
      </c>
      <c r="T40" s="2" t="s">
        <v>235</v>
      </c>
      <c r="U40" s="2" t="s">
        <v>233</v>
      </c>
      <c r="V40" s="2" t="s">
        <v>236</v>
      </c>
      <c r="W40" s="2" t="s">
        <v>237</v>
      </c>
      <c r="X40" s="2" t="s">
        <v>233</v>
      </c>
      <c r="Y40" s="2" t="s">
        <v>238</v>
      </c>
      <c r="Z40" s="4">
        <v>133</v>
      </c>
      <c r="AA40" s="4">
        <f>=ROUNDDOWN(11.0833333333333,0)</f>
      </c>
      <c r="AB40" s="5">
        <v>12</v>
      </c>
      <c r="AC40" s="2" t="s">
        <v>145</v>
      </c>
      <c r="AD40" s="4">
        <v>150</v>
      </c>
      <c r="AE40" s="4">
        <v>150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233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233</v>
      </c>
      <c r="AW40" s="8" t="s">
        <v>233</v>
      </c>
      <c r="AX40" s="4" t="s">
        <v>233</v>
      </c>
      <c r="AY40" s="8" t="s">
        <v>233</v>
      </c>
      <c r="AZ40" s="7" t="s">
        <v>233</v>
      </c>
      <c r="BA40" s="7" t="s">
        <v>233</v>
      </c>
      <c r="BB40" s="7"/>
      <c r="BC40" s="4" t="s">
        <v>233</v>
      </c>
      <c r="BD40" s="8" t="s">
        <v>233</v>
      </c>
      <c r="BE40" s="4" t="s">
        <v>233</v>
      </c>
      <c r="BF40" s="8" t="s">
        <v>233</v>
      </c>
      <c r="BG40" s="7" t="s">
        <v>233</v>
      </c>
      <c r="BH40" s="7" t="s">
        <v>233</v>
      </c>
      <c r="BI40" s="7"/>
      <c r="BJ40" s="4">
        <v>22</v>
      </c>
      <c r="BK40" s="8">
        <v>1756.06</v>
      </c>
      <c r="BL40" s="2" t="s">
        <v>421</v>
      </c>
      <c r="BM40" s="7"/>
      <c r="BN40" s="7"/>
      <c r="BO40" s="4"/>
      <c r="BP40" s="8"/>
      <c r="BQ40" s="4"/>
      <c r="BR40" s="8"/>
      <c r="BS40" s="7"/>
      <c r="BT40" s="7"/>
      <c r="BU40" s="2" t="s">
        <v>418</v>
      </c>
      <c r="BV40" s="2" t="s">
        <v>233</v>
      </c>
      <c r="BW40" s="2" t="s">
        <v>233</v>
      </c>
      <c r="BX40" s="2" t="s">
        <v>241</v>
      </c>
      <c r="BY40" s="2" t="s">
        <v>242</v>
      </c>
      <c r="BZ40" s="2" t="s">
        <v>230</v>
      </c>
      <c r="CA40" s="2" t="s">
        <v>419</v>
      </c>
      <c r="CB40" s="2" t="s">
        <v>422</v>
      </c>
      <c r="CC40" s="2" t="s">
        <v>245</v>
      </c>
      <c r="CD40" s="2" t="s">
        <v>233</v>
      </c>
      <c r="CE40" s="4">
        <v>133</v>
      </c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>
        <v>150</v>
      </c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>
        <v>133</v>
      </c>
      <c r="GD40" s="4">
        <v>127</v>
      </c>
      <c r="GE40" s="4">
        <v>119</v>
      </c>
      <c r="GF40" s="4">
        <v>262</v>
      </c>
      <c r="GG40" s="4">
        <v>249</v>
      </c>
      <c r="GH40" s="4">
        <v>242</v>
      </c>
      <c r="GI40" s="4">
        <v>234</v>
      </c>
      <c r="GJ40" s="4">
        <v>229</v>
      </c>
      <c r="GK40" s="4">
        <v>227</v>
      </c>
      <c r="GL40" s="4">
        <v>223</v>
      </c>
      <c r="GM40" s="4">
        <v>219</v>
      </c>
      <c r="GN40" s="4">
        <v>215</v>
      </c>
      <c r="GO40" s="4">
        <v>211</v>
      </c>
      <c r="GP40" s="4">
        <v>207</v>
      </c>
      <c r="GQ40" s="4">
        <v>203</v>
      </c>
      <c r="GR40" s="4">
        <v>196</v>
      </c>
      <c r="GS40" s="4">
        <v>189</v>
      </c>
      <c r="GT40" s="4">
        <v>182</v>
      </c>
      <c r="GU40" s="4">
        <v>175</v>
      </c>
      <c r="GV40" s="4">
        <v>165</v>
      </c>
      <c r="GW40" s="4">
        <v>155</v>
      </c>
      <c r="GX40" s="4">
        <v>145</v>
      </c>
      <c r="GY40" s="4">
        <v>135</v>
      </c>
      <c r="GZ40" s="4">
        <v>121</v>
      </c>
      <c r="HA40" s="4">
        <v>107</v>
      </c>
      <c r="HB40" s="4">
        <v>93</v>
      </c>
      <c r="HC40" s="19">
        <v>16.6</v>
      </c>
      <c r="HD40" s="19">
        <v>14.1</v>
      </c>
      <c r="HE40" s="19">
        <v>13.2</v>
      </c>
      <c r="HF40" s="19">
        <v>32.8</v>
      </c>
      <c r="HG40" s="19">
        <v>41.5</v>
      </c>
      <c r="HH40" s="19">
        <v>48.4</v>
      </c>
      <c r="HI40" s="19">
        <v>58.5</v>
      </c>
      <c r="HJ40" s="19">
        <v>57.3</v>
      </c>
      <c r="HK40" s="19">
        <v>56.8</v>
      </c>
      <c r="HL40" s="19">
        <v>55.8</v>
      </c>
      <c r="HM40" s="19">
        <v>54.8</v>
      </c>
      <c r="HN40" s="19">
        <v>43</v>
      </c>
      <c r="HO40" s="19">
        <v>35.2</v>
      </c>
      <c r="HP40" s="19">
        <v>34.5</v>
      </c>
      <c r="HQ40" s="19">
        <v>29</v>
      </c>
      <c r="HR40" s="19">
        <v>24.5</v>
      </c>
      <c r="HS40" s="19">
        <v>23.6</v>
      </c>
      <c r="HT40" s="19">
        <v>20.2</v>
      </c>
      <c r="HU40" s="19">
        <v>17.5</v>
      </c>
      <c r="HV40" s="19">
        <v>15</v>
      </c>
      <c r="HW40" s="19">
        <v>12.9</v>
      </c>
      <c r="HX40" s="19">
        <v>11.2</v>
      </c>
      <c r="HY40" s="19">
        <v>9.6</v>
      </c>
      <c r="HZ40" s="19">
        <v>8.6</v>
      </c>
      <c r="IA40" s="19">
        <v>7.6</v>
      </c>
      <c r="IB40" s="19">
        <v>6.6</v>
      </c>
    </row>
    <row r="41">
      <c r="A41" s="2" t="s">
        <v>423</v>
      </c>
      <c r="B41" s="2" t="s">
        <v>222</v>
      </c>
      <c r="C41" s="2" t="s">
        <v>223</v>
      </c>
      <c r="D41" s="2" t="s">
        <v>224</v>
      </c>
      <c r="E41" s="2" t="s">
        <v>225</v>
      </c>
      <c r="F41" s="2" t="s">
        <v>413</v>
      </c>
      <c r="G41" s="2" t="s">
        <v>414</v>
      </c>
      <c r="H41" s="2" t="s">
        <v>413</v>
      </c>
      <c r="I41" s="2" t="s">
        <v>415</v>
      </c>
      <c r="J41" s="2" t="s">
        <v>252</v>
      </c>
      <c r="K41" s="2" t="s">
        <v>266</v>
      </c>
      <c r="L41" s="3">
        <v>100.69</v>
      </c>
      <c r="M41" s="3">
        <v>105.72</v>
      </c>
      <c r="N41" s="3">
        <v>189.99</v>
      </c>
      <c r="O41" s="2" t="s">
        <v>230</v>
      </c>
      <c r="P41" s="2" t="s">
        <v>231</v>
      </c>
      <c r="Q41" s="2" t="s">
        <v>232</v>
      </c>
      <c r="R41" s="2" t="s">
        <v>233</v>
      </c>
      <c r="S41" s="2" t="s">
        <v>416</v>
      </c>
      <c r="T41" s="2" t="s">
        <v>235</v>
      </c>
      <c r="U41" s="2" t="s">
        <v>233</v>
      </c>
      <c r="V41" s="2" t="s">
        <v>236</v>
      </c>
      <c r="W41" s="2" t="s">
        <v>237</v>
      </c>
      <c r="X41" s="2" t="s">
        <v>233</v>
      </c>
      <c r="Y41" s="2" t="s">
        <v>238</v>
      </c>
      <c r="Z41" s="4">
        <v>195</v>
      </c>
      <c r="AA41" s="4">
        <f>=ROUNDDOWN(48.75,0)</f>
      </c>
      <c r="AB41" s="5">
        <v>4</v>
      </c>
      <c r="AC41" s="2" t="s">
        <v>233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233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233</v>
      </c>
      <c r="AW41" s="8" t="s">
        <v>233</v>
      </c>
      <c r="AX41" s="4" t="s">
        <v>233</v>
      </c>
      <c r="AY41" s="8" t="s">
        <v>233</v>
      </c>
      <c r="AZ41" s="7" t="s">
        <v>233</v>
      </c>
      <c r="BA41" s="7" t="s">
        <v>233</v>
      </c>
      <c r="BB41" s="7"/>
      <c r="BC41" s="4" t="s">
        <v>233</v>
      </c>
      <c r="BD41" s="8" t="s">
        <v>233</v>
      </c>
      <c r="BE41" s="4" t="s">
        <v>233</v>
      </c>
      <c r="BF41" s="8" t="s">
        <v>233</v>
      </c>
      <c r="BG41" s="7" t="s">
        <v>233</v>
      </c>
      <c r="BH41" s="7" t="s">
        <v>233</v>
      </c>
      <c r="BI41" s="7"/>
      <c r="BJ41" s="4">
        <v>7</v>
      </c>
      <c r="BK41" s="8">
        <v>721.1</v>
      </c>
      <c r="BL41" s="2" t="s">
        <v>424</v>
      </c>
      <c r="BM41" s="7"/>
      <c r="BN41" s="7"/>
      <c r="BO41" s="4"/>
      <c r="BP41" s="8"/>
      <c r="BQ41" s="4"/>
      <c r="BR41" s="8"/>
      <c r="BS41" s="7"/>
      <c r="BT41" s="7"/>
      <c r="BU41" s="2" t="s">
        <v>418</v>
      </c>
      <c r="BV41" s="2" t="s">
        <v>233</v>
      </c>
      <c r="BW41" s="2" t="s">
        <v>233</v>
      </c>
      <c r="BX41" s="2" t="s">
        <v>241</v>
      </c>
      <c r="BY41" s="2" t="s">
        <v>242</v>
      </c>
      <c r="BZ41" s="2" t="s">
        <v>230</v>
      </c>
      <c r="CA41" s="2" t="s">
        <v>419</v>
      </c>
      <c r="CB41" s="2" t="s">
        <v>425</v>
      </c>
      <c r="CC41" s="2" t="s">
        <v>245</v>
      </c>
      <c r="CD41" s="2" t="s">
        <v>233</v>
      </c>
      <c r="CE41" s="4">
        <v>195</v>
      </c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>
        <v>195</v>
      </c>
      <c r="GD41" s="4">
        <v>191</v>
      </c>
      <c r="GE41" s="4">
        <v>185</v>
      </c>
      <c r="GF41" s="4">
        <v>180</v>
      </c>
      <c r="GG41" s="4">
        <v>171</v>
      </c>
      <c r="GH41" s="4">
        <v>164</v>
      </c>
      <c r="GI41" s="4">
        <v>157</v>
      </c>
      <c r="GJ41" s="4">
        <v>153</v>
      </c>
      <c r="GK41" s="4">
        <v>151</v>
      </c>
      <c r="GL41" s="4">
        <v>148</v>
      </c>
      <c r="GM41" s="4">
        <v>145</v>
      </c>
      <c r="GN41" s="4">
        <v>142</v>
      </c>
      <c r="GO41" s="4">
        <v>139</v>
      </c>
      <c r="GP41" s="4">
        <v>136</v>
      </c>
      <c r="GQ41" s="4">
        <v>134</v>
      </c>
      <c r="GR41" s="4">
        <v>130</v>
      </c>
      <c r="GS41" s="4">
        <v>126</v>
      </c>
      <c r="GT41" s="4">
        <v>122</v>
      </c>
      <c r="GU41" s="4">
        <v>118</v>
      </c>
      <c r="GV41" s="4">
        <v>114</v>
      </c>
      <c r="GW41" s="4">
        <v>110</v>
      </c>
      <c r="GX41" s="4">
        <v>106</v>
      </c>
      <c r="GY41" s="4">
        <v>102</v>
      </c>
      <c r="GZ41" s="4">
        <v>98</v>
      </c>
      <c r="HA41" s="4">
        <v>94</v>
      </c>
      <c r="HB41" s="4">
        <v>90</v>
      </c>
      <c r="HC41" s="19">
        <v>32.5</v>
      </c>
      <c r="HD41" s="19">
        <v>27.3</v>
      </c>
      <c r="HE41" s="19">
        <v>26.4</v>
      </c>
      <c r="HF41" s="19">
        <v>25.7</v>
      </c>
      <c r="HG41" s="19">
        <v>34.2</v>
      </c>
      <c r="HH41" s="19">
        <v>41</v>
      </c>
      <c r="HI41" s="19">
        <v>52.3</v>
      </c>
      <c r="HJ41" s="19">
        <v>51</v>
      </c>
      <c r="HK41" s="19">
        <v>50.3</v>
      </c>
      <c r="HL41" s="19">
        <v>49.3</v>
      </c>
      <c r="HM41" s="19">
        <v>48.3</v>
      </c>
      <c r="HN41" s="19">
        <v>47.3</v>
      </c>
      <c r="HO41" s="19">
        <v>46.3</v>
      </c>
      <c r="HP41" s="19">
        <v>34</v>
      </c>
      <c r="HQ41" s="19">
        <v>33.5</v>
      </c>
      <c r="HR41" s="19">
        <v>32.5</v>
      </c>
      <c r="HS41" s="19">
        <v>31.5</v>
      </c>
      <c r="HT41" s="19">
        <v>30.5</v>
      </c>
      <c r="HU41" s="19">
        <v>29.5</v>
      </c>
      <c r="HV41" s="19">
        <v>28.5</v>
      </c>
      <c r="HW41" s="19">
        <v>27.5</v>
      </c>
      <c r="HX41" s="19">
        <v>26.5</v>
      </c>
      <c r="HY41" s="19">
        <v>25.5</v>
      </c>
      <c r="HZ41" s="19">
        <v>24.5</v>
      </c>
      <c r="IA41" s="19">
        <v>23.5</v>
      </c>
      <c r="IB41" s="19">
        <v>22.5</v>
      </c>
    </row>
    <row r="42">
      <c r="A42" s="2" t="s">
        <v>426</v>
      </c>
      <c r="B42" s="2" t="s">
        <v>222</v>
      </c>
      <c r="C42" s="2" t="s">
        <v>223</v>
      </c>
      <c r="D42" s="2" t="s">
        <v>224</v>
      </c>
      <c r="E42" s="2" t="s">
        <v>225</v>
      </c>
      <c r="F42" s="2" t="s">
        <v>413</v>
      </c>
      <c r="G42" s="2" t="s">
        <v>414</v>
      </c>
      <c r="H42" s="2" t="s">
        <v>413</v>
      </c>
      <c r="I42" s="2" t="s">
        <v>415</v>
      </c>
      <c r="J42" s="2" t="s">
        <v>336</v>
      </c>
      <c r="K42" s="2" t="s">
        <v>266</v>
      </c>
      <c r="L42" s="3">
        <v>111.29</v>
      </c>
      <c r="M42" s="3">
        <v>116.85</v>
      </c>
      <c r="N42" s="3">
        <v>209.99</v>
      </c>
      <c r="O42" s="2" t="s">
        <v>230</v>
      </c>
      <c r="P42" s="2" t="s">
        <v>231</v>
      </c>
      <c r="Q42" s="2" t="s">
        <v>232</v>
      </c>
      <c r="R42" s="2" t="s">
        <v>233</v>
      </c>
      <c r="S42" s="2" t="s">
        <v>416</v>
      </c>
      <c r="T42" s="2" t="s">
        <v>235</v>
      </c>
      <c r="U42" s="2" t="s">
        <v>233</v>
      </c>
      <c r="V42" s="2" t="s">
        <v>236</v>
      </c>
      <c r="W42" s="2" t="s">
        <v>237</v>
      </c>
      <c r="X42" s="2" t="s">
        <v>233</v>
      </c>
      <c r="Y42" s="2" t="s">
        <v>238</v>
      </c>
      <c r="Z42" s="4">
        <v>157</v>
      </c>
      <c r="AA42" s="4">
        <f>=ROUNDDOWN(19.625,0)</f>
      </c>
      <c r="AB42" s="5">
        <v>8</v>
      </c>
      <c r="AC42" s="2" t="s">
        <v>145</v>
      </c>
      <c r="AD42" s="4">
        <v>100</v>
      </c>
      <c r="AE42" s="4">
        <v>100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233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233</v>
      </c>
      <c r="AW42" s="8" t="s">
        <v>233</v>
      </c>
      <c r="AX42" s="4" t="s">
        <v>233</v>
      </c>
      <c r="AY42" s="8" t="s">
        <v>233</v>
      </c>
      <c r="AZ42" s="7" t="s">
        <v>233</v>
      </c>
      <c r="BA42" s="7" t="s">
        <v>233</v>
      </c>
      <c r="BB42" s="7"/>
      <c r="BC42" s="4" t="s">
        <v>233</v>
      </c>
      <c r="BD42" s="8" t="s">
        <v>233</v>
      </c>
      <c r="BE42" s="4" t="s">
        <v>233</v>
      </c>
      <c r="BF42" s="8" t="s">
        <v>233</v>
      </c>
      <c r="BG42" s="7" t="s">
        <v>233</v>
      </c>
      <c r="BH42" s="7" t="s">
        <v>233</v>
      </c>
      <c r="BI42" s="7"/>
      <c r="BJ42" s="4">
        <v>11</v>
      </c>
      <c r="BK42" s="8">
        <v>1258.82</v>
      </c>
      <c r="BL42" s="2" t="s">
        <v>427</v>
      </c>
      <c r="BM42" s="7"/>
      <c r="BN42" s="7"/>
      <c r="BO42" s="4"/>
      <c r="BP42" s="8"/>
      <c r="BQ42" s="4"/>
      <c r="BR42" s="8"/>
      <c r="BS42" s="7"/>
      <c r="BT42" s="7"/>
      <c r="BU42" s="2" t="s">
        <v>418</v>
      </c>
      <c r="BV42" s="2" t="s">
        <v>233</v>
      </c>
      <c r="BW42" s="2" t="s">
        <v>233</v>
      </c>
      <c r="BX42" s="2" t="s">
        <v>241</v>
      </c>
      <c r="BY42" s="2" t="s">
        <v>242</v>
      </c>
      <c r="BZ42" s="2" t="s">
        <v>230</v>
      </c>
      <c r="CA42" s="2" t="s">
        <v>419</v>
      </c>
      <c r="CB42" s="2" t="s">
        <v>425</v>
      </c>
      <c r="CC42" s="2" t="s">
        <v>245</v>
      </c>
      <c r="CD42" s="2" t="s">
        <v>233</v>
      </c>
      <c r="CE42" s="4">
        <v>157</v>
      </c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>
        <v>100</v>
      </c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>
        <v>157</v>
      </c>
      <c r="GD42" s="4">
        <v>149</v>
      </c>
      <c r="GE42" s="4">
        <v>137</v>
      </c>
      <c r="GF42" s="4">
        <v>227</v>
      </c>
      <c r="GG42" s="4">
        <v>209</v>
      </c>
      <c r="GH42" s="4">
        <v>199</v>
      </c>
      <c r="GI42" s="4">
        <v>189</v>
      </c>
      <c r="GJ42" s="4">
        <v>183</v>
      </c>
      <c r="GK42" s="4">
        <v>179</v>
      </c>
      <c r="GL42" s="4">
        <v>174</v>
      </c>
      <c r="GM42" s="4">
        <v>170</v>
      </c>
      <c r="GN42" s="4">
        <v>165</v>
      </c>
      <c r="GO42" s="4">
        <v>160</v>
      </c>
      <c r="GP42" s="4">
        <v>155</v>
      </c>
      <c r="GQ42" s="4">
        <v>151</v>
      </c>
      <c r="GR42" s="4">
        <v>145</v>
      </c>
      <c r="GS42" s="4">
        <v>139</v>
      </c>
      <c r="GT42" s="4">
        <v>133</v>
      </c>
      <c r="GU42" s="4">
        <v>127</v>
      </c>
      <c r="GV42" s="4">
        <v>119</v>
      </c>
      <c r="GW42" s="4">
        <v>111</v>
      </c>
      <c r="GX42" s="4">
        <v>103</v>
      </c>
      <c r="GY42" s="4">
        <v>95</v>
      </c>
      <c r="GZ42" s="4">
        <v>86</v>
      </c>
      <c r="HA42" s="4">
        <v>77</v>
      </c>
      <c r="HB42" s="4">
        <v>68</v>
      </c>
      <c r="HC42" s="19">
        <v>13.1</v>
      </c>
      <c r="HD42" s="19">
        <v>12.4</v>
      </c>
      <c r="HE42" s="19">
        <v>11.4</v>
      </c>
      <c r="HF42" s="19">
        <v>20.6</v>
      </c>
      <c r="HG42" s="19">
        <v>26.1</v>
      </c>
      <c r="HH42" s="19">
        <v>33.2</v>
      </c>
      <c r="HI42" s="19">
        <v>37.8</v>
      </c>
      <c r="HJ42" s="19">
        <v>45.8</v>
      </c>
      <c r="HK42" s="19">
        <v>35.8</v>
      </c>
      <c r="HL42" s="19">
        <v>34.8</v>
      </c>
      <c r="HM42" s="19">
        <v>34</v>
      </c>
      <c r="HN42" s="19">
        <v>33</v>
      </c>
      <c r="HO42" s="19">
        <v>32</v>
      </c>
      <c r="HP42" s="19">
        <v>25.8</v>
      </c>
      <c r="HQ42" s="19">
        <v>25.2</v>
      </c>
      <c r="HR42" s="19">
        <v>24.2</v>
      </c>
      <c r="HS42" s="19">
        <v>19.9</v>
      </c>
      <c r="HT42" s="19">
        <v>16.6</v>
      </c>
      <c r="HU42" s="19">
        <v>15.9</v>
      </c>
      <c r="HV42" s="19">
        <v>14.9</v>
      </c>
      <c r="HW42" s="19">
        <v>13.9</v>
      </c>
      <c r="HX42" s="19">
        <v>11.4</v>
      </c>
      <c r="HY42" s="19">
        <v>10.6</v>
      </c>
      <c r="HZ42" s="19">
        <v>9.6</v>
      </c>
      <c r="IA42" s="19">
        <v>9.6</v>
      </c>
      <c r="IB42" s="19">
        <v>8.5</v>
      </c>
    </row>
    <row r="43">
      <c r="A43" s="2" t="s">
        <v>428</v>
      </c>
      <c r="B43" s="2" t="s">
        <v>222</v>
      </c>
      <c r="C43" s="2" t="s">
        <v>223</v>
      </c>
      <c r="D43" s="2" t="s">
        <v>224</v>
      </c>
      <c r="E43" s="2" t="s">
        <v>225</v>
      </c>
      <c r="F43" s="2" t="s">
        <v>413</v>
      </c>
      <c r="G43" s="2" t="s">
        <v>414</v>
      </c>
      <c r="H43" s="2" t="s">
        <v>413</v>
      </c>
      <c r="I43" s="2" t="s">
        <v>415</v>
      </c>
      <c r="J43" s="2" t="s">
        <v>256</v>
      </c>
      <c r="K43" s="2" t="s">
        <v>266</v>
      </c>
      <c r="L43" s="3">
        <v>137.79</v>
      </c>
      <c r="M43" s="3">
        <v>144.68</v>
      </c>
      <c r="N43" s="3">
        <v>259.99</v>
      </c>
      <c r="O43" s="2" t="s">
        <v>230</v>
      </c>
      <c r="P43" s="2" t="s">
        <v>231</v>
      </c>
      <c r="Q43" s="2" t="s">
        <v>232</v>
      </c>
      <c r="R43" s="2" t="s">
        <v>233</v>
      </c>
      <c r="S43" s="2" t="s">
        <v>416</v>
      </c>
      <c r="T43" s="2" t="s">
        <v>235</v>
      </c>
      <c r="U43" s="2" t="s">
        <v>233</v>
      </c>
      <c r="V43" s="2" t="s">
        <v>236</v>
      </c>
      <c r="W43" s="2" t="s">
        <v>237</v>
      </c>
      <c r="X43" s="2" t="s">
        <v>233</v>
      </c>
      <c r="Y43" s="2" t="s">
        <v>238</v>
      </c>
      <c r="Z43" s="4">
        <v>159</v>
      </c>
      <c r="AA43" s="4">
        <f>=ROUNDDOWN(31.8,0)</f>
      </c>
      <c r="AB43" s="5">
        <v>5</v>
      </c>
      <c r="AC43" s="2" t="s">
        <v>145</v>
      </c>
      <c r="AD43" s="4">
        <v>50</v>
      </c>
      <c r="AE43" s="4">
        <v>50</v>
      </c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233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233</v>
      </c>
      <c r="AW43" s="8" t="s">
        <v>233</v>
      </c>
      <c r="AX43" s="4" t="s">
        <v>233</v>
      </c>
      <c r="AY43" s="8" t="s">
        <v>233</v>
      </c>
      <c r="AZ43" s="7" t="s">
        <v>233</v>
      </c>
      <c r="BA43" s="7" t="s">
        <v>233</v>
      </c>
      <c r="BB43" s="7"/>
      <c r="BC43" s="4" t="s">
        <v>233</v>
      </c>
      <c r="BD43" s="8" t="s">
        <v>233</v>
      </c>
      <c r="BE43" s="4" t="s">
        <v>233</v>
      </c>
      <c r="BF43" s="8" t="s">
        <v>233</v>
      </c>
      <c r="BG43" s="7" t="s">
        <v>233</v>
      </c>
      <c r="BH43" s="7" t="s">
        <v>233</v>
      </c>
      <c r="BI43" s="7"/>
      <c r="BJ43" s="4">
        <v>16</v>
      </c>
      <c r="BK43" s="8">
        <v>2485.24</v>
      </c>
      <c r="BL43" s="2" t="s">
        <v>429</v>
      </c>
      <c r="BM43" s="7"/>
      <c r="BN43" s="7"/>
      <c r="BO43" s="4"/>
      <c r="BP43" s="8"/>
      <c r="BQ43" s="4"/>
      <c r="BR43" s="8"/>
      <c r="BS43" s="7"/>
      <c r="BT43" s="7"/>
      <c r="BU43" s="2" t="s">
        <v>418</v>
      </c>
      <c r="BV43" s="2" t="s">
        <v>233</v>
      </c>
      <c r="BW43" s="2" t="s">
        <v>233</v>
      </c>
      <c r="BX43" s="2" t="s">
        <v>241</v>
      </c>
      <c r="BY43" s="2" t="s">
        <v>242</v>
      </c>
      <c r="BZ43" s="2" t="s">
        <v>230</v>
      </c>
      <c r="CA43" s="2" t="s">
        <v>419</v>
      </c>
      <c r="CB43" s="2" t="s">
        <v>430</v>
      </c>
      <c r="CC43" s="2" t="s">
        <v>245</v>
      </c>
      <c r="CD43" s="2" t="s">
        <v>233</v>
      </c>
      <c r="CE43" s="4">
        <v>159</v>
      </c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>
        <v>50</v>
      </c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>
        <v>159</v>
      </c>
      <c r="GD43" s="4">
        <v>153</v>
      </c>
      <c r="GE43" s="4">
        <v>145</v>
      </c>
      <c r="GF43" s="4">
        <v>188</v>
      </c>
      <c r="GG43" s="4">
        <v>175</v>
      </c>
      <c r="GH43" s="4">
        <v>168</v>
      </c>
      <c r="GI43" s="4">
        <v>161</v>
      </c>
      <c r="GJ43" s="4">
        <v>157</v>
      </c>
      <c r="GK43" s="4">
        <v>154</v>
      </c>
      <c r="GL43" s="4">
        <v>150</v>
      </c>
      <c r="GM43" s="4">
        <v>147</v>
      </c>
      <c r="GN43" s="4">
        <v>144</v>
      </c>
      <c r="GO43" s="4">
        <v>141</v>
      </c>
      <c r="GP43" s="4">
        <v>138</v>
      </c>
      <c r="GQ43" s="4">
        <v>135</v>
      </c>
      <c r="GR43" s="4">
        <v>129</v>
      </c>
      <c r="GS43" s="4">
        <v>123</v>
      </c>
      <c r="GT43" s="4">
        <v>117</v>
      </c>
      <c r="GU43" s="4">
        <v>111</v>
      </c>
      <c r="GV43" s="4">
        <v>105</v>
      </c>
      <c r="GW43" s="4">
        <v>99</v>
      </c>
      <c r="GX43" s="4">
        <v>93</v>
      </c>
      <c r="GY43" s="4">
        <v>87</v>
      </c>
      <c r="GZ43" s="4">
        <v>81</v>
      </c>
      <c r="HA43" s="4">
        <v>75</v>
      </c>
      <c r="HB43" s="4">
        <v>69</v>
      </c>
      <c r="HC43" s="19">
        <v>19.9</v>
      </c>
      <c r="HD43" s="19">
        <v>17</v>
      </c>
      <c r="HE43" s="19">
        <v>18.1</v>
      </c>
      <c r="HF43" s="19">
        <v>23.5</v>
      </c>
      <c r="HG43" s="19">
        <v>35</v>
      </c>
      <c r="HH43" s="19">
        <v>42</v>
      </c>
      <c r="HI43" s="19">
        <v>40.3</v>
      </c>
      <c r="HJ43" s="19">
        <v>52.3</v>
      </c>
      <c r="HK43" s="19">
        <v>51.3</v>
      </c>
      <c r="HL43" s="19">
        <v>50</v>
      </c>
      <c r="HM43" s="19">
        <v>49</v>
      </c>
      <c r="HN43" s="19">
        <v>36</v>
      </c>
      <c r="HO43" s="19">
        <v>35.3</v>
      </c>
      <c r="HP43" s="19">
        <v>27.6</v>
      </c>
      <c r="HQ43" s="19">
        <v>22.5</v>
      </c>
      <c r="HR43" s="19">
        <v>21.5</v>
      </c>
      <c r="HS43" s="19">
        <v>20.5</v>
      </c>
      <c r="HT43" s="19">
        <v>19.5</v>
      </c>
      <c r="HU43" s="19">
        <v>18.5</v>
      </c>
      <c r="HV43" s="19">
        <v>17.5</v>
      </c>
      <c r="HW43" s="19">
        <v>16.5</v>
      </c>
      <c r="HX43" s="19">
        <v>15.5</v>
      </c>
      <c r="HY43" s="19">
        <v>14.5</v>
      </c>
      <c r="HZ43" s="19">
        <v>13.5</v>
      </c>
      <c r="IA43" s="19">
        <v>12.5</v>
      </c>
      <c r="IB43" s="19">
        <v>13.8</v>
      </c>
    </row>
    <row r="44">
      <c r="A44" s="2" t="s">
        <v>431</v>
      </c>
      <c r="B44" s="2" t="s">
        <v>279</v>
      </c>
      <c r="C44" s="2" t="s">
        <v>280</v>
      </c>
      <c r="D44" s="2" t="s">
        <v>281</v>
      </c>
      <c r="E44" s="2" t="s">
        <v>282</v>
      </c>
      <c r="F44" s="2" t="s">
        <v>432</v>
      </c>
      <c r="G44" s="2" t="s">
        <v>432</v>
      </c>
      <c r="H44" s="2" t="s">
        <v>432</v>
      </c>
      <c r="I44" s="2" t="s">
        <v>433</v>
      </c>
      <c r="J44" s="2" t="s">
        <v>336</v>
      </c>
      <c r="K44" s="2" t="s">
        <v>434</v>
      </c>
      <c r="L44" s="3">
        <v>28.5</v>
      </c>
      <c r="M44" s="3">
        <v>29.93</v>
      </c>
      <c r="N44" s="3">
        <v>59.99</v>
      </c>
      <c r="O44" s="2" t="s">
        <v>230</v>
      </c>
      <c r="P44" s="2" t="s">
        <v>231</v>
      </c>
      <c r="Q44" s="2" t="s">
        <v>232</v>
      </c>
      <c r="R44" s="2" t="s">
        <v>233</v>
      </c>
      <c r="S44" s="2" t="s">
        <v>435</v>
      </c>
      <c r="T44" s="2" t="s">
        <v>348</v>
      </c>
      <c r="U44" s="2" t="s">
        <v>287</v>
      </c>
      <c r="V44" s="2" t="s">
        <v>236</v>
      </c>
      <c r="W44" s="2" t="s">
        <v>237</v>
      </c>
      <c r="X44" s="2" t="s">
        <v>233</v>
      </c>
      <c r="Y44" s="2" t="s">
        <v>436</v>
      </c>
      <c r="Z44" s="4"/>
      <c r="AA44" s="4">
        <f>=ROUNDDOWN({0},0)</f>
      </c>
      <c r="AB44" s="5">
        <v>14.9</v>
      </c>
      <c r="AC44" s="2" t="s">
        <v>437</v>
      </c>
      <c r="AD44" s="4">
        <v>150</v>
      </c>
      <c r="AE44" s="4">
        <v>350</v>
      </c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233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233</v>
      </c>
      <c r="AW44" s="8" t="s">
        <v>233</v>
      </c>
      <c r="AX44" s="4" t="s">
        <v>233</v>
      </c>
      <c r="AY44" s="8" t="s">
        <v>233</v>
      </c>
      <c r="AZ44" s="7" t="s">
        <v>233</v>
      </c>
      <c r="BA44" s="7" t="s">
        <v>233</v>
      </c>
      <c r="BB44" s="7"/>
      <c r="BC44" s="4" t="s">
        <v>233</v>
      </c>
      <c r="BD44" s="8" t="s">
        <v>233</v>
      </c>
      <c r="BE44" s="4" t="s">
        <v>233</v>
      </c>
      <c r="BF44" s="8" t="s">
        <v>233</v>
      </c>
      <c r="BG44" s="7" t="s">
        <v>233</v>
      </c>
      <c r="BH44" s="7" t="s">
        <v>233</v>
      </c>
      <c r="BI44" s="7"/>
      <c r="BJ44" s="4">
        <v>3</v>
      </c>
      <c r="BK44" s="8">
        <v>98.34</v>
      </c>
      <c r="BL44" s="2" t="s">
        <v>351</v>
      </c>
      <c r="BM44" s="7"/>
      <c r="BN44" s="7"/>
      <c r="BO44" s="4"/>
      <c r="BP44" s="8"/>
      <c r="BQ44" s="4"/>
      <c r="BR44" s="8"/>
      <c r="BS44" s="7"/>
      <c r="BT44" s="7"/>
      <c r="BU44" s="2" t="s">
        <v>438</v>
      </c>
      <c r="BV44" s="2" t="s">
        <v>233</v>
      </c>
      <c r="BW44" s="2" t="s">
        <v>233</v>
      </c>
      <c r="BX44" s="2" t="s">
        <v>241</v>
      </c>
      <c r="BY44" s="2" t="s">
        <v>242</v>
      </c>
      <c r="BZ44" s="2" t="s">
        <v>230</v>
      </c>
      <c r="CA44" s="2" t="s">
        <v>439</v>
      </c>
      <c r="CB44" s="2" t="s">
        <v>440</v>
      </c>
      <c r="CC44" s="2" t="s">
        <v>245</v>
      </c>
      <c r="CD44" s="2" t="s">
        <v>233</v>
      </c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>
        <v>150</v>
      </c>
      <c r="DV44" s="4"/>
      <c r="DW44" s="4"/>
      <c r="DX44" s="4"/>
      <c r="DY44" s="4"/>
      <c r="DZ44" s="4"/>
      <c r="EA44" s="4"/>
      <c r="EB44" s="4">
        <v>200</v>
      </c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>
        <v>150</v>
      </c>
      <c r="GI44" s="4">
        <v>115</v>
      </c>
      <c r="GJ44" s="4">
        <v>300</v>
      </c>
      <c r="GK44" s="4">
        <v>289</v>
      </c>
      <c r="GL44" s="4">
        <v>274</v>
      </c>
      <c r="GM44" s="4">
        <v>259</v>
      </c>
      <c r="GN44" s="4">
        <v>244</v>
      </c>
      <c r="GO44" s="4">
        <v>229</v>
      </c>
      <c r="GP44" s="4">
        <v>214</v>
      </c>
      <c r="GQ44" s="4">
        <v>199</v>
      </c>
      <c r="GR44" s="4">
        <v>184</v>
      </c>
      <c r="GS44" s="4">
        <v>169</v>
      </c>
      <c r="GT44" s="4">
        <v>154</v>
      </c>
      <c r="GU44" s="4">
        <v>139</v>
      </c>
      <c r="GV44" s="4">
        <v>124</v>
      </c>
      <c r="GW44" s="4">
        <v>109</v>
      </c>
      <c r="GX44" s="4">
        <v>94</v>
      </c>
      <c r="GY44" s="4">
        <v>79</v>
      </c>
      <c r="GZ44" s="4">
        <v>64</v>
      </c>
      <c r="HA44" s="4">
        <v>49</v>
      </c>
      <c r="HB44" s="4">
        <v>165</v>
      </c>
      <c r="HC44" s="20">
        <v>0</v>
      </c>
      <c r="HD44" s="20">
        <v>0</v>
      </c>
      <c r="HE44" s="20">
        <v>0</v>
      </c>
      <c r="HF44" s="20">
        <v>0</v>
      </c>
      <c r="HG44" s="20">
        <v>0</v>
      </c>
      <c r="HH44" s="19">
        <v>7.9</v>
      </c>
      <c r="HI44" s="19">
        <v>8.2</v>
      </c>
      <c r="HJ44" s="19">
        <v>21.4</v>
      </c>
      <c r="HK44" s="19">
        <v>19.3</v>
      </c>
      <c r="HL44" s="19">
        <v>18.3</v>
      </c>
      <c r="HM44" s="19">
        <v>17.3</v>
      </c>
      <c r="HN44" s="19">
        <v>16.3</v>
      </c>
      <c r="HO44" s="19">
        <v>15.3</v>
      </c>
      <c r="HP44" s="19">
        <v>14.3</v>
      </c>
      <c r="HQ44" s="19">
        <v>13.3</v>
      </c>
      <c r="HR44" s="19">
        <v>12.3</v>
      </c>
      <c r="HS44" s="19">
        <v>11.3</v>
      </c>
      <c r="HT44" s="19">
        <v>10.3</v>
      </c>
      <c r="HU44" s="19">
        <v>9.3</v>
      </c>
      <c r="HV44" s="19">
        <v>8.3</v>
      </c>
      <c r="HW44" s="19">
        <v>7.3</v>
      </c>
      <c r="HX44" s="19">
        <v>6.3</v>
      </c>
      <c r="HY44" s="19">
        <v>5.3</v>
      </c>
      <c r="HZ44" s="19">
        <v>4.3</v>
      </c>
      <c r="IA44" s="19">
        <v>3.3</v>
      </c>
      <c r="IB44" s="19">
        <v>11</v>
      </c>
    </row>
    <row r="45">
      <c r="A45" s="2" t="s">
        <v>441</v>
      </c>
      <c r="B45" s="2" t="s">
        <v>279</v>
      </c>
      <c r="C45" s="2" t="s">
        <v>280</v>
      </c>
      <c r="D45" s="2" t="s">
        <v>281</v>
      </c>
      <c r="E45" s="2" t="s">
        <v>282</v>
      </c>
      <c r="F45" s="2" t="s">
        <v>432</v>
      </c>
      <c r="G45" s="2" t="s">
        <v>432</v>
      </c>
      <c r="H45" s="2" t="s">
        <v>432</v>
      </c>
      <c r="I45" s="2" t="s">
        <v>433</v>
      </c>
      <c r="J45" s="2" t="s">
        <v>256</v>
      </c>
      <c r="K45" s="2" t="s">
        <v>434</v>
      </c>
      <c r="L45" s="3">
        <v>33</v>
      </c>
      <c r="M45" s="3">
        <v>34.65</v>
      </c>
      <c r="N45" s="3">
        <v>69.99</v>
      </c>
      <c r="O45" s="2" t="s">
        <v>230</v>
      </c>
      <c r="P45" s="2" t="s">
        <v>231</v>
      </c>
      <c r="Q45" s="2" t="s">
        <v>232</v>
      </c>
      <c r="R45" s="2" t="s">
        <v>233</v>
      </c>
      <c r="S45" s="2" t="s">
        <v>435</v>
      </c>
      <c r="T45" s="2" t="s">
        <v>348</v>
      </c>
      <c r="U45" s="2" t="s">
        <v>287</v>
      </c>
      <c r="V45" s="2" t="s">
        <v>236</v>
      </c>
      <c r="W45" s="2" t="s">
        <v>237</v>
      </c>
      <c r="X45" s="2" t="s">
        <v>233</v>
      </c>
      <c r="Y45" s="2" t="s">
        <v>436</v>
      </c>
      <c r="Z45" s="4">
        <v>104</v>
      </c>
      <c r="AA45" s="4">
        <f>=ROUNDDOWN(15.7575757575758,0)</f>
      </c>
      <c r="AB45" s="5">
        <v>6.6</v>
      </c>
      <c r="AC45" s="2" t="s">
        <v>437</v>
      </c>
      <c r="AD45" s="4">
        <v>50</v>
      </c>
      <c r="AE45" s="4">
        <v>150</v>
      </c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233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233</v>
      </c>
      <c r="AW45" s="8" t="s">
        <v>233</v>
      </c>
      <c r="AX45" s="4" t="s">
        <v>233</v>
      </c>
      <c r="AY45" s="8" t="s">
        <v>233</v>
      </c>
      <c r="AZ45" s="7" t="s">
        <v>233</v>
      </c>
      <c r="BA45" s="7" t="s">
        <v>233</v>
      </c>
      <c r="BB45" s="7"/>
      <c r="BC45" s="4" t="s">
        <v>233</v>
      </c>
      <c r="BD45" s="8" t="s">
        <v>233</v>
      </c>
      <c r="BE45" s="4" t="s">
        <v>233</v>
      </c>
      <c r="BF45" s="8" t="s">
        <v>233</v>
      </c>
      <c r="BG45" s="7" t="s">
        <v>233</v>
      </c>
      <c r="BH45" s="7" t="s">
        <v>233</v>
      </c>
      <c r="BI45" s="7"/>
      <c r="BJ45" s="4">
        <v>31</v>
      </c>
      <c r="BK45" s="8">
        <v>1163.81</v>
      </c>
      <c r="BL45" s="2" t="s">
        <v>442</v>
      </c>
      <c r="BM45" s="7"/>
      <c r="BN45" s="7"/>
      <c r="BO45" s="4"/>
      <c r="BP45" s="8"/>
      <c r="BQ45" s="4"/>
      <c r="BR45" s="8"/>
      <c r="BS45" s="7"/>
      <c r="BT45" s="7"/>
      <c r="BU45" s="2" t="s">
        <v>438</v>
      </c>
      <c r="BV45" s="2" t="s">
        <v>233</v>
      </c>
      <c r="BW45" s="2" t="s">
        <v>233</v>
      </c>
      <c r="BX45" s="2" t="s">
        <v>241</v>
      </c>
      <c r="BY45" s="2" t="s">
        <v>242</v>
      </c>
      <c r="BZ45" s="2" t="s">
        <v>230</v>
      </c>
      <c r="CA45" s="2" t="s">
        <v>439</v>
      </c>
      <c r="CB45" s="2" t="s">
        <v>443</v>
      </c>
      <c r="CC45" s="2" t="s">
        <v>245</v>
      </c>
      <c r="CD45" s="2" t="s">
        <v>233</v>
      </c>
      <c r="CE45" s="4">
        <v>104</v>
      </c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>
        <v>50</v>
      </c>
      <c r="DV45" s="4"/>
      <c r="DW45" s="4"/>
      <c r="DX45" s="4"/>
      <c r="DY45" s="4"/>
      <c r="DZ45" s="4"/>
      <c r="EA45" s="4"/>
      <c r="EB45" s="4">
        <v>100</v>
      </c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>
        <v>105</v>
      </c>
      <c r="GD45" s="4">
        <v>102</v>
      </c>
      <c r="GE45" s="4">
        <v>96</v>
      </c>
      <c r="GF45" s="4">
        <v>89</v>
      </c>
      <c r="GG45" s="4">
        <v>75</v>
      </c>
      <c r="GH45" s="4">
        <v>112</v>
      </c>
      <c r="GI45" s="4">
        <v>101</v>
      </c>
      <c r="GJ45" s="4">
        <v>195</v>
      </c>
      <c r="GK45" s="4">
        <v>191</v>
      </c>
      <c r="GL45" s="4">
        <v>186</v>
      </c>
      <c r="GM45" s="4">
        <v>181</v>
      </c>
      <c r="GN45" s="4">
        <v>176</v>
      </c>
      <c r="GO45" s="4">
        <v>171</v>
      </c>
      <c r="GP45" s="4">
        <v>166</v>
      </c>
      <c r="GQ45" s="4">
        <v>161</v>
      </c>
      <c r="GR45" s="4">
        <v>156</v>
      </c>
      <c r="GS45" s="4">
        <v>151</v>
      </c>
      <c r="GT45" s="4">
        <v>146</v>
      </c>
      <c r="GU45" s="4">
        <v>141</v>
      </c>
      <c r="GV45" s="4">
        <v>136</v>
      </c>
      <c r="GW45" s="4">
        <v>131</v>
      </c>
      <c r="GX45" s="4">
        <v>126</v>
      </c>
      <c r="GY45" s="4">
        <v>121</v>
      </c>
      <c r="GZ45" s="4">
        <v>116</v>
      </c>
      <c r="HA45" s="4">
        <v>111</v>
      </c>
      <c r="HB45" s="4">
        <v>105</v>
      </c>
      <c r="HC45" s="19">
        <v>13.1</v>
      </c>
      <c r="HD45" s="19">
        <v>10.2</v>
      </c>
      <c r="HE45" s="19">
        <v>8.7</v>
      </c>
      <c r="HF45" s="19">
        <v>8.1</v>
      </c>
      <c r="HG45" s="19">
        <v>9.4</v>
      </c>
      <c r="HH45" s="19">
        <v>18.7</v>
      </c>
      <c r="HI45" s="19">
        <v>20.2</v>
      </c>
      <c r="HJ45" s="19">
        <v>39</v>
      </c>
      <c r="HK45" s="19">
        <v>38.2</v>
      </c>
      <c r="HL45" s="19">
        <v>37.2</v>
      </c>
      <c r="HM45" s="19">
        <v>36.2</v>
      </c>
      <c r="HN45" s="19">
        <v>35.2</v>
      </c>
      <c r="HO45" s="19">
        <v>34.2</v>
      </c>
      <c r="HP45" s="19">
        <v>33.2</v>
      </c>
      <c r="HQ45" s="19">
        <v>32.2</v>
      </c>
      <c r="HR45" s="19">
        <v>31.2</v>
      </c>
      <c r="HS45" s="19">
        <v>30.2</v>
      </c>
      <c r="HT45" s="19">
        <v>29.2</v>
      </c>
      <c r="HU45" s="19">
        <v>28.2</v>
      </c>
      <c r="HV45" s="19">
        <v>27.2</v>
      </c>
      <c r="HW45" s="19">
        <v>26.2</v>
      </c>
      <c r="HX45" s="19">
        <v>25.2</v>
      </c>
      <c r="HY45" s="19">
        <v>20.2</v>
      </c>
      <c r="HZ45" s="19">
        <v>19.3</v>
      </c>
      <c r="IA45" s="19">
        <v>18.5</v>
      </c>
      <c r="IB45" s="19">
        <v>17.5</v>
      </c>
    </row>
    <row r="46">
      <c r="A46" s="2" t="s">
        <v>444</v>
      </c>
      <c r="B46" s="2" t="s">
        <v>279</v>
      </c>
      <c r="C46" s="2" t="s">
        <v>280</v>
      </c>
      <c r="D46" s="2" t="s">
        <v>281</v>
      </c>
      <c r="E46" s="2" t="s">
        <v>282</v>
      </c>
      <c r="F46" s="2" t="s">
        <v>432</v>
      </c>
      <c r="G46" s="2" t="s">
        <v>432</v>
      </c>
      <c r="H46" s="2" t="s">
        <v>432</v>
      </c>
      <c r="I46" s="2" t="s">
        <v>433</v>
      </c>
      <c r="J46" s="2" t="s">
        <v>336</v>
      </c>
      <c r="K46" s="2" t="s">
        <v>300</v>
      </c>
      <c r="L46" s="3">
        <v>28.5</v>
      </c>
      <c r="M46" s="3">
        <v>29.93</v>
      </c>
      <c r="N46" s="3">
        <v>59.99</v>
      </c>
      <c r="O46" s="2" t="s">
        <v>230</v>
      </c>
      <c r="P46" s="2" t="s">
        <v>231</v>
      </c>
      <c r="Q46" s="2" t="s">
        <v>232</v>
      </c>
      <c r="R46" s="2" t="s">
        <v>233</v>
      </c>
      <c r="S46" s="2" t="s">
        <v>445</v>
      </c>
      <c r="T46" s="2" t="s">
        <v>348</v>
      </c>
      <c r="U46" s="2" t="s">
        <v>287</v>
      </c>
      <c r="V46" s="2" t="s">
        <v>236</v>
      </c>
      <c r="W46" s="2" t="s">
        <v>237</v>
      </c>
      <c r="X46" s="2" t="s">
        <v>233</v>
      </c>
      <c r="Y46" s="2" t="s">
        <v>436</v>
      </c>
      <c r="Z46" s="4"/>
      <c r="AA46" s="4">
        <f>=ROUNDDOWN({0},0)</f>
      </c>
      <c r="AB46" s="5">
        <v>12</v>
      </c>
      <c r="AC46" s="2" t="s">
        <v>437</v>
      </c>
      <c r="AD46" s="4">
        <v>195</v>
      </c>
      <c r="AE46" s="4">
        <v>305</v>
      </c>
      <c r="AF46" s="6">
        <v>65</v>
      </c>
      <c r="AG46" s="6"/>
      <c r="AH46" s="7">
        <v>0.2581</v>
      </c>
      <c r="AI46" s="4"/>
      <c r="AJ46" s="4">
        <f>=ROUNDDOWN({0},0)</f>
      </c>
      <c r="AK46" s="5"/>
      <c r="AL46" s="2" t="s">
        <v>233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233</v>
      </c>
      <c r="AW46" s="8" t="s">
        <v>233</v>
      </c>
      <c r="AX46" s="4" t="s">
        <v>233</v>
      </c>
      <c r="AY46" s="8" t="s">
        <v>233</v>
      </c>
      <c r="AZ46" s="7" t="s">
        <v>233</v>
      </c>
      <c r="BA46" s="7" t="s">
        <v>233</v>
      </c>
      <c r="BB46" s="7"/>
      <c r="BC46" s="4" t="s">
        <v>233</v>
      </c>
      <c r="BD46" s="8" t="s">
        <v>233</v>
      </c>
      <c r="BE46" s="4" t="s">
        <v>233</v>
      </c>
      <c r="BF46" s="8" t="s">
        <v>233</v>
      </c>
      <c r="BG46" s="7" t="s">
        <v>233</v>
      </c>
      <c r="BH46" s="7" t="s">
        <v>233</v>
      </c>
      <c r="BI46" s="7"/>
      <c r="BJ46" s="4">
        <v>24</v>
      </c>
      <c r="BK46" s="8">
        <v>775.34</v>
      </c>
      <c r="BL46" s="2" t="s">
        <v>446</v>
      </c>
      <c r="BM46" s="7"/>
      <c r="BN46" s="7"/>
      <c r="BO46" s="4"/>
      <c r="BP46" s="8"/>
      <c r="BQ46" s="4"/>
      <c r="BR46" s="8"/>
      <c r="BS46" s="7"/>
      <c r="BT46" s="7"/>
      <c r="BU46" s="2" t="s">
        <v>438</v>
      </c>
      <c r="BV46" s="2" t="s">
        <v>233</v>
      </c>
      <c r="BW46" s="2" t="s">
        <v>233</v>
      </c>
      <c r="BX46" s="2" t="s">
        <v>241</v>
      </c>
      <c r="BY46" s="2" t="s">
        <v>242</v>
      </c>
      <c r="BZ46" s="2" t="s">
        <v>230</v>
      </c>
      <c r="CA46" s="2" t="s">
        <v>439</v>
      </c>
      <c r="CB46" s="2" t="s">
        <v>447</v>
      </c>
      <c r="CC46" s="2" t="s">
        <v>245</v>
      </c>
      <c r="CD46" s="2" t="s">
        <v>233</v>
      </c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>
        <v>195</v>
      </c>
      <c r="DV46" s="4"/>
      <c r="DW46" s="4"/>
      <c r="DX46" s="4"/>
      <c r="DY46" s="4"/>
      <c r="DZ46" s="4"/>
      <c r="EA46" s="4"/>
      <c r="EB46" s="4">
        <v>110</v>
      </c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>
        <v>195</v>
      </c>
      <c r="GI46" s="4">
        <v>179</v>
      </c>
      <c r="GJ46" s="4">
        <v>277</v>
      </c>
      <c r="GK46" s="4">
        <v>268</v>
      </c>
      <c r="GL46" s="4">
        <v>256</v>
      </c>
      <c r="GM46" s="4">
        <v>244</v>
      </c>
      <c r="GN46" s="4">
        <v>232</v>
      </c>
      <c r="GO46" s="4">
        <v>220</v>
      </c>
      <c r="GP46" s="4">
        <v>208</v>
      </c>
      <c r="GQ46" s="4">
        <v>196</v>
      </c>
      <c r="GR46" s="4">
        <v>184</v>
      </c>
      <c r="GS46" s="4">
        <v>172</v>
      </c>
      <c r="GT46" s="4">
        <v>160</v>
      </c>
      <c r="GU46" s="4">
        <v>148</v>
      </c>
      <c r="GV46" s="4">
        <v>136</v>
      </c>
      <c r="GW46" s="4">
        <v>124</v>
      </c>
      <c r="GX46" s="4">
        <v>112</v>
      </c>
      <c r="GY46" s="4">
        <v>100</v>
      </c>
      <c r="GZ46" s="4">
        <v>88</v>
      </c>
      <c r="HA46" s="4">
        <v>76</v>
      </c>
      <c r="HB46" s="4">
        <v>64</v>
      </c>
      <c r="HC46" s="20">
        <v>0</v>
      </c>
      <c r="HD46" s="20">
        <v>0</v>
      </c>
      <c r="HE46" s="20">
        <v>0</v>
      </c>
      <c r="HF46" s="20">
        <v>0</v>
      </c>
      <c r="HG46" s="20">
        <v>0</v>
      </c>
      <c r="HH46" s="19">
        <v>16.3</v>
      </c>
      <c r="HI46" s="19">
        <v>16.3</v>
      </c>
      <c r="HJ46" s="19">
        <v>25.2</v>
      </c>
      <c r="HK46" s="19">
        <v>22.3</v>
      </c>
      <c r="HL46" s="19">
        <v>21.3</v>
      </c>
      <c r="HM46" s="19">
        <v>20.3</v>
      </c>
      <c r="HN46" s="19">
        <v>19.3</v>
      </c>
      <c r="HO46" s="19">
        <v>18.3</v>
      </c>
      <c r="HP46" s="19">
        <v>17.3</v>
      </c>
      <c r="HQ46" s="19">
        <v>16.3</v>
      </c>
      <c r="HR46" s="19">
        <v>15.3</v>
      </c>
      <c r="HS46" s="19">
        <v>14.3</v>
      </c>
      <c r="HT46" s="19">
        <v>13.3</v>
      </c>
      <c r="HU46" s="19">
        <v>12.3</v>
      </c>
      <c r="HV46" s="19">
        <v>11.3</v>
      </c>
      <c r="HW46" s="19">
        <v>10.3</v>
      </c>
      <c r="HX46" s="19">
        <v>9.3</v>
      </c>
      <c r="HY46" s="19">
        <v>8.3</v>
      </c>
      <c r="HZ46" s="19">
        <v>7.3</v>
      </c>
      <c r="IA46" s="19">
        <v>6.3</v>
      </c>
      <c r="IB46" s="19">
        <v>5.3</v>
      </c>
    </row>
    <row r="47">
      <c r="A47" s="2" t="s">
        <v>448</v>
      </c>
      <c r="B47" s="2" t="s">
        <v>279</v>
      </c>
      <c r="C47" s="2" t="s">
        <v>280</v>
      </c>
      <c r="D47" s="2" t="s">
        <v>281</v>
      </c>
      <c r="E47" s="2" t="s">
        <v>282</v>
      </c>
      <c r="F47" s="2" t="s">
        <v>432</v>
      </c>
      <c r="G47" s="2" t="s">
        <v>432</v>
      </c>
      <c r="H47" s="2" t="s">
        <v>432</v>
      </c>
      <c r="I47" s="2" t="s">
        <v>433</v>
      </c>
      <c r="J47" s="2" t="s">
        <v>256</v>
      </c>
      <c r="K47" s="2" t="s">
        <v>300</v>
      </c>
      <c r="L47" s="3">
        <v>33</v>
      </c>
      <c r="M47" s="3">
        <v>34.65</v>
      </c>
      <c r="N47" s="3">
        <v>69.99</v>
      </c>
      <c r="O47" s="2" t="s">
        <v>230</v>
      </c>
      <c r="P47" s="2" t="s">
        <v>231</v>
      </c>
      <c r="Q47" s="2" t="s">
        <v>232</v>
      </c>
      <c r="R47" s="2" t="s">
        <v>233</v>
      </c>
      <c r="S47" s="2" t="s">
        <v>445</v>
      </c>
      <c r="T47" s="2" t="s">
        <v>348</v>
      </c>
      <c r="U47" s="2" t="s">
        <v>287</v>
      </c>
      <c r="V47" s="2" t="s">
        <v>236</v>
      </c>
      <c r="W47" s="2" t="s">
        <v>237</v>
      </c>
      <c r="X47" s="2" t="s">
        <v>233</v>
      </c>
      <c r="Y47" s="2" t="s">
        <v>436</v>
      </c>
      <c r="Z47" s="4">
        <v>46</v>
      </c>
      <c r="AA47" s="4">
        <f>=ROUNDDOWN(5.97402597402597,0)</f>
      </c>
      <c r="AB47" s="5">
        <v>7.7</v>
      </c>
      <c r="AC47" s="2" t="s">
        <v>437</v>
      </c>
      <c r="AD47" s="4">
        <v>176</v>
      </c>
      <c r="AE47" s="4">
        <v>286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233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233</v>
      </c>
      <c r="AW47" s="8" t="s">
        <v>233</v>
      </c>
      <c r="AX47" s="4" t="s">
        <v>233</v>
      </c>
      <c r="AY47" s="8" t="s">
        <v>233</v>
      </c>
      <c r="AZ47" s="7" t="s">
        <v>233</v>
      </c>
      <c r="BA47" s="7" t="s">
        <v>233</v>
      </c>
      <c r="BB47" s="7"/>
      <c r="BC47" s="4" t="s">
        <v>233</v>
      </c>
      <c r="BD47" s="8" t="s">
        <v>233</v>
      </c>
      <c r="BE47" s="4" t="s">
        <v>233</v>
      </c>
      <c r="BF47" s="8" t="s">
        <v>233</v>
      </c>
      <c r="BG47" s="7" t="s">
        <v>233</v>
      </c>
      <c r="BH47" s="7" t="s">
        <v>233</v>
      </c>
      <c r="BI47" s="7"/>
      <c r="BJ47" s="4">
        <v>42</v>
      </c>
      <c r="BK47" s="8">
        <v>1568.7</v>
      </c>
      <c r="BL47" s="2" t="s">
        <v>449</v>
      </c>
      <c r="BM47" s="7"/>
      <c r="BN47" s="7"/>
      <c r="BO47" s="4"/>
      <c r="BP47" s="8"/>
      <c r="BQ47" s="4"/>
      <c r="BR47" s="8"/>
      <c r="BS47" s="7"/>
      <c r="BT47" s="7"/>
      <c r="BU47" s="2" t="s">
        <v>438</v>
      </c>
      <c r="BV47" s="2" t="s">
        <v>233</v>
      </c>
      <c r="BW47" s="2" t="s">
        <v>233</v>
      </c>
      <c r="BX47" s="2" t="s">
        <v>241</v>
      </c>
      <c r="BY47" s="2" t="s">
        <v>242</v>
      </c>
      <c r="BZ47" s="2" t="s">
        <v>230</v>
      </c>
      <c r="CA47" s="2" t="s">
        <v>439</v>
      </c>
      <c r="CB47" s="2" t="s">
        <v>450</v>
      </c>
      <c r="CC47" s="2" t="s">
        <v>245</v>
      </c>
      <c r="CD47" s="2" t="s">
        <v>233</v>
      </c>
      <c r="CE47" s="4">
        <v>46</v>
      </c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>
        <v>176</v>
      </c>
      <c r="DV47" s="4"/>
      <c r="DW47" s="4"/>
      <c r="DX47" s="4"/>
      <c r="DY47" s="4"/>
      <c r="DZ47" s="4"/>
      <c r="EA47" s="4"/>
      <c r="EB47" s="4">
        <v>110</v>
      </c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>
        <v>53</v>
      </c>
      <c r="GD47" s="4">
        <v>44</v>
      </c>
      <c r="GE47" s="4">
        <v>37</v>
      </c>
      <c r="GF47" s="4">
        <v>29</v>
      </c>
      <c r="GG47" s="4">
        <v>12</v>
      </c>
      <c r="GH47" s="4">
        <v>176</v>
      </c>
      <c r="GI47" s="4">
        <v>159</v>
      </c>
      <c r="GJ47" s="4">
        <v>260</v>
      </c>
      <c r="GK47" s="4">
        <v>253</v>
      </c>
      <c r="GL47" s="4">
        <v>245</v>
      </c>
      <c r="GM47" s="4">
        <v>237</v>
      </c>
      <c r="GN47" s="4">
        <v>229</v>
      </c>
      <c r="GO47" s="4">
        <v>221</v>
      </c>
      <c r="GP47" s="4">
        <v>213</v>
      </c>
      <c r="GQ47" s="4">
        <v>205</v>
      </c>
      <c r="GR47" s="4">
        <v>197</v>
      </c>
      <c r="GS47" s="4">
        <v>189</v>
      </c>
      <c r="GT47" s="4">
        <v>181</v>
      </c>
      <c r="GU47" s="4">
        <v>173</v>
      </c>
      <c r="GV47" s="4">
        <v>165</v>
      </c>
      <c r="GW47" s="4">
        <v>157</v>
      </c>
      <c r="GX47" s="4">
        <v>149</v>
      </c>
      <c r="GY47" s="4">
        <v>141</v>
      </c>
      <c r="GZ47" s="4">
        <v>133</v>
      </c>
      <c r="HA47" s="4">
        <v>125</v>
      </c>
      <c r="HB47" s="4">
        <v>117</v>
      </c>
      <c r="HC47" s="19">
        <v>5.3</v>
      </c>
      <c r="HD47" s="19">
        <v>3.7</v>
      </c>
      <c r="HE47" s="19">
        <v>2.6</v>
      </c>
      <c r="HF47" s="19">
        <v>2.1</v>
      </c>
      <c r="HG47" s="19">
        <v>1</v>
      </c>
      <c r="HH47" s="19">
        <v>17.6</v>
      </c>
      <c r="HI47" s="19">
        <v>19.9</v>
      </c>
      <c r="HJ47" s="19">
        <v>32.5</v>
      </c>
      <c r="HK47" s="19">
        <v>31.6</v>
      </c>
      <c r="HL47" s="19">
        <v>30.6</v>
      </c>
      <c r="HM47" s="19">
        <v>29.6</v>
      </c>
      <c r="HN47" s="19">
        <v>28.6</v>
      </c>
      <c r="HO47" s="19">
        <v>27.6</v>
      </c>
      <c r="HP47" s="19">
        <v>26.6</v>
      </c>
      <c r="HQ47" s="19">
        <v>25.6</v>
      </c>
      <c r="HR47" s="19">
        <v>24.6</v>
      </c>
      <c r="HS47" s="19">
        <v>23.6</v>
      </c>
      <c r="HT47" s="19">
        <v>22.6</v>
      </c>
      <c r="HU47" s="19">
        <v>21.6</v>
      </c>
      <c r="HV47" s="19">
        <v>20.6</v>
      </c>
      <c r="HW47" s="19">
        <v>19.6</v>
      </c>
      <c r="HX47" s="19">
        <v>18.6</v>
      </c>
      <c r="HY47" s="19">
        <v>17.6</v>
      </c>
      <c r="HZ47" s="19">
        <v>16.6</v>
      </c>
      <c r="IA47" s="19">
        <v>15.6</v>
      </c>
      <c r="IB47" s="19">
        <v>14.6</v>
      </c>
    </row>
    <row r="48">
      <c r="A48" s="2" t="s">
        <v>451</v>
      </c>
      <c r="B48" s="2" t="s">
        <v>279</v>
      </c>
      <c r="C48" s="2" t="s">
        <v>280</v>
      </c>
      <c r="D48" s="2" t="s">
        <v>281</v>
      </c>
      <c r="E48" s="2" t="s">
        <v>282</v>
      </c>
      <c r="F48" s="2" t="s">
        <v>432</v>
      </c>
      <c r="G48" s="2" t="s">
        <v>432</v>
      </c>
      <c r="H48" s="2" t="s">
        <v>432</v>
      </c>
      <c r="I48" s="2" t="s">
        <v>433</v>
      </c>
      <c r="J48" s="2" t="s">
        <v>336</v>
      </c>
      <c r="K48" s="2" t="s">
        <v>452</v>
      </c>
      <c r="L48" s="3">
        <v>28.5</v>
      </c>
      <c r="M48" s="3">
        <v>29.93</v>
      </c>
      <c r="N48" s="3">
        <v>59.99</v>
      </c>
      <c r="O48" s="2" t="s">
        <v>230</v>
      </c>
      <c r="P48" s="2" t="s">
        <v>231</v>
      </c>
      <c r="Q48" s="2" t="s">
        <v>232</v>
      </c>
      <c r="R48" s="2" t="s">
        <v>233</v>
      </c>
      <c r="S48" s="2" t="s">
        <v>453</v>
      </c>
      <c r="T48" s="2" t="s">
        <v>348</v>
      </c>
      <c r="U48" s="2" t="s">
        <v>287</v>
      </c>
      <c r="V48" s="2" t="s">
        <v>236</v>
      </c>
      <c r="W48" s="2" t="s">
        <v>237</v>
      </c>
      <c r="X48" s="2" t="s">
        <v>233</v>
      </c>
      <c r="Y48" s="2" t="s">
        <v>436</v>
      </c>
      <c r="Z48" s="4"/>
      <c r="AA48" s="4">
        <f>=ROUNDDOWN({0},0)</f>
      </c>
      <c r="AB48" s="5">
        <v>17</v>
      </c>
      <c r="AC48" s="2" t="s">
        <v>437</v>
      </c>
      <c r="AD48" s="4">
        <v>250</v>
      </c>
      <c r="AE48" s="4">
        <v>350</v>
      </c>
      <c r="AF48" s="6">
        <v>65</v>
      </c>
      <c r="AG48" s="6"/>
      <c r="AH48" s="7">
        <v>0.6129</v>
      </c>
      <c r="AI48" s="4"/>
      <c r="AJ48" s="4">
        <f>=ROUNDDOWN({0},0)</f>
      </c>
      <c r="AK48" s="5"/>
      <c r="AL48" s="2" t="s">
        <v>233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233</v>
      </c>
      <c r="AW48" s="8" t="s">
        <v>233</v>
      </c>
      <c r="AX48" s="4" t="s">
        <v>233</v>
      </c>
      <c r="AY48" s="8" t="s">
        <v>233</v>
      </c>
      <c r="AZ48" s="7" t="s">
        <v>233</v>
      </c>
      <c r="BA48" s="7" t="s">
        <v>233</v>
      </c>
      <c r="BB48" s="7"/>
      <c r="BC48" s="4" t="s">
        <v>233</v>
      </c>
      <c r="BD48" s="8" t="s">
        <v>233</v>
      </c>
      <c r="BE48" s="4" t="s">
        <v>233</v>
      </c>
      <c r="BF48" s="8" t="s">
        <v>233</v>
      </c>
      <c r="BG48" s="7" t="s">
        <v>233</v>
      </c>
      <c r="BH48" s="7" t="s">
        <v>233</v>
      </c>
      <c r="BI48" s="7"/>
      <c r="BJ48" s="4">
        <v>64</v>
      </c>
      <c r="BK48" s="8">
        <v>2062.54</v>
      </c>
      <c r="BL48" s="2" t="s">
        <v>454</v>
      </c>
      <c r="BM48" s="7"/>
      <c r="BN48" s="7"/>
      <c r="BO48" s="4"/>
      <c r="BP48" s="8"/>
      <c r="BQ48" s="4"/>
      <c r="BR48" s="8"/>
      <c r="BS48" s="7"/>
      <c r="BT48" s="7"/>
      <c r="BU48" s="2" t="s">
        <v>438</v>
      </c>
      <c r="BV48" s="2" t="s">
        <v>233</v>
      </c>
      <c r="BW48" s="2" t="s">
        <v>233</v>
      </c>
      <c r="BX48" s="2" t="s">
        <v>241</v>
      </c>
      <c r="BY48" s="2" t="s">
        <v>242</v>
      </c>
      <c r="BZ48" s="2" t="s">
        <v>230</v>
      </c>
      <c r="CA48" s="2" t="s">
        <v>439</v>
      </c>
      <c r="CB48" s="2" t="s">
        <v>443</v>
      </c>
      <c r="CC48" s="2" t="s">
        <v>245</v>
      </c>
      <c r="CD48" s="2" t="s">
        <v>233</v>
      </c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>
        <v>250</v>
      </c>
      <c r="DV48" s="4"/>
      <c r="DW48" s="4"/>
      <c r="DX48" s="4"/>
      <c r="DY48" s="4"/>
      <c r="DZ48" s="4"/>
      <c r="EA48" s="4"/>
      <c r="EB48" s="4">
        <v>100</v>
      </c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>
        <v>2</v>
      </c>
      <c r="GD48" s="4"/>
      <c r="GE48" s="4"/>
      <c r="GF48" s="4"/>
      <c r="GG48" s="4"/>
      <c r="GH48" s="4">
        <v>250</v>
      </c>
      <c r="GI48" s="4">
        <v>223</v>
      </c>
      <c r="GJ48" s="4">
        <v>306</v>
      </c>
      <c r="GK48" s="4">
        <v>293</v>
      </c>
      <c r="GL48" s="4">
        <v>276</v>
      </c>
      <c r="GM48" s="4">
        <v>259</v>
      </c>
      <c r="GN48" s="4">
        <v>242</v>
      </c>
      <c r="GO48" s="4">
        <v>225</v>
      </c>
      <c r="GP48" s="4">
        <v>208</v>
      </c>
      <c r="GQ48" s="4">
        <v>191</v>
      </c>
      <c r="GR48" s="4">
        <v>174</v>
      </c>
      <c r="GS48" s="4">
        <v>157</v>
      </c>
      <c r="GT48" s="4">
        <v>140</v>
      </c>
      <c r="GU48" s="4">
        <v>123</v>
      </c>
      <c r="GV48" s="4">
        <v>106</v>
      </c>
      <c r="GW48" s="4">
        <v>89</v>
      </c>
      <c r="GX48" s="4">
        <v>72</v>
      </c>
      <c r="GY48" s="4">
        <v>55</v>
      </c>
      <c r="GZ48" s="4">
        <v>38</v>
      </c>
      <c r="HA48" s="4">
        <v>21</v>
      </c>
      <c r="HB48" s="4">
        <v>187</v>
      </c>
      <c r="HC48" s="19">
        <v>0.1</v>
      </c>
      <c r="HD48" s="20">
        <v>0</v>
      </c>
      <c r="HE48" s="20">
        <v>0</v>
      </c>
      <c r="HF48" s="20">
        <v>0</v>
      </c>
      <c r="HG48" s="20">
        <v>0</v>
      </c>
      <c r="HH48" s="19">
        <v>13.9</v>
      </c>
      <c r="HI48" s="19">
        <v>13.9</v>
      </c>
      <c r="HJ48" s="19">
        <v>19.1</v>
      </c>
      <c r="HK48" s="19">
        <v>17.2</v>
      </c>
      <c r="HL48" s="19">
        <v>16.2</v>
      </c>
      <c r="HM48" s="19">
        <v>15.2</v>
      </c>
      <c r="HN48" s="19">
        <v>14.2</v>
      </c>
      <c r="HO48" s="19">
        <v>13.2</v>
      </c>
      <c r="HP48" s="19">
        <v>12.2</v>
      </c>
      <c r="HQ48" s="19">
        <v>11.2</v>
      </c>
      <c r="HR48" s="19">
        <v>10.2</v>
      </c>
      <c r="HS48" s="19">
        <v>9.2</v>
      </c>
      <c r="HT48" s="19">
        <v>8.2</v>
      </c>
      <c r="HU48" s="19">
        <v>7.2</v>
      </c>
      <c r="HV48" s="19">
        <v>6.2</v>
      </c>
      <c r="HW48" s="19">
        <v>5.2</v>
      </c>
      <c r="HX48" s="19">
        <v>4.2</v>
      </c>
      <c r="HY48" s="19">
        <v>3.2</v>
      </c>
      <c r="HZ48" s="19">
        <v>2.2</v>
      </c>
      <c r="IA48" s="19">
        <v>1.2</v>
      </c>
      <c r="IB48" s="19">
        <v>11</v>
      </c>
    </row>
    <row r="49">
      <c r="A49" s="2" t="s">
        <v>455</v>
      </c>
      <c r="B49" s="2" t="s">
        <v>279</v>
      </c>
      <c r="C49" s="2" t="s">
        <v>280</v>
      </c>
      <c r="D49" s="2" t="s">
        <v>281</v>
      </c>
      <c r="E49" s="2" t="s">
        <v>282</v>
      </c>
      <c r="F49" s="2" t="s">
        <v>432</v>
      </c>
      <c r="G49" s="2" t="s">
        <v>432</v>
      </c>
      <c r="H49" s="2" t="s">
        <v>432</v>
      </c>
      <c r="I49" s="2" t="s">
        <v>433</v>
      </c>
      <c r="J49" s="2" t="s">
        <v>256</v>
      </c>
      <c r="K49" s="2" t="s">
        <v>452</v>
      </c>
      <c r="L49" s="3">
        <v>33</v>
      </c>
      <c r="M49" s="3">
        <v>34.65</v>
      </c>
      <c r="N49" s="3">
        <v>69.99</v>
      </c>
      <c r="O49" s="2" t="s">
        <v>230</v>
      </c>
      <c r="P49" s="2" t="s">
        <v>231</v>
      </c>
      <c r="Q49" s="2" t="s">
        <v>232</v>
      </c>
      <c r="R49" s="2" t="s">
        <v>233</v>
      </c>
      <c r="S49" s="2" t="s">
        <v>453</v>
      </c>
      <c r="T49" s="2" t="s">
        <v>348</v>
      </c>
      <c r="U49" s="2" t="s">
        <v>287</v>
      </c>
      <c r="V49" s="2" t="s">
        <v>236</v>
      </c>
      <c r="W49" s="2" t="s">
        <v>237</v>
      </c>
      <c r="X49" s="2" t="s">
        <v>233</v>
      </c>
      <c r="Y49" s="2" t="s">
        <v>436</v>
      </c>
      <c r="Z49" s="4"/>
      <c r="AA49" s="4">
        <f>=ROUNDDOWN({0},0)</f>
      </c>
      <c r="AB49" s="5">
        <v>11</v>
      </c>
      <c r="AC49" s="2" t="s">
        <v>437</v>
      </c>
      <c r="AD49" s="4">
        <v>200</v>
      </c>
      <c r="AE49" s="4">
        <v>250</v>
      </c>
      <c r="AF49" s="6">
        <v>65</v>
      </c>
      <c r="AG49" s="6"/>
      <c r="AH49" s="7">
        <v>0</v>
      </c>
      <c r="AI49" s="4"/>
      <c r="AJ49" s="4">
        <f>=ROUNDDOWN({0},0)</f>
      </c>
      <c r="AK49" s="5"/>
      <c r="AL49" s="2" t="s">
        <v>233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233</v>
      </c>
      <c r="AW49" s="8" t="s">
        <v>233</v>
      </c>
      <c r="AX49" s="4" t="s">
        <v>233</v>
      </c>
      <c r="AY49" s="8" t="s">
        <v>233</v>
      </c>
      <c r="AZ49" s="7" t="s">
        <v>233</v>
      </c>
      <c r="BA49" s="7" t="s">
        <v>233</v>
      </c>
      <c r="BB49" s="7"/>
      <c r="BC49" s="4" t="s">
        <v>233</v>
      </c>
      <c r="BD49" s="8" t="s">
        <v>233</v>
      </c>
      <c r="BE49" s="4" t="s">
        <v>233</v>
      </c>
      <c r="BF49" s="8" t="s">
        <v>233</v>
      </c>
      <c r="BG49" s="7" t="s">
        <v>233</v>
      </c>
      <c r="BH49" s="7" t="s">
        <v>233</v>
      </c>
      <c r="BI49" s="7"/>
      <c r="BJ49" s="4"/>
      <c r="BK49" s="8"/>
      <c r="BL49" s="2" t="s">
        <v>233</v>
      </c>
      <c r="BM49" s="7"/>
      <c r="BN49" s="7"/>
      <c r="BO49" s="4"/>
      <c r="BP49" s="8"/>
      <c r="BQ49" s="4"/>
      <c r="BR49" s="8"/>
      <c r="BS49" s="7"/>
      <c r="BT49" s="7"/>
      <c r="BU49" s="2" t="s">
        <v>438</v>
      </c>
      <c r="BV49" s="2" t="s">
        <v>233</v>
      </c>
      <c r="BW49" s="2" t="s">
        <v>233</v>
      </c>
      <c r="BX49" s="2" t="s">
        <v>241</v>
      </c>
      <c r="BY49" s="2" t="s">
        <v>242</v>
      </c>
      <c r="BZ49" s="2" t="s">
        <v>230</v>
      </c>
      <c r="CA49" s="2" t="s">
        <v>439</v>
      </c>
      <c r="CB49" s="2" t="s">
        <v>456</v>
      </c>
      <c r="CC49" s="2" t="s">
        <v>245</v>
      </c>
      <c r="CD49" s="2" t="s">
        <v>233</v>
      </c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>
        <v>200</v>
      </c>
      <c r="DV49" s="4"/>
      <c r="DW49" s="4"/>
      <c r="DX49" s="4"/>
      <c r="DY49" s="4"/>
      <c r="DZ49" s="4"/>
      <c r="EA49" s="4"/>
      <c r="EB49" s="4">
        <v>50</v>
      </c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>
        <v>200</v>
      </c>
      <c r="GI49" s="4">
        <v>150</v>
      </c>
      <c r="GJ49" s="4">
        <v>188</v>
      </c>
      <c r="GK49" s="4">
        <v>178</v>
      </c>
      <c r="GL49" s="4">
        <v>167</v>
      </c>
      <c r="GM49" s="4">
        <v>156</v>
      </c>
      <c r="GN49" s="4">
        <v>145</v>
      </c>
      <c r="GO49" s="4">
        <v>134</v>
      </c>
      <c r="GP49" s="4">
        <v>123</v>
      </c>
      <c r="GQ49" s="4">
        <v>112</v>
      </c>
      <c r="GR49" s="4">
        <v>101</v>
      </c>
      <c r="GS49" s="4">
        <v>90</v>
      </c>
      <c r="GT49" s="4">
        <v>79</v>
      </c>
      <c r="GU49" s="4">
        <v>68</v>
      </c>
      <c r="GV49" s="4">
        <v>57</v>
      </c>
      <c r="GW49" s="4">
        <v>46</v>
      </c>
      <c r="GX49" s="4">
        <v>35</v>
      </c>
      <c r="GY49" s="4">
        <v>24</v>
      </c>
      <c r="GZ49" s="4">
        <v>13</v>
      </c>
      <c r="HA49" s="4">
        <v>2</v>
      </c>
      <c r="HB49" s="4">
        <v>121</v>
      </c>
      <c r="HC49" s="20">
        <v>0</v>
      </c>
      <c r="HD49" s="20">
        <v>0</v>
      </c>
      <c r="HE49" s="20">
        <v>0</v>
      </c>
      <c r="HF49" s="20">
        <v>0</v>
      </c>
      <c r="HG49" s="20">
        <v>0</v>
      </c>
      <c r="HH49" s="19">
        <v>9.5</v>
      </c>
      <c r="HI49" s="19">
        <v>13.6</v>
      </c>
      <c r="HJ49" s="19">
        <v>17.1</v>
      </c>
      <c r="HK49" s="19">
        <v>16.2</v>
      </c>
      <c r="HL49" s="19">
        <v>15.2</v>
      </c>
      <c r="HM49" s="19">
        <v>14.2</v>
      </c>
      <c r="HN49" s="19">
        <v>13.2</v>
      </c>
      <c r="HO49" s="19">
        <v>12.2</v>
      </c>
      <c r="HP49" s="19">
        <v>11.2</v>
      </c>
      <c r="HQ49" s="19">
        <v>10.2</v>
      </c>
      <c r="HR49" s="19">
        <v>9.2</v>
      </c>
      <c r="HS49" s="19">
        <v>8.2</v>
      </c>
      <c r="HT49" s="19">
        <v>7.2</v>
      </c>
      <c r="HU49" s="19">
        <v>6.2</v>
      </c>
      <c r="HV49" s="19">
        <v>5.2</v>
      </c>
      <c r="HW49" s="19">
        <v>4.2</v>
      </c>
      <c r="HX49" s="19">
        <v>3.2</v>
      </c>
      <c r="HY49" s="19">
        <v>2.2</v>
      </c>
      <c r="HZ49" s="19">
        <v>1.2</v>
      </c>
      <c r="IA49" s="19">
        <v>0.2</v>
      </c>
      <c r="IB49" s="19">
        <v>11</v>
      </c>
    </row>
    <row r="50">
      <c r="A50" s="2" t="s">
        <v>457</v>
      </c>
      <c r="B50" s="2" t="s">
        <v>279</v>
      </c>
      <c r="C50" s="2" t="s">
        <v>280</v>
      </c>
      <c r="D50" s="2" t="s">
        <v>281</v>
      </c>
      <c r="E50" s="2" t="s">
        <v>282</v>
      </c>
      <c r="F50" s="2" t="s">
        <v>432</v>
      </c>
      <c r="G50" s="2" t="s">
        <v>432</v>
      </c>
      <c r="H50" s="2" t="s">
        <v>432</v>
      </c>
      <c r="I50" s="2" t="s">
        <v>433</v>
      </c>
      <c r="J50" s="2" t="s">
        <v>336</v>
      </c>
      <c r="K50" s="2" t="s">
        <v>458</v>
      </c>
      <c r="L50" s="3">
        <v>28.5</v>
      </c>
      <c r="M50" s="3">
        <v>29.93</v>
      </c>
      <c r="N50" s="3">
        <v>59.99</v>
      </c>
      <c r="O50" s="2" t="s">
        <v>230</v>
      </c>
      <c r="P50" s="2" t="s">
        <v>231</v>
      </c>
      <c r="Q50" s="2" t="s">
        <v>232</v>
      </c>
      <c r="R50" s="2" t="s">
        <v>233</v>
      </c>
      <c r="S50" s="2" t="s">
        <v>459</v>
      </c>
      <c r="T50" s="2" t="s">
        <v>348</v>
      </c>
      <c r="U50" s="2" t="s">
        <v>287</v>
      </c>
      <c r="V50" s="2" t="s">
        <v>236</v>
      </c>
      <c r="W50" s="2" t="s">
        <v>237</v>
      </c>
      <c r="X50" s="2" t="s">
        <v>233</v>
      </c>
      <c r="Y50" s="2" t="s">
        <v>436</v>
      </c>
      <c r="Z50" s="4">
        <v>22</v>
      </c>
      <c r="AA50" s="4">
        <f>=ROUNDDOWN(1.64179104477612,0)</f>
      </c>
      <c r="AB50" s="5">
        <v>13.4</v>
      </c>
      <c r="AC50" s="2" t="s">
        <v>437</v>
      </c>
      <c r="AD50" s="4">
        <v>174</v>
      </c>
      <c r="AE50" s="4">
        <v>414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233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233</v>
      </c>
      <c r="AW50" s="8" t="s">
        <v>233</v>
      </c>
      <c r="AX50" s="4" t="s">
        <v>233</v>
      </c>
      <c r="AY50" s="8" t="s">
        <v>233</v>
      </c>
      <c r="AZ50" s="7" t="s">
        <v>233</v>
      </c>
      <c r="BA50" s="7" t="s">
        <v>233</v>
      </c>
      <c r="BB50" s="7"/>
      <c r="BC50" s="4" t="s">
        <v>233</v>
      </c>
      <c r="BD50" s="8" t="s">
        <v>233</v>
      </c>
      <c r="BE50" s="4" t="s">
        <v>233</v>
      </c>
      <c r="BF50" s="8" t="s">
        <v>233</v>
      </c>
      <c r="BG50" s="7" t="s">
        <v>233</v>
      </c>
      <c r="BH50" s="7" t="s">
        <v>233</v>
      </c>
      <c r="BI50" s="7"/>
      <c r="BJ50" s="4">
        <v>70</v>
      </c>
      <c r="BK50" s="8">
        <v>2240.34</v>
      </c>
      <c r="BL50" s="2" t="s">
        <v>460</v>
      </c>
      <c r="BM50" s="7"/>
      <c r="BN50" s="7"/>
      <c r="BO50" s="4"/>
      <c r="BP50" s="8"/>
      <c r="BQ50" s="4"/>
      <c r="BR50" s="8"/>
      <c r="BS50" s="7"/>
      <c r="BT50" s="7"/>
      <c r="BU50" s="2" t="s">
        <v>438</v>
      </c>
      <c r="BV50" s="2" t="s">
        <v>233</v>
      </c>
      <c r="BW50" s="2" t="s">
        <v>233</v>
      </c>
      <c r="BX50" s="2" t="s">
        <v>241</v>
      </c>
      <c r="BY50" s="2" t="s">
        <v>242</v>
      </c>
      <c r="BZ50" s="2" t="s">
        <v>230</v>
      </c>
      <c r="CA50" s="2" t="s">
        <v>439</v>
      </c>
      <c r="CB50" s="2" t="s">
        <v>461</v>
      </c>
      <c r="CC50" s="2" t="s">
        <v>245</v>
      </c>
      <c r="CD50" s="2" t="s">
        <v>233</v>
      </c>
      <c r="CE50" s="4">
        <v>22</v>
      </c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>
        <v>174</v>
      </c>
      <c r="DV50" s="4"/>
      <c r="DW50" s="4"/>
      <c r="DX50" s="4"/>
      <c r="DY50" s="4"/>
      <c r="DZ50" s="4"/>
      <c r="EA50" s="4"/>
      <c r="EB50" s="4">
        <v>240</v>
      </c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>
        <v>37</v>
      </c>
      <c r="GD50" s="4">
        <v>16</v>
      </c>
      <c r="GE50" s="4">
        <v>4</v>
      </c>
      <c r="GF50" s="4"/>
      <c r="GG50" s="4"/>
      <c r="GH50" s="4">
        <v>174</v>
      </c>
      <c r="GI50" s="4">
        <v>152</v>
      </c>
      <c r="GJ50" s="4">
        <v>380</v>
      </c>
      <c r="GK50" s="4">
        <v>372</v>
      </c>
      <c r="GL50" s="4">
        <v>360</v>
      </c>
      <c r="GM50" s="4">
        <v>348</v>
      </c>
      <c r="GN50" s="4">
        <v>336</v>
      </c>
      <c r="GO50" s="4">
        <v>322</v>
      </c>
      <c r="GP50" s="4">
        <v>308</v>
      </c>
      <c r="GQ50" s="4">
        <v>294</v>
      </c>
      <c r="GR50" s="4">
        <v>280</v>
      </c>
      <c r="GS50" s="4">
        <v>266</v>
      </c>
      <c r="GT50" s="4">
        <v>252</v>
      </c>
      <c r="GU50" s="4">
        <v>238</v>
      </c>
      <c r="GV50" s="4">
        <v>224</v>
      </c>
      <c r="GW50" s="4">
        <v>210</v>
      </c>
      <c r="GX50" s="4">
        <v>196</v>
      </c>
      <c r="GY50" s="4">
        <v>182</v>
      </c>
      <c r="GZ50" s="4">
        <v>168</v>
      </c>
      <c r="HA50" s="4">
        <v>154</v>
      </c>
      <c r="HB50" s="4">
        <v>154</v>
      </c>
      <c r="HC50" s="19">
        <v>2.1</v>
      </c>
      <c r="HD50" s="19">
        <v>0.8</v>
      </c>
      <c r="HE50" s="19">
        <v>0.2</v>
      </c>
      <c r="HF50" s="20">
        <v>0</v>
      </c>
      <c r="HG50" s="20">
        <v>0</v>
      </c>
      <c r="HH50" s="19">
        <v>12.4</v>
      </c>
      <c r="HI50" s="19">
        <v>13.8</v>
      </c>
      <c r="HJ50" s="19">
        <v>34.5</v>
      </c>
      <c r="HK50" s="19">
        <v>31</v>
      </c>
      <c r="HL50" s="19">
        <v>27.7</v>
      </c>
      <c r="HM50" s="19">
        <v>24.9</v>
      </c>
      <c r="HN50" s="19">
        <v>24</v>
      </c>
      <c r="HO50" s="19">
        <v>23</v>
      </c>
      <c r="HP50" s="19">
        <v>22</v>
      </c>
      <c r="HQ50" s="19">
        <v>21</v>
      </c>
      <c r="HR50" s="19">
        <v>20</v>
      </c>
      <c r="HS50" s="19">
        <v>19</v>
      </c>
      <c r="HT50" s="19">
        <v>18</v>
      </c>
      <c r="HU50" s="19">
        <v>17</v>
      </c>
      <c r="HV50" s="19">
        <v>16</v>
      </c>
      <c r="HW50" s="19">
        <v>15</v>
      </c>
      <c r="HX50" s="19">
        <v>14</v>
      </c>
      <c r="HY50" s="19">
        <v>13</v>
      </c>
      <c r="HZ50" s="19">
        <v>12</v>
      </c>
      <c r="IA50" s="19">
        <v>11</v>
      </c>
      <c r="IB50" s="19">
        <v>11</v>
      </c>
    </row>
    <row r="51">
      <c r="A51" s="2" t="s">
        <v>462</v>
      </c>
      <c r="B51" s="2" t="s">
        <v>279</v>
      </c>
      <c r="C51" s="2" t="s">
        <v>280</v>
      </c>
      <c r="D51" s="2" t="s">
        <v>281</v>
      </c>
      <c r="E51" s="2" t="s">
        <v>282</v>
      </c>
      <c r="F51" s="2" t="s">
        <v>432</v>
      </c>
      <c r="G51" s="2" t="s">
        <v>432</v>
      </c>
      <c r="H51" s="2" t="s">
        <v>432</v>
      </c>
      <c r="I51" s="2" t="s">
        <v>433</v>
      </c>
      <c r="J51" s="2" t="s">
        <v>256</v>
      </c>
      <c r="K51" s="2" t="s">
        <v>458</v>
      </c>
      <c r="L51" s="3">
        <v>33</v>
      </c>
      <c r="M51" s="3">
        <v>34.65</v>
      </c>
      <c r="N51" s="3">
        <v>69.99</v>
      </c>
      <c r="O51" s="2" t="s">
        <v>230</v>
      </c>
      <c r="P51" s="2" t="s">
        <v>231</v>
      </c>
      <c r="Q51" s="2" t="s">
        <v>232</v>
      </c>
      <c r="R51" s="2" t="s">
        <v>233</v>
      </c>
      <c r="S51" s="2" t="s">
        <v>459</v>
      </c>
      <c r="T51" s="2" t="s">
        <v>348</v>
      </c>
      <c r="U51" s="2" t="s">
        <v>287</v>
      </c>
      <c r="V51" s="2" t="s">
        <v>236</v>
      </c>
      <c r="W51" s="2" t="s">
        <v>237</v>
      </c>
      <c r="X51" s="2" t="s">
        <v>233</v>
      </c>
      <c r="Y51" s="2" t="s">
        <v>436</v>
      </c>
      <c r="Z51" s="4">
        <v>112</v>
      </c>
      <c r="AA51" s="4">
        <f>=ROUNDDOWN(16,0)</f>
      </c>
      <c r="AB51" s="5">
        <v>7</v>
      </c>
      <c r="AC51" s="2" t="s">
        <v>166</v>
      </c>
      <c r="AD51" s="4">
        <v>80</v>
      </c>
      <c r="AE51" s="4">
        <v>80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233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233</v>
      </c>
      <c r="AW51" s="8" t="s">
        <v>233</v>
      </c>
      <c r="AX51" s="4" t="s">
        <v>233</v>
      </c>
      <c r="AY51" s="8" t="s">
        <v>233</v>
      </c>
      <c r="AZ51" s="7" t="s">
        <v>233</v>
      </c>
      <c r="BA51" s="7" t="s">
        <v>233</v>
      </c>
      <c r="BB51" s="7"/>
      <c r="BC51" s="4" t="s">
        <v>233</v>
      </c>
      <c r="BD51" s="8" t="s">
        <v>233</v>
      </c>
      <c r="BE51" s="4" t="s">
        <v>233</v>
      </c>
      <c r="BF51" s="8" t="s">
        <v>233</v>
      </c>
      <c r="BG51" s="7" t="s">
        <v>233</v>
      </c>
      <c r="BH51" s="7" t="s">
        <v>233</v>
      </c>
      <c r="BI51" s="7"/>
      <c r="BJ51" s="4">
        <v>30</v>
      </c>
      <c r="BK51" s="8">
        <v>1114.34</v>
      </c>
      <c r="BL51" s="2" t="s">
        <v>463</v>
      </c>
      <c r="BM51" s="7"/>
      <c r="BN51" s="7"/>
      <c r="BO51" s="4"/>
      <c r="BP51" s="8"/>
      <c r="BQ51" s="4"/>
      <c r="BR51" s="8"/>
      <c r="BS51" s="7"/>
      <c r="BT51" s="7"/>
      <c r="BU51" s="2" t="s">
        <v>438</v>
      </c>
      <c r="BV51" s="2" t="s">
        <v>233</v>
      </c>
      <c r="BW51" s="2" t="s">
        <v>233</v>
      </c>
      <c r="BX51" s="2" t="s">
        <v>241</v>
      </c>
      <c r="BY51" s="2" t="s">
        <v>242</v>
      </c>
      <c r="BZ51" s="2" t="s">
        <v>230</v>
      </c>
      <c r="CA51" s="2" t="s">
        <v>439</v>
      </c>
      <c r="CB51" s="2" t="s">
        <v>464</v>
      </c>
      <c r="CC51" s="2" t="s">
        <v>245</v>
      </c>
      <c r="CD51" s="2" t="s">
        <v>233</v>
      </c>
      <c r="CE51" s="4">
        <v>112</v>
      </c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>
        <v>80</v>
      </c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>
        <v>117</v>
      </c>
      <c r="GD51" s="4">
        <v>109</v>
      </c>
      <c r="GE51" s="4">
        <v>102</v>
      </c>
      <c r="GF51" s="4">
        <v>94</v>
      </c>
      <c r="GG51" s="4">
        <v>78</v>
      </c>
      <c r="GH51" s="4">
        <v>63</v>
      </c>
      <c r="GI51" s="4">
        <v>50</v>
      </c>
      <c r="GJ51" s="4">
        <v>123</v>
      </c>
      <c r="GK51" s="4">
        <v>118</v>
      </c>
      <c r="GL51" s="4">
        <v>112</v>
      </c>
      <c r="GM51" s="4">
        <v>106</v>
      </c>
      <c r="GN51" s="4">
        <v>100</v>
      </c>
      <c r="GO51" s="4">
        <v>94</v>
      </c>
      <c r="GP51" s="4">
        <v>88</v>
      </c>
      <c r="GQ51" s="4">
        <v>82</v>
      </c>
      <c r="GR51" s="4">
        <v>76</v>
      </c>
      <c r="GS51" s="4">
        <v>70</v>
      </c>
      <c r="GT51" s="4">
        <v>64</v>
      </c>
      <c r="GU51" s="4">
        <v>57</v>
      </c>
      <c r="GV51" s="4">
        <v>50</v>
      </c>
      <c r="GW51" s="4">
        <v>43</v>
      </c>
      <c r="GX51" s="4">
        <v>36</v>
      </c>
      <c r="GY51" s="4">
        <v>29</v>
      </c>
      <c r="GZ51" s="4">
        <v>22</v>
      </c>
      <c r="HA51" s="4">
        <v>15</v>
      </c>
      <c r="HB51" s="4">
        <v>77</v>
      </c>
      <c r="HC51" s="19">
        <v>11.7</v>
      </c>
      <c r="HD51" s="19">
        <v>9.1</v>
      </c>
      <c r="HE51" s="19">
        <v>7.8</v>
      </c>
      <c r="HF51" s="19">
        <v>7.2</v>
      </c>
      <c r="HG51" s="19">
        <v>7.8</v>
      </c>
      <c r="HH51" s="19">
        <v>7.9</v>
      </c>
      <c r="HI51" s="19">
        <v>8.3</v>
      </c>
      <c r="HJ51" s="19">
        <v>20.5</v>
      </c>
      <c r="HK51" s="19">
        <v>19.7</v>
      </c>
      <c r="HL51" s="19">
        <v>18.7</v>
      </c>
      <c r="HM51" s="19">
        <v>17.7</v>
      </c>
      <c r="HN51" s="19">
        <v>16.7</v>
      </c>
      <c r="HO51" s="19">
        <v>15.7</v>
      </c>
      <c r="HP51" s="19">
        <v>14.7</v>
      </c>
      <c r="HQ51" s="19">
        <v>13.7</v>
      </c>
      <c r="HR51" s="19">
        <v>12.7</v>
      </c>
      <c r="HS51" s="19">
        <v>10</v>
      </c>
      <c r="HT51" s="19">
        <v>9.1</v>
      </c>
      <c r="HU51" s="19">
        <v>8.1</v>
      </c>
      <c r="HV51" s="19">
        <v>7.1</v>
      </c>
      <c r="HW51" s="19">
        <v>6.1</v>
      </c>
      <c r="HX51" s="19">
        <v>5.1</v>
      </c>
      <c r="HY51" s="19">
        <v>4.1</v>
      </c>
      <c r="HZ51" s="19">
        <v>3.1</v>
      </c>
      <c r="IA51" s="19">
        <v>2.1</v>
      </c>
      <c r="IB51" s="19">
        <v>11</v>
      </c>
    </row>
    <row r="52">
      <c r="A52" s="2" t="s">
        <v>465</v>
      </c>
      <c r="B52" s="2" t="s">
        <v>279</v>
      </c>
      <c r="C52" s="2" t="s">
        <v>280</v>
      </c>
      <c r="D52" s="2" t="s">
        <v>281</v>
      </c>
      <c r="E52" s="2" t="s">
        <v>282</v>
      </c>
      <c r="F52" s="2" t="s">
        <v>466</v>
      </c>
      <c r="G52" s="2" t="s">
        <v>466</v>
      </c>
      <c r="H52" s="2" t="s">
        <v>466</v>
      </c>
      <c r="I52" s="2" t="s">
        <v>467</v>
      </c>
      <c r="J52" s="2" t="s">
        <v>228</v>
      </c>
      <c r="K52" s="2" t="s">
        <v>229</v>
      </c>
      <c r="L52" s="3">
        <v>13.44</v>
      </c>
      <c r="M52" s="3">
        <v>14.11</v>
      </c>
      <c r="N52" s="3">
        <v>27.99</v>
      </c>
      <c r="O52" s="2" t="s">
        <v>230</v>
      </c>
      <c r="P52" s="2" t="s">
        <v>231</v>
      </c>
      <c r="Q52" s="2" t="s">
        <v>232</v>
      </c>
      <c r="R52" s="2" t="s">
        <v>233</v>
      </c>
      <c r="S52" s="2" t="s">
        <v>468</v>
      </c>
      <c r="T52" s="2" t="s">
        <v>469</v>
      </c>
      <c r="U52" s="2" t="s">
        <v>233</v>
      </c>
      <c r="V52" s="2" t="s">
        <v>236</v>
      </c>
      <c r="W52" s="2" t="s">
        <v>237</v>
      </c>
      <c r="X52" s="2" t="s">
        <v>233</v>
      </c>
      <c r="Y52" s="2" t="s">
        <v>238</v>
      </c>
      <c r="Z52" s="4">
        <v>53</v>
      </c>
      <c r="AA52" s="4">
        <f>=ROUNDDOWN(8.83333333333333,0)</f>
      </c>
      <c r="AB52" s="5">
        <v>6</v>
      </c>
      <c r="AC52" s="2" t="s">
        <v>139</v>
      </c>
      <c r="AD52" s="4">
        <v>30</v>
      </c>
      <c r="AE52" s="4">
        <v>170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233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233</v>
      </c>
      <c r="AW52" s="8" t="s">
        <v>233</v>
      </c>
      <c r="AX52" s="4" t="s">
        <v>233</v>
      </c>
      <c r="AY52" s="8" t="s">
        <v>233</v>
      </c>
      <c r="AZ52" s="7" t="s">
        <v>233</v>
      </c>
      <c r="BA52" s="7" t="s">
        <v>233</v>
      </c>
      <c r="BB52" s="7"/>
      <c r="BC52" s="4" t="s">
        <v>233</v>
      </c>
      <c r="BD52" s="8" t="s">
        <v>233</v>
      </c>
      <c r="BE52" s="4" t="s">
        <v>233</v>
      </c>
      <c r="BF52" s="8" t="s">
        <v>233</v>
      </c>
      <c r="BG52" s="7" t="s">
        <v>233</v>
      </c>
      <c r="BH52" s="7" t="s">
        <v>233</v>
      </c>
      <c r="BI52" s="7"/>
      <c r="BJ52" s="4">
        <v>12</v>
      </c>
      <c r="BK52" s="8">
        <v>171.86</v>
      </c>
      <c r="BL52" s="2" t="s">
        <v>470</v>
      </c>
      <c r="BM52" s="7"/>
      <c r="BN52" s="7"/>
      <c r="BO52" s="4"/>
      <c r="BP52" s="8"/>
      <c r="BQ52" s="4"/>
      <c r="BR52" s="8"/>
      <c r="BS52" s="7"/>
      <c r="BT52" s="7"/>
      <c r="BU52" s="2" t="s">
        <v>471</v>
      </c>
      <c r="BV52" s="2" t="s">
        <v>233</v>
      </c>
      <c r="BW52" s="2" t="s">
        <v>233</v>
      </c>
      <c r="BX52" s="2" t="s">
        <v>241</v>
      </c>
      <c r="BY52" s="2" t="s">
        <v>242</v>
      </c>
      <c r="BZ52" s="2" t="s">
        <v>230</v>
      </c>
      <c r="CA52" s="2" t="s">
        <v>243</v>
      </c>
      <c r="CB52" s="2" t="s">
        <v>472</v>
      </c>
      <c r="CC52" s="2" t="s">
        <v>245</v>
      </c>
      <c r="CD52" s="2" t="s">
        <v>233</v>
      </c>
      <c r="CE52" s="4">
        <v>53</v>
      </c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>
        <v>30</v>
      </c>
      <c r="DB52" s="4"/>
      <c r="DC52" s="4"/>
      <c r="DD52" s="4"/>
      <c r="DE52" s="4"/>
      <c r="DF52" s="4"/>
      <c r="DG52" s="4"/>
      <c r="DH52" s="4"/>
      <c r="DI52" s="4">
        <v>30</v>
      </c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>
        <v>60</v>
      </c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>
        <v>50</v>
      </c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>
        <v>58</v>
      </c>
      <c r="GD52" s="4">
        <v>49</v>
      </c>
      <c r="GE52" s="4">
        <v>72</v>
      </c>
      <c r="GF52" s="4">
        <v>64</v>
      </c>
      <c r="GG52" s="4">
        <v>77</v>
      </c>
      <c r="GH52" s="4">
        <v>59</v>
      </c>
      <c r="GI52" s="4">
        <v>104</v>
      </c>
      <c r="GJ52" s="4">
        <v>96</v>
      </c>
      <c r="GK52" s="4">
        <v>90</v>
      </c>
      <c r="GL52" s="4">
        <v>80</v>
      </c>
      <c r="GM52" s="4">
        <v>74</v>
      </c>
      <c r="GN52" s="4">
        <v>68</v>
      </c>
      <c r="GO52" s="4">
        <v>112</v>
      </c>
      <c r="GP52" s="4">
        <v>106</v>
      </c>
      <c r="GQ52" s="4">
        <v>100</v>
      </c>
      <c r="GR52" s="4">
        <v>95</v>
      </c>
      <c r="GS52" s="4">
        <v>90</v>
      </c>
      <c r="GT52" s="4">
        <v>85</v>
      </c>
      <c r="GU52" s="4">
        <v>80</v>
      </c>
      <c r="GV52" s="4">
        <v>73</v>
      </c>
      <c r="GW52" s="4">
        <v>66</v>
      </c>
      <c r="GX52" s="4">
        <v>59</v>
      </c>
      <c r="GY52" s="4">
        <v>52</v>
      </c>
      <c r="GZ52" s="4">
        <v>41</v>
      </c>
      <c r="HA52" s="4">
        <v>30</v>
      </c>
      <c r="HB52" s="4">
        <v>85</v>
      </c>
      <c r="HC52" s="19">
        <v>5.8</v>
      </c>
      <c r="HD52" s="19">
        <v>4.1</v>
      </c>
      <c r="HE52" s="19">
        <v>5.1</v>
      </c>
      <c r="HF52" s="19">
        <v>4.6</v>
      </c>
      <c r="HG52" s="19">
        <v>6.4</v>
      </c>
      <c r="HH52" s="19">
        <v>5.9</v>
      </c>
      <c r="HI52" s="19">
        <v>13</v>
      </c>
      <c r="HJ52" s="19">
        <v>13.7</v>
      </c>
      <c r="HK52" s="19">
        <v>12.9</v>
      </c>
      <c r="HL52" s="19">
        <v>13.3</v>
      </c>
      <c r="HM52" s="19">
        <v>12.3</v>
      </c>
      <c r="HN52" s="19">
        <v>11.3</v>
      </c>
      <c r="HO52" s="19">
        <v>18.7</v>
      </c>
      <c r="HP52" s="19">
        <v>21.2</v>
      </c>
      <c r="HQ52" s="19">
        <v>20</v>
      </c>
      <c r="HR52" s="19">
        <v>15.8</v>
      </c>
      <c r="HS52" s="19">
        <v>15</v>
      </c>
      <c r="HT52" s="19">
        <v>14.2</v>
      </c>
      <c r="HU52" s="19">
        <v>11.4</v>
      </c>
      <c r="HV52" s="19">
        <v>9.1</v>
      </c>
      <c r="HW52" s="19">
        <v>7.3</v>
      </c>
      <c r="HX52" s="19">
        <v>5.9</v>
      </c>
      <c r="HY52" s="19">
        <v>4.7</v>
      </c>
      <c r="HZ52" s="19">
        <v>3.7</v>
      </c>
      <c r="IA52" s="19">
        <v>3</v>
      </c>
      <c r="IB52" s="19">
        <v>9.4</v>
      </c>
    </row>
    <row r="53">
      <c r="A53" s="2" t="s">
        <v>473</v>
      </c>
      <c r="B53" s="2" t="s">
        <v>279</v>
      </c>
      <c r="C53" s="2" t="s">
        <v>280</v>
      </c>
      <c r="D53" s="2" t="s">
        <v>281</v>
      </c>
      <c r="E53" s="2" t="s">
        <v>282</v>
      </c>
      <c r="F53" s="2" t="s">
        <v>466</v>
      </c>
      <c r="G53" s="2" t="s">
        <v>466</v>
      </c>
      <c r="H53" s="2" t="s">
        <v>466</v>
      </c>
      <c r="I53" s="2" t="s">
        <v>467</v>
      </c>
      <c r="J53" s="2" t="s">
        <v>247</v>
      </c>
      <c r="K53" s="2" t="s">
        <v>229</v>
      </c>
      <c r="L53" s="3">
        <v>15.19</v>
      </c>
      <c r="M53" s="3">
        <v>15.95</v>
      </c>
      <c r="N53" s="3">
        <v>30.99</v>
      </c>
      <c r="O53" s="2" t="s">
        <v>230</v>
      </c>
      <c r="P53" s="2" t="s">
        <v>231</v>
      </c>
      <c r="Q53" s="2" t="s">
        <v>232</v>
      </c>
      <c r="R53" s="2" t="s">
        <v>233</v>
      </c>
      <c r="S53" s="2" t="s">
        <v>468</v>
      </c>
      <c r="T53" s="2" t="s">
        <v>469</v>
      </c>
      <c r="U53" s="2" t="s">
        <v>233</v>
      </c>
      <c r="V53" s="2" t="s">
        <v>236</v>
      </c>
      <c r="W53" s="2" t="s">
        <v>237</v>
      </c>
      <c r="X53" s="2" t="s">
        <v>233</v>
      </c>
      <c r="Y53" s="2" t="s">
        <v>238</v>
      </c>
      <c r="Z53" s="4">
        <v>189</v>
      </c>
      <c r="AA53" s="4">
        <f>=ROUNDDOWN(37.8,0)</f>
      </c>
      <c r="AB53" s="5">
        <v>5</v>
      </c>
      <c r="AC53" s="2" t="s">
        <v>474</v>
      </c>
      <c r="AD53" s="4">
        <v>20</v>
      </c>
      <c r="AE53" s="4">
        <v>20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233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233</v>
      </c>
      <c r="AW53" s="8" t="s">
        <v>233</v>
      </c>
      <c r="AX53" s="4" t="s">
        <v>233</v>
      </c>
      <c r="AY53" s="8" t="s">
        <v>233</v>
      </c>
      <c r="AZ53" s="7" t="s">
        <v>233</v>
      </c>
      <c r="BA53" s="7" t="s">
        <v>233</v>
      </c>
      <c r="BB53" s="7"/>
      <c r="BC53" s="4" t="s">
        <v>233</v>
      </c>
      <c r="BD53" s="8" t="s">
        <v>233</v>
      </c>
      <c r="BE53" s="4" t="s">
        <v>233</v>
      </c>
      <c r="BF53" s="8" t="s">
        <v>233</v>
      </c>
      <c r="BG53" s="7" t="s">
        <v>233</v>
      </c>
      <c r="BH53" s="7" t="s">
        <v>233</v>
      </c>
      <c r="BI53" s="7"/>
      <c r="BJ53" s="4">
        <v>25</v>
      </c>
      <c r="BK53" s="8">
        <v>422.43</v>
      </c>
      <c r="BL53" s="2" t="s">
        <v>475</v>
      </c>
      <c r="BM53" s="7"/>
      <c r="BN53" s="7"/>
      <c r="BO53" s="4"/>
      <c r="BP53" s="8"/>
      <c r="BQ53" s="4"/>
      <c r="BR53" s="8"/>
      <c r="BS53" s="7"/>
      <c r="BT53" s="7"/>
      <c r="BU53" s="2" t="s">
        <v>471</v>
      </c>
      <c r="BV53" s="2" t="s">
        <v>233</v>
      </c>
      <c r="BW53" s="2" t="s">
        <v>233</v>
      </c>
      <c r="BX53" s="2" t="s">
        <v>241</v>
      </c>
      <c r="BY53" s="2" t="s">
        <v>242</v>
      </c>
      <c r="BZ53" s="2" t="s">
        <v>230</v>
      </c>
      <c r="CA53" s="2" t="s">
        <v>243</v>
      </c>
      <c r="CB53" s="2" t="s">
        <v>476</v>
      </c>
      <c r="CC53" s="2" t="s">
        <v>245</v>
      </c>
      <c r="CD53" s="2" t="s">
        <v>233</v>
      </c>
      <c r="CE53" s="4">
        <v>189</v>
      </c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>
        <v>20</v>
      </c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>
        <v>197</v>
      </c>
      <c r="GD53" s="4">
        <v>186</v>
      </c>
      <c r="GE53" s="4">
        <v>179</v>
      </c>
      <c r="GF53" s="4">
        <v>171</v>
      </c>
      <c r="GG53" s="4">
        <v>155</v>
      </c>
      <c r="GH53" s="4">
        <v>135</v>
      </c>
      <c r="GI53" s="4">
        <v>119</v>
      </c>
      <c r="GJ53" s="4">
        <v>110</v>
      </c>
      <c r="GK53" s="4">
        <v>103</v>
      </c>
      <c r="GL53" s="4">
        <v>92</v>
      </c>
      <c r="GM53" s="4">
        <v>87</v>
      </c>
      <c r="GN53" s="4">
        <v>82</v>
      </c>
      <c r="GO53" s="4">
        <v>97</v>
      </c>
      <c r="GP53" s="4">
        <v>92</v>
      </c>
      <c r="GQ53" s="4">
        <v>87</v>
      </c>
      <c r="GR53" s="4">
        <v>83</v>
      </c>
      <c r="GS53" s="4">
        <v>79</v>
      </c>
      <c r="GT53" s="4">
        <v>75</v>
      </c>
      <c r="GU53" s="4">
        <v>71</v>
      </c>
      <c r="GV53" s="4">
        <v>66</v>
      </c>
      <c r="GW53" s="4">
        <v>61</v>
      </c>
      <c r="GX53" s="4">
        <v>56</v>
      </c>
      <c r="GY53" s="4">
        <v>51</v>
      </c>
      <c r="GZ53" s="4">
        <v>45</v>
      </c>
      <c r="HA53" s="4">
        <v>39</v>
      </c>
      <c r="HB53" s="4">
        <v>153</v>
      </c>
      <c r="HC53" s="19">
        <v>19.7</v>
      </c>
      <c r="HD53" s="19">
        <v>14.3</v>
      </c>
      <c r="HE53" s="19">
        <v>11.9</v>
      </c>
      <c r="HF53" s="19">
        <v>11.4</v>
      </c>
      <c r="HG53" s="19">
        <v>11.9</v>
      </c>
      <c r="HH53" s="19">
        <v>12.3</v>
      </c>
      <c r="HI53" s="19">
        <v>14.9</v>
      </c>
      <c r="HJ53" s="19">
        <v>15.7</v>
      </c>
      <c r="HK53" s="19">
        <v>17.2</v>
      </c>
      <c r="HL53" s="19">
        <v>18.4</v>
      </c>
      <c r="HM53" s="19">
        <v>17.4</v>
      </c>
      <c r="HN53" s="19">
        <v>16.4</v>
      </c>
      <c r="HO53" s="19">
        <v>24.3</v>
      </c>
      <c r="HP53" s="19">
        <v>23</v>
      </c>
      <c r="HQ53" s="19">
        <v>21.8</v>
      </c>
      <c r="HR53" s="19">
        <v>20.8</v>
      </c>
      <c r="HS53" s="19">
        <v>19.8</v>
      </c>
      <c r="HT53" s="19">
        <v>15</v>
      </c>
      <c r="HU53" s="19">
        <v>14.2</v>
      </c>
      <c r="HV53" s="19">
        <v>13.2</v>
      </c>
      <c r="HW53" s="19">
        <v>10.2</v>
      </c>
      <c r="HX53" s="19">
        <v>9.3</v>
      </c>
      <c r="HY53" s="19">
        <v>8.5</v>
      </c>
      <c r="HZ53" s="19">
        <v>7.5</v>
      </c>
      <c r="IA53" s="19">
        <v>5.6</v>
      </c>
      <c r="IB53" s="19">
        <v>19.1</v>
      </c>
    </row>
    <row r="54">
      <c r="A54" s="2" t="s">
        <v>477</v>
      </c>
      <c r="B54" s="2" t="s">
        <v>279</v>
      </c>
      <c r="C54" s="2" t="s">
        <v>280</v>
      </c>
      <c r="D54" s="2" t="s">
        <v>281</v>
      </c>
      <c r="E54" s="2" t="s">
        <v>282</v>
      </c>
      <c r="F54" s="2" t="s">
        <v>466</v>
      </c>
      <c r="G54" s="2" t="s">
        <v>466</v>
      </c>
      <c r="H54" s="2" t="s">
        <v>466</v>
      </c>
      <c r="I54" s="2" t="s">
        <v>467</v>
      </c>
      <c r="J54" s="2" t="s">
        <v>252</v>
      </c>
      <c r="K54" s="2" t="s">
        <v>229</v>
      </c>
      <c r="L54" s="3">
        <v>16.5</v>
      </c>
      <c r="M54" s="3">
        <v>17.32</v>
      </c>
      <c r="N54" s="3">
        <v>32.99</v>
      </c>
      <c r="O54" s="2" t="s">
        <v>230</v>
      </c>
      <c r="P54" s="2" t="s">
        <v>231</v>
      </c>
      <c r="Q54" s="2" t="s">
        <v>232</v>
      </c>
      <c r="R54" s="2" t="s">
        <v>233</v>
      </c>
      <c r="S54" s="2" t="s">
        <v>468</v>
      </c>
      <c r="T54" s="2" t="s">
        <v>469</v>
      </c>
      <c r="U54" s="2" t="s">
        <v>233</v>
      </c>
      <c r="V54" s="2" t="s">
        <v>236</v>
      </c>
      <c r="W54" s="2" t="s">
        <v>237</v>
      </c>
      <c r="X54" s="2" t="s">
        <v>233</v>
      </c>
      <c r="Y54" s="2" t="s">
        <v>238</v>
      </c>
      <c r="Z54" s="4">
        <v>233</v>
      </c>
      <c r="AA54" s="4">
        <f>=ROUNDDOWN(33.2857142857143,0)</f>
      </c>
      <c r="AB54" s="5">
        <v>7</v>
      </c>
      <c r="AC54" s="2" t="s">
        <v>147</v>
      </c>
      <c r="AD54" s="4">
        <v>20</v>
      </c>
      <c r="AE54" s="4">
        <v>180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233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233</v>
      </c>
      <c r="AW54" s="8" t="s">
        <v>233</v>
      </c>
      <c r="AX54" s="4" t="s">
        <v>233</v>
      </c>
      <c r="AY54" s="8" t="s">
        <v>233</v>
      </c>
      <c r="AZ54" s="7" t="s">
        <v>233</v>
      </c>
      <c r="BA54" s="7" t="s">
        <v>233</v>
      </c>
      <c r="BB54" s="7"/>
      <c r="BC54" s="4" t="s">
        <v>233</v>
      </c>
      <c r="BD54" s="8" t="s">
        <v>233</v>
      </c>
      <c r="BE54" s="4" t="s">
        <v>233</v>
      </c>
      <c r="BF54" s="8" t="s">
        <v>233</v>
      </c>
      <c r="BG54" s="7" t="s">
        <v>233</v>
      </c>
      <c r="BH54" s="7" t="s">
        <v>233</v>
      </c>
      <c r="BI54" s="7"/>
      <c r="BJ54" s="4">
        <v>23</v>
      </c>
      <c r="BK54" s="8">
        <v>384.97</v>
      </c>
      <c r="BL54" s="2" t="s">
        <v>478</v>
      </c>
      <c r="BM54" s="7"/>
      <c r="BN54" s="7"/>
      <c r="BO54" s="4"/>
      <c r="BP54" s="8"/>
      <c r="BQ54" s="4"/>
      <c r="BR54" s="8"/>
      <c r="BS54" s="7"/>
      <c r="BT54" s="7"/>
      <c r="BU54" s="2" t="s">
        <v>471</v>
      </c>
      <c r="BV54" s="2" t="s">
        <v>233</v>
      </c>
      <c r="BW54" s="2" t="s">
        <v>233</v>
      </c>
      <c r="BX54" s="2" t="s">
        <v>241</v>
      </c>
      <c r="BY54" s="2" t="s">
        <v>242</v>
      </c>
      <c r="BZ54" s="2" t="s">
        <v>230</v>
      </c>
      <c r="CA54" s="2" t="s">
        <v>243</v>
      </c>
      <c r="CB54" s="2" t="s">
        <v>479</v>
      </c>
      <c r="CC54" s="2" t="s">
        <v>245</v>
      </c>
      <c r="CD54" s="2" t="s">
        <v>233</v>
      </c>
      <c r="CE54" s="4">
        <v>233</v>
      </c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>
        <v>20</v>
      </c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>
        <v>100</v>
      </c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>
        <v>60</v>
      </c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>
        <v>236</v>
      </c>
      <c r="GD54" s="4">
        <v>216</v>
      </c>
      <c r="GE54" s="4">
        <v>207</v>
      </c>
      <c r="GF54" s="4">
        <v>198</v>
      </c>
      <c r="GG54" s="4">
        <v>200</v>
      </c>
      <c r="GH54" s="4">
        <v>182</v>
      </c>
      <c r="GI54" s="4">
        <v>267</v>
      </c>
      <c r="GJ54" s="4">
        <v>258</v>
      </c>
      <c r="GK54" s="4">
        <v>251</v>
      </c>
      <c r="GL54" s="4">
        <v>240</v>
      </c>
      <c r="GM54" s="4">
        <v>233</v>
      </c>
      <c r="GN54" s="4">
        <v>226</v>
      </c>
      <c r="GO54" s="4">
        <v>279</v>
      </c>
      <c r="GP54" s="4">
        <v>272</v>
      </c>
      <c r="GQ54" s="4">
        <v>265</v>
      </c>
      <c r="GR54" s="4">
        <v>257</v>
      </c>
      <c r="GS54" s="4">
        <v>249</v>
      </c>
      <c r="GT54" s="4">
        <v>241</v>
      </c>
      <c r="GU54" s="4">
        <v>233</v>
      </c>
      <c r="GV54" s="4">
        <v>226</v>
      </c>
      <c r="GW54" s="4">
        <v>219</v>
      </c>
      <c r="GX54" s="4">
        <v>212</v>
      </c>
      <c r="GY54" s="4">
        <v>205</v>
      </c>
      <c r="GZ54" s="4">
        <v>197</v>
      </c>
      <c r="HA54" s="4">
        <v>189</v>
      </c>
      <c r="HB54" s="4">
        <v>181</v>
      </c>
      <c r="HC54" s="19">
        <v>16.9</v>
      </c>
      <c r="HD54" s="19">
        <v>15.4</v>
      </c>
      <c r="HE54" s="19">
        <v>13.8</v>
      </c>
      <c r="HF54" s="19">
        <v>13.2</v>
      </c>
      <c r="HG54" s="19">
        <v>16.7</v>
      </c>
      <c r="HH54" s="19">
        <v>18.2</v>
      </c>
      <c r="HI54" s="19">
        <v>33.4</v>
      </c>
      <c r="HJ54" s="19">
        <v>32.3</v>
      </c>
      <c r="HK54" s="19">
        <v>31.4</v>
      </c>
      <c r="HL54" s="19">
        <v>34.3</v>
      </c>
      <c r="HM54" s="19">
        <v>33.3</v>
      </c>
      <c r="HN54" s="19">
        <v>32.3</v>
      </c>
      <c r="HO54" s="19">
        <v>34.9</v>
      </c>
      <c r="HP54" s="9"/>
      <c r="HQ54" s="19">
        <v>33.1</v>
      </c>
      <c r="HR54" s="19">
        <v>32.1</v>
      </c>
      <c r="HS54" s="19">
        <v>31.1</v>
      </c>
      <c r="HT54" s="19">
        <v>34.4</v>
      </c>
      <c r="HU54" s="19">
        <v>33.3</v>
      </c>
      <c r="HV54" s="19">
        <v>32.3</v>
      </c>
      <c r="HW54" s="19">
        <v>27.4</v>
      </c>
      <c r="HX54" s="19">
        <v>26.5</v>
      </c>
      <c r="HY54" s="19">
        <v>25.6</v>
      </c>
      <c r="HZ54" s="19">
        <v>24.6</v>
      </c>
      <c r="IA54" s="19">
        <v>23.6</v>
      </c>
      <c r="IB54" s="19">
        <v>22.6</v>
      </c>
    </row>
    <row r="55">
      <c r="A55" s="2" t="s">
        <v>480</v>
      </c>
      <c r="B55" s="2" t="s">
        <v>279</v>
      </c>
      <c r="C55" s="2" t="s">
        <v>280</v>
      </c>
      <c r="D55" s="2" t="s">
        <v>281</v>
      </c>
      <c r="E55" s="2" t="s">
        <v>282</v>
      </c>
      <c r="F55" s="2" t="s">
        <v>466</v>
      </c>
      <c r="G55" s="2" t="s">
        <v>466</v>
      </c>
      <c r="H55" s="2" t="s">
        <v>466</v>
      </c>
      <c r="I55" s="2" t="s">
        <v>467</v>
      </c>
      <c r="J55" s="2" t="s">
        <v>256</v>
      </c>
      <c r="K55" s="2" t="s">
        <v>229</v>
      </c>
      <c r="L55" s="3">
        <v>21.5</v>
      </c>
      <c r="M55" s="3">
        <v>22.58</v>
      </c>
      <c r="N55" s="3">
        <v>42.99</v>
      </c>
      <c r="O55" s="2" t="s">
        <v>230</v>
      </c>
      <c r="P55" s="2" t="s">
        <v>231</v>
      </c>
      <c r="Q55" s="2" t="s">
        <v>232</v>
      </c>
      <c r="R55" s="2" t="s">
        <v>233</v>
      </c>
      <c r="S55" s="2" t="s">
        <v>468</v>
      </c>
      <c r="T55" s="2" t="s">
        <v>469</v>
      </c>
      <c r="U55" s="2" t="s">
        <v>233</v>
      </c>
      <c r="V55" s="2" t="s">
        <v>236</v>
      </c>
      <c r="W55" s="2" t="s">
        <v>237</v>
      </c>
      <c r="X55" s="2" t="s">
        <v>233</v>
      </c>
      <c r="Y55" s="2" t="s">
        <v>238</v>
      </c>
      <c r="Z55" s="4">
        <v>64</v>
      </c>
      <c r="AA55" s="4">
        <f>=ROUNDDOWN(4.47552447552447,0)</f>
      </c>
      <c r="AB55" s="5">
        <v>14.3</v>
      </c>
      <c r="AC55" s="2" t="s">
        <v>139</v>
      </c>
      <c r="AD55" s="4">
        <v>190</v>
      </c>
      <c r="AE55" s="4">
        <v>520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233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233</v>
      </c>
      <c r="AW55" s="8" t="s">
        <v>233</v>
      </c>
      <c r="AX55" s="4" t="s">
        <v>233</v>
      </c>
      <c r="AY55" s="8" t="s">
        <v>233</v>
      </c>
      <c r="AZ55" s="7" t="s">
        <v>233</v>
      </c>
      <c r="BA55" s="7" t="s">
        <v>233</v>
      </c>
      <c r="BB55" s="7"/>
      <c r="BC55" s="4" t="s">
        <v>233</v>
      </c>
      <c r="BD55" s="8" t="s">
        <v>233</v>
      </c>
      <c r="BE55" s="4" t="s">
        <v>233</v>
      </c>
      <c r="BF55" s="8" t="s">
        <v>233</v>
      </c>
      <c r="BG55" s="7" t="s">
        <v>233</v>
      </c>
      <c r="BH55" s="7" t="s">
        <v>233</v>
      </c>
      <c r="BI55" s="7"/>
      <c r="BJ55" s="4">
        <v>37</v>
      </c>
      <c r="BK55" s="8">
        <v>808.39</v>
      </c>
      <c r="BL55" s="2" t="s">
        <v>481</v>
      </c>
      <c r="BM55" s="7"/>
      <c r="BN55" s="7"/>
      <c r="BO55" s="4"/>
      <c r="BP55" s="8"/>
      <c r="BQ55" s="4"/>
      <c r="BR55" s="8"/>
      <c r="BS55" s="7"/>
      <c r="BT55" s="7"/>
      <c r="BU55" s="2" t="s">
        <v>471</v>
      </c>
      <c r="BV55" s="2" t="s">
        <v>233</v>
      </c>
      <c r="BW55" s="2" t="s">
        <v>233</v>
      </c>
      <c r="BX55" s="2" t="s">
        <v>241</v>
      </c>
      <c r="BY55" s="2" t="s">
        <v>242</v>
      </c>
      <c r="BZ55" s="2" t="s">
        <v>230</v>
      </c>
      <c r="CA55" s="2" t="s">
        <v>243</v>
      </c>
      <c r="CB55" s="2" t="s">
        <v>482</v>
      </c>
      <c r="CC55" s="2" t="s">
        <v>245</v>
      </c>
      <c r="CD55" s="2" t="s">
        <v>233</v>
      </c>
      <c r="CE55" s="4">
        <v>64</v>
      </c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>
        <v>190</v>
      </c>
      <c r="DB55" s="4"/>
      <c r="DC55" s="4"/>
      <c r="DD55" s="4"/>
      <c r="DE55" s="4"/>
      <c r="DF55" s="4"/>
      <c r="DG55" s="4"/>
      <c r="DH55" s="4"/>
      <c r="DI55" s="4">
        <v>70</v>
      </c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>
        <v>160</v>
      </c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>
        <v>100</v>
      </c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>
        <v>85</v>
      </c>
      <c r="GD55" s="4">
        <v>64</v>
      </c>
      <c r="GE55" s="4">
        <v>240</v>
      </c>
      <c r="GF55" s="4">
        <v>225</v>
      </c>
      <c r="GG55" s="4">
        <v>263</v>
      </c>
      <c r="GH55" s="4">
        <v>229</v>
      </c>
      <c r="GI55" s="4">
        <v>361</v>
      </c>
      <c r="GJ55" s="4">
        <v>346</v>
      </c>
      <c r="GK55" s="4">
        <v>335</v>
      </c>
      <c r="GL55" s="4">
        <v>317</v>
      </c>
      <c r="GM55" s="4">
        <v>303</v>
      </c>
      <c r="GN55" s="4">
        <v>289</v>
      </c>
      <c r="GO55" s="4">
        <v>375</v>
      </c>
      <c r="GP55" s="4">
        <v>361</v>
      </c>
      <c r="GQ55" s="4">
        <v>347</v>
      </c>
      <c r="GR55" s="4">
        <v>333</v>
      </c>
      <c r="GS55" s="4">
        <v>319</v>
      </c>
      <c r="GT55" s="4">
        <v>305</v>
      </c>
      <c r="GU55" s="4">
        <v>291</v>
      </c>
      <c r="GV55" s="4">
        <v>276</v>
      </c>
      <c r="GW55" s="4">
        <v>261</v>
      </c>
      <c r="GX55" s="4">
        <v>246</v>
      </c>
      <c r="GY55" s="4">
        <v>231</v>
      </c>
      <c r="GZ55" s="4">
        <v>218</v>
      </c>
      <c r="HA55" s="4">
        <v>205</v>
      </c>
      <c r="HB55" s="4">
        <v>192</v>
      </c>
      <c r="HC55" s="19">
        <v>4.3</v>
      </c>
      <c r="HD55" s="19">
        <v>2.7</v>
      </c>
      <c r="HE55" s="19">
        <v>8.9</v>
      </c>
      <c r="HF55" s="19">
        <v>8.3</v>
      </c>
      <c r="HG55" s="19">
        <v>12</v>
      </c>
      <c r="HH55" s="19">
        <v>12.7</v>
      </c>
      <c r="HI55" s="19">
        <v>25.8</v>
      </c>
      <c r="HJ55" s="19">
        <v>24.7</v>
      </c>
      <c r="HK55" s="19">
        <v>22.3</v>
      </c>
      <c r="HL55" s="19">
        <v>22.6</v>
      </c>
      <c r="HM55" s="19">
        <v>21.6</v>
      </c>
      <c r="HN55" s="19">
        <v>20.6</v>
      </c>
      <c r="HO55" s="19">
        <v>26.8</v>
      </c>
      <c r="HP55" s="19">
        <v>25.8</v>
      </c>
      <c r="HQ55" s="19">
        <v>24.8</v>
      </c>
      <c r="HR55" s="19">
        <v>23.8</v>
      </c>
      <c r="HS55" s="19">
        <v>22.8</v>
      </c>
      <c r="HT55" s="19">
        <v>20.3</v>
      </c>
      <c r="HU55" s="19">
        <v>19.4</v>
      </c>
      <c r="HV55" s="19">
        <v>19.7</v>
      </c>
      <c r="HW55" s="19">
        <v>18.6</v>
      </c>
      <c r="HX55" s="19">
        <v>17.6</v>
      </c>
      <c r="HY55" s="19">
        <v>17.8</v>
      </c>
      <c r="HZ55" s="19">
        <v>16.8</v>
      </c>
      <c r="IA55" s="19">
        <v>15.8</v>
      </c>
      <c r="IB55" s="19">
        <v>14.8</v>
      </c>
    </row>
    <row r="56">
      <c r="A56" s="2" t="s">
        <v>483</v>
      </c>
      <c r="B56" s="2" t="s">
        <v>279</v>
      </c>
      <c r="C56" s="2" t="s">
        <v>280</v>
      </c>
      <c r="D56" s="2" t="s">
        <v>281</v>
      </c>
      <c r="E56" s="2" t="s">
        <v>282</v>
      </c>
      <c r="F56" s="2" t="s">
        <v>466</v>
      </c>
      <c r="G56" s="2" t="s">
        <v>466</v>
      </c>
      <c r="H56" s="2" t="s">
        <v>466</v>
      </c>
      <c r="I56" s="2" t="s">
        <v>467</v>
      </c>
      <c r="J56" s="2" t="s">
        <v>228</v>
      </c>
      <c r="K56" s="2" t="s">
        <v>484</v>
      </c>
      <c r="L56" s="3">
        <v>13.44</v>
      </c>
      <c r="M56" s="3">
        <v>14.11</v>
      </c>
      <c r="N56" s="3">
        <v>27.99</v>
      </c>
      <c r="O56" s="2" t="s">
        <v>230</v>
      </c>
      <c r="P56" s="2" t="s">
        <v>231</v>
      </c>
      <c r="Q56" s="2" t="s">
        <v>232</v>
      </c>
      <c r="R56" s="2" t="s">
        <v>233</v>
      </c>
      <c r="S56" s="2" t="s">
        <v>485</v>
      </c>
      <c r="T56" s="2" t="s">
        <v>469</v>
      </c>
      <c r="U56" s="2" t="s">
        <v>233</v>
      </c>
      <c r="V56" s="2" t="s">
        <v>236</v>
      </c>
      <c r="W56" s="2" t="s">
        <v>237</v>
      </c>
      <c r="X56" s="2" t="s">
        <v>233</v>
      </c>
      <c r="Y56" s="2" t="s">
        <v>258</v>
      </c>
      <c r="Z56" s="4">
        <v>154</v>
      </c>
      <c r="AA56" s="4">
        <f>=ROUNDDOWN(51.3333333333333,0)</f>
      </c>
      <c r="AB56" s="5">
        <v>3</v>
      </c>
      <c r="AC56" s="2" t="s">
        <v>233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233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233</v>
      </c>
      <c r="AW56" s="8" t="s">
        <v>233</v>
      </c>
      <c r="AX56" s="4" t="s">
        <v>233</v>
      </c>
      <c r="AY56" s="8" t="s">
        <v>233</v>
      </c>
      <c r="AZ56" s="7" t="s">
        <v>233</v>
      </c>
      <c r="BA56" s="7" t="s">
        <v>233</v>
      </c>
      <c r="BB56" s="7"/>
      <c r="BC56" s="4" t="s">
        <v>233</v>
      </c>
      <c r="BD56" s="8" t="s">
        <v>233</v>
      </c>
      <c r="BE56" s="4" t="s">
        <v>233</v>
      </c>
      <c r="BF56" s="8" t="s">
        <v>233</v>
      </c>
      <c r="BG56" s="7" t="s">
        <v>233</v>
      </c>
      <c r="BH56" s="7" t="s">
        <v>233</v>
      </c>
      <c r="BI56" s="7"/>
      <c r="BJ56" s="4">
        <v>5</v>
      </c>
      <c r="BK56" s="8">
        <v>69.55</v>
      </c>
      <c r="BL56" s="2" t="s">
        <v>486</v>
      </c>
      <c r="BM56" s="7"/>
      <c r="BN56" s="7"/>
      <c r="BO56" s="4"/>
      <c r="BP56" s="8"/>
      <c r="BQ56" s="4"/>
      <c r="BR56" s="8"/>
      <c r="BS56" s="7"/>
      <c r="BT56" s="7"/>
      <c r="BU56" s="2" t="s">
        <v>471</v>
      </c>
      <c r="BV56" s="2" t="s">
        <v>233</v>
      </c>
      <c r="BW56" s="2" t="s">
        <v>233</v>
      </c>
      <c r="BX56" s="2" t="s">
        <v>241</v>
      </c>
      <c r="BY56" s="2" t="s">
        <v>242</v>
      </c>
      <c r="BZ56" s="2" t="s">
        <v>230</v>
      </c>
      <c r="CA56" s="2" t="s">
        <v>487</v>
      </c>
      <c r="CB56" s="2" t="s">
        <v>488</v>
      </c>
      <c r="CC56" s="2" t="s">
        <v>245</v>
      </c>
      <c r="CD56" s="2" t="s">
        <v>233</v>
      </c>
      <c r="CE56" s="4">
        <v>154</v>
      </c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>
        <v>159</v>
      </c>
      <c r="GD56" s="4">
        <v>139</v>
      </c>
      <c r="GE56" s="4">
        <v>135</v>
      </c>
      <c r="GF56" s="4">
        <v>131</v>
      </c>
      <c r="GG56" s="4">
        <v>124</v>
      </c>
      <c r="GH56" s="4">
        <v>117</v>
      </c>
      <c r="GI56" s="4">
        <v>111</v>
      </c>
      <c r="GJ56" s="4">
        <v>107</v>
      </c>
      <c r="GK56" s="4">
        <v>104</v>
      </c>
      <c r="GL56" s="4">
        <v>100</v>
      </c>
      <c r="GM56" s="4">
        <v>97</v>
      </c>
      <c r="GN56" s="4">
        <v>94</v>
      </c>
      <c r="GO56" s="4">
        <v>91</v>
      </c>
      <c r="GP56" s="4">
        <v>88</v>
      </c>
      <c r="GQ56" s="4">
        <v>85</v>
      </c>
      <c r="GR56" s="4">
        <v>82</v>
      </c>
      <c r="GS56" s="4">
        <v>78</v>
      </c>
      <c r="GT56" s="4">
        <v>74</v>
      </c>
      <c r="GU56" s="4">
        <v>70</v>
      </c>
      <c r="GV56" s="4">
        <v>66</v>
      </c>
      <c r="GW56" s="4">
        <v>62</v>
      </c>
      <c r="GX56" s="4">
        <v>59</v>
      </c>
      <c r="GY56" s="4">
        <v>56</v>
      </c>
      <c r="GZ56" s="4">
        <v>51</v>
      </c>
      <c r="HA56" s="4">
        <v>46</v>
      </c>
      <c r="HB56" s="4">
        <v>41</v>
      </c>
      <c r="HC56" s="19">
        <v>17.7</v>
      </c>
      <c r="HD56" s="19">
        <v>23.2</v>
      </c>
      <c r="HE56" s="19">
        <v>22.5</v>
      </c>
      <c r="HF56" s="19">
        <v>21.8</v>
      </c>
      <c r="HG56" s="19">
        <v>24.8</v>
      </c>
      <c r="HH56" s="19">
        <v>29.3</v>
      </c>
      <c r="HI56" s="19">
        <v>27.8</v>
      </c>
      <c r="HJ56" s="19">
        <v>35.7</v>
      </c>
      <c r="HK56" s="19">
        <v>34.7</v>
      </c>
      <c r="HL56" s="19">
        <v>33.3</v>
      </c>
      <c r="HM56" s="19">
        <v>32.3</v>
      </c>
      <c r="HN56" s="19">
        <v>31.3</v>
      </c>
      <c r="HO56" s="19">
        <v>30.3</v>
      </c>
      <c r="HP56" s="19">
        <v>22</v>
      </c>
      <c r="HQ56" s="19">
        <v>21.3</v>
      </c>
      <c r="HR56" s="19">
        <v>20.5</v>
      </c>
      <c r="HS56" s="19">
        <v>19.5</v>
      </c>
      <c r="HT56" s="19">
        <v>18.5</v>
      </c>
      <c r="HU56" s="19">
        <v>17.5</v>
      </c>
      <c r="HV56" s="19">
        <v>16.5</v>
      </c>
      <c r="HW56" s="19">
        <v>15.5</v>
      </c>
      <c r="HX56" s="19">
        <v>14.8</v>
      </c>
      <c r="HY56" s="19">
        <v>11.2</v>
      </c>
      <c r="HZ56" s="19">
        <v>10.2</v>
      </c>
      <c r="IA56" s="19">
        <v>11.5</v>
      </c>
      <c r="IB56" s="19">
        <v>10.3</v>
      </c>
    </row>
    <row r="57">
      <c r="A57" s="2" t="s">
        <v>489</v>
      </c>
      <c r="B57" s="2" t="s">
        <v>279</v>
      </c>
      <c r="C57" s="2" t="s">
        <v>280</v>
      </c>
      <c r="D57" s="2" t="s">
        <v>281</v>
      </c>
      <c r="E57" s="2" t="s">
        <v>282</v>
      </c>
      <c r="F57" s="2" t="s">
        <v>466</v>
      </c>
      <c r="G57" s="2" t="s">
        <v>466</v>
      </c>
      <c r="H57" s="2" t="s">
        <v>466</v>
      </c>
      <c r="I57" s="2" t="s">
        <v>467</v>
      </c>
      <c r="J57" s="2" t="s">
        <v>247</v>
      </c>
      <c r="K57" s="2" t="s">
        <v>484</v>
      </c>
      <c r="L57" s="3">
        <v>15.19</v>
      </c>
      <c r="M57" s="3">
        <v>15.95</v>
      </c>
      <c r="N57" s="3">
        <v>30.99</v>
      </c>
      <c r="O57" s="2" t="s">
        <v>230</v>
      </c>
      <c r="P57" s="2" t="s">
        <v>231</v>
      </c>
      <c r="Q57" s="2" t="s">
        <v>232</v>
      </c>
      <c r="R57" s="2" t="s">
        <v>233</v>
      </c>
      <c r="S57" s="2" t="s">
        <v>485</v>
      </c>
      <c r="T57" s="2" t="s">
        <v>469</v>
      </c>
      <c r="U57" s="2" t="s">
        <v>233</v>
      </c>
      <c r="V57" s="2" t="s">
        <v>236</v>
      </c>
      <c r="W57" s="2" t="s">
        <v>237</v>
      </c>
      <c r="X57" s="2" t="s">
        <v>233</v>
      </c>
      <c r="Y57" s="2" t="s">
        <v>258</v>
      </c>
      <c r="Z57" s="4">
        <v>153</v>
      </c>
      <c r="AA57" s="4">
        <f>=ROUNDDOWN(30.6,0)</f>
      </c>
      <c r="AB57" s="5">
        <v>5</v>
      </c>
      <c r="AC57" s="2" t="s">
        <v>490</v>
      </c>
      <c r="AD57" s="4">
        <v>70</v>
      </c>
      <c r="AE57" s="4">
        <v>70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233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233</v>
      </c>
      <c r="AW57" s="8" t="s">
        <v>233</v>
      </c>
      <c r="AX57" s="4" t="s">
        <v>233</v>
      </c>
      <c r="AY57" s="8" t="s">
        <v>233</v>
      </c>
      <c r="AZ57" s="7" t="s">
        <v>233</v>
      </c>
      <c r="BA57" s="7" t="s">
        <v>233</v>
      </c>
      <c r="BB57" s="7"/>
      <c r="BC57" s="4" t="s">
        <v>233</v>
      </c>
      <c r="BD57" s="8" t="s">
        <v>233</v>
      </c>
      <c r="BE57" s="4" t="s">
        <v>233</v>
      </c>
      <c r="BF57" s="8" t="s">
        <v>233</v>
      </c>
      <c r="BG57" s="7" t="s">
        <v>233</v>
      </c>
      <c r="BH57" s="7" t="s">
        <v>233</v>
      </c>
      <c r="BI57" s="7"/>
      <c r="BJ57" s="4">
        <v>13</v>
      </c>
      <c r="BK57" s="8">
        <v>210.26</v>
      </c>
      <c r="BL57" s="2" t="s">
        <v>491</v>
      </c>
      <c r="BM57" s="7"/>
      <c r="BN57" s="7"/>
      <c r="BO57" s="4"/>
      <c r="BP57" s="8"/>
      <c r="BQ57" s="4"/>
      <c r="BR57" s="8"/>
      <c r="BS57" s="7"/>
      <c r="BT57" s="7"/>
      <c r="BU57" s="2" t="s">
        <v>471</v>
      </c>
      <c r="BV57" s="2" t="s">
        <v>233</v>
      </c>
      <c r="BW57" s="2" t="s">
        <v>233</v>
      </c>
      <c r="BX57" s="2" t="s">
        <v>241</v>
      </c>
      <c r="BY57" s="2" t="s">
        <v>242</v>
      </c>
      <c r="BZ57" s="2" t="s">
        <v>230</v>
      </c>
      <c r="CA57" s="2" t="s">
        <v>487</v>
      </c>
      <c r="CB57" s="2" t="s">
        <v>492</v>
      </c>
      <c r="CC57" s="2" t="s">
        <v>245</v>
      </c>
      <c r="CD57" s="2" t="s">
        <v>233</v>
      </c>
      <c r="CE57" s="4">
        <v>153</v>
      </c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>
        <v>70</v>
      </c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>
        <v>157</v>
      </c>
      <c r="GD57" s="4">
        <v>150</v>
      </c>
      <c r="GE57" s="4">
        <v>142</v>
      </c>
      <c r="GF57" s="4">
        <v>135</v>
      </c>
      <c r="GG57" s="4">
        <v>124</v>
      </c>
      <c r="GH57" s="4">
        <v>110</v>
      </c>
      <c r="GI57" s="4">
        <v>168</v>
      </c>
      <c r="GJ57" s="4">
        <v>161</v>
      </c>
      <c r="GK57" s="4">
        <v>156</v>
      </c>
      <c r="GL57" s="4">
        <v>148</v>
      </c>
      <c r="GM57" s="4">
        <v>144</v>
      </c>
      <c r="GN57" s="4">
        <v>140</v>
      </c>
      <c r="GO57" s="4">
        <v>135</v>
      </c>
      <c r="GP57" s="4">
        <v>130</v>
      </c>
      <c r="GQ57" s="4">
        <v>125</v>
      </c>
      <c r="GR57" s="4">
        <v>121</v>
      </c>
      <c r="GS57" s="4">
        <v>117</v>
      </c>
      <c r="GT57" s="4">
        <v>113</v>
      </c>
      <c r="GU57" s="4">
        <v>109</v>
      </c>
      <c r="GV57" s="4">
        <v>104</v>
      </c>
      <c r="GW57" s="4">
        <v>99</v>
      </c>
      <c r="GX57" s="4">
        <v>92</v>
      </c>
      <c r="GY57" s="4">
        <v>85</v>
      </c>
      <c r="GZ57" s="4">
        <v>78</v>
      </c>
      <c r="HA57" s="4">
        <v>71</v>
      </c>
      <c r="HB57" s="4">
        <v>204</v>
      </c>
      <c r="HC57" s="19">
        <v>19.6</v>
      </c>
      <c r="HD57" s="19">
        <v>15</v>
      </c>
      <c r="HE57" s="19">
        <v>12.9</v>
      </c>
      <c r="HF57" s="19">
        <v>12.3</v>
      </c>
      <c r="HG57" s="19">
        <v>12.4</v>
      </c>
      <c r="HH57" s="19">
        <v>13.8</v>
      </c>
      <c r="HI57" s="19">
        <v>28</v>
      </c>
      <c r="HJ57" s="19">
        <v>32.2</v>
      </c>
      <c r="HK57" s="19">
        <v>31.2</v>
      </c>
      <c r="HL57" s="19">
        <v>37</v>
      </c>
      <c r="HM57" s="19">
        <v>28.8</v>
      </c>
      <c r="HN57" s="19">
        <v>28</v>
      </c>
      <c r="HO57" s="19">
        <v>33.8</v>
      </c>
      <c r="HP57" s="19">
        <v>32.5</v>
      </c>
      <c r="HQ57" s="19">
        <v>31.3</v>
      </c>
      <c r="HR57" s="19">
        <v>30.3</v>
      </c>
      <c r="HS57" s="19">
        <v>29.3</v>
      </c>
      <c r="HT57" s="19">
        <v>22.6</v>
      </c>
      <c r="HU57" s="19">
        <v>18.2</v>
      </c>
      <c r="HV57" s="19">
        <v>17.3</v>
      </c>
      <c r="HW57" s="19">
        <v>14.1</v>
      </c>
      <c r="HX57" s="19">
        <v>11.5</v>
      </c>
      <c r="HY57" s="19">
        <v>9.4</v>
      </c>
      <c r="HZ57" s="19">
        <v>7.8</v>
      </c>
      <c r="IA57" s="19">
        <v>5.9</v>
      </c>
      <c r="IB57" s="19">
        <v>14.6</v>
      </c>
    </row>
    <row r="58">
      <c r="A58" s="2" t="s">
        <v>493</v>
      </c>
      <c r="B58" s="2" t="s">
        <v>279</v>
      </c>
      <c r="C58" s="2" t="s">
        <v>280</v>
      </c>
      <c r="D58" s="2" t="s">
        <v>281</v>
      </c>
      <c r="E58" s="2" t="s">
        <v>282</v>
      </c>
      <c r="F58" s="2" t="s">
        <v>466</v>
      </c>
      <c r="G58" s="2" t="s">
        <v>466</v>
      </c>
      <c r="H58" s="2" t="s">
        <v>466</v>
      </c>
      <c r="I58" s="2" t="s">
        <v>467</v>
      </c>
      <c r="J58" s="2" t="s">
        <v>252</v>
      </c>
      <c r="K58" s="2" t="s">
        <v>484</v>
      </c>
      <c r="L58" s="3">
        <v>16.5</v>
      </c>
      <c r="M58" s="3">
        <v>17.32</v>
      </c>
      <c r="N58" s="3">
        <v>32.99</v>
      </c>
      <c r="O58" s="2" t="s">
        <v>230</v>
      </c>
      <c r="P58" s="2" t="s">
        <v>231</v>
      </c>
      <c r="Q58" s="2" t="s">
        <v>232</v>
      </c>
      <c r="R58" s="2" t="s">
        <v>233</v>
      </c>
      <c r="S58" s="2" t="s">
        <v>485</v>
      </c>
      <c r="T58" s="2" t="s">
        <v>469</v>
      </c>
      <c r="U58" s="2" t="s">
        <v>233</v>
      </c>
      <c r="V58" s="2" t="s">
        <v>236</v>
      </c>
      <c r="W58" s="2" t="s">
        <v>237</v>
      </c>
      <c r="X58" s="2" t="s">
        <v>233</v>
      </c>
      <c r="Y58" s="2" t="s">
        <v>258</v>
      </c>
      <c r="Z58" s="4">
        <v>243</v>
      </c>
      <c r="AA58" s="4">
        <f>=ROUNDDOWN(27,0)</f>
      </c>
      <c r="AB58" s="5">
        <v>9</v>
      </c>
      <c r="AC58" s="2" t="s">
        <v>490</v>
      </c>
      <c r="AD58" s="4">
        <v>180</v>
      </c>
      <c r="AE58" s="4">
        <v>280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233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233</v>
      </c>
      <c r="AW58" s="8" t="s">
        <v>233</v>
      </c>
      <c r="AX58" s="4" t="s">
        <v>233</v>
      </c>
      <c r="AY58" s="8" t="s">
        <v>233</v>
      </c>
      <c r="AZ58" s="7" t="s">
        <v>233</v>
      </c>
      <c r="BA58" s="7" t="s">
        <v>233</v>
      </c>
      <c r="BB58" s="7"/>
      <c r="BC58" s="4" t="s">
        <v>233</v>
      </c>
      <c r="BD58" s="8" t="s">
        <v>233</v>
      </c>
      <c r="BE58" s="4" t="s">
        <v>233</v>
      </c>
      <c r="BF58" s="8" t="s">
        <v>233</v>
      </c>
      <c r="BG58" s="7" t="s">
        <v>233</v>
      </c>
      <c r="BH58" s="7" t="s">
        <v>233</v>
      </c>
      <c r="BI58" s="7"/>
      <c r="BJ58" s="4">
        <v>39</v>
      </c>
      <c r="BK58" s="8">
        <v>679.23</v>
      </c>
      <c r="BL58" s="2" t="s">
        <v>494</v>
      </c>
      <c r="BM58" s="7"/>
      <c r="BN58" s="7"/>
      <c r="BO58" s="4"/>
      <c r="BP58" s="8"/>
      <c r="BQ58" s="4"/>
      <c r="BR58" s="8"/>
      <c r="BS58" s="7"/>
      <c r="BT58" s="7"/>
      <c r="BU58" s="2" t="s">
        <v>471</v>
      </c>
      <c r="BV58" s="2" t="s">
        <v>233</v>
      </c>
      <c r="BW58" s="2" t="s">
        <v>233</v>
      </c>
      <c r="BX58" s="2" t="s">
        <v>241</v>
      </c>
      <c r="BY58" s="2" t="s">
        <v>242</v>
      </c>
      <c r="BZ58" s="2" t="s">
        <v>230</v>
      </c>
      <c r="CA58" s="2" t="s">
        <v>487</v>
      </c>
      <c r="CB58" s="2" t="s">
        <v>495</v>
      </c>
      <c r="CC58" s="2" t="s">
        <v>245</v>
      </c>
      <c r="CD58" s="2" t="s">
        <v>233</v>
      </c>
      <c r="CE58" s="4">
        <v>243</v>
      </c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>
        <v>180</v>
      </c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>
        <v>100</v>
      </c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>
        <v>247</v>
      </c>
      <c r="GD58" s="4">
        <v>241</v>
      </c>
      <c r="GE58" s="4">
        <v>229</v>
      </c>
      <c r="GF58" s="4">
        <v>218</v>
      </c>
      <c r="GG58" s="4">
        <v>198</v>
      </c>
      <c r="GH58" s="4">
        <v>178</v>
      </c>
      <c r="GI58" s="4">
        <v>341</v>
      </c>
      <c r="GJ58" s="4">
        <v>330</v>
      </c>
      <c r="GK58" s="4">
        <v>321</v>
      </c>
      <c r="GL58" s="4">
        <v>308</v>
      </c>
      <c r="GM58" s="4">
        <v>299</v>
      </c>
      <c r="GN58" s="4">
        <v>290</v>
      </c>
      <c r="GO58" s="4">
        <v>381</v>
      </c>
      <c r="GP58" s="4">
        <v>372</v>
      </c>
      <c r="GQ58" s="4">
        <v>363</v>
      </c>
      <c r="GR58" s="4">
        <v>353</v>
      </c>
      <c r="GS58" s="4">
        <v>343</v>
      </c>
      <c r="GT58" s="4">
        <v>333</v>
      </c>
      <c r="GU58" s="4">
        <v>323</v>
      </c>
      <c r="GV58" s="4">
        <v>314</v>
      </c>
      <c r="GW58" s="4">
        <v>305</v>
      </c>
      <c r="GX58" s="4">
        <v>296</v>
      </c>
      <c r="GY58" s="4">
        <v>287</v>
      </c>
      <c r="GZ58" s="4">
        <v>277</v>
      </c>
      <c r="HA58" s="4">
        <v>267</v>
      </c>
      <c r="HB58" s="4">
        <v>257</v>
      </c>
      <c r="HC58" s="19">
        <v>20.6</v>
      </c>
      <c r="HD58" s="19">
        <v>15.1</v>
      </c>
      <c r="HE58" s="19">
        <v>13.5</v>
      </c>
      <c r="HF58" s="19">
        <v>12.8</v>
      </c>
      <c r="HG58" s="19">
        <v>14.1</v>
      </c>
      <c r="HH58" s="19">
        <v>14.8</v>
      </c>
      <c r="HI58" s="19">
        <v>34.1</v>
      </c>
      <c r="HJ58" s="19">
        <v>33</v>
      </c>
      <c r="HK58" s="19">
        <v>32.1</v>
      </c>
      <c r="HL58" s="19">
        <v>34.2</v>
      </c>
      <c r="HM58" s="19">
        <v>33.2</v>
      </c>
      <c r="HN58" s="19">
        <v>32.2</v>
      </c>
      <c r="HO58" s="19">
        <v>38.1</v>
      </c>
      <c r="HP58" s="19">
        <v>37.2</v>
      </c>
      <c r="HQ58" s="19">
        <v>36.3</v>
      </c>
      <c r="HR58" s="19">
        <v>35.3</v>
      </c>
      <c r="HS58" s="19">
        <v>34.3</v>
      </c>
      <c r="HT58" s="19">
        <v>37</v>
      </c>
      <c r="HU58" s="19">
        <v>35.9</v>
      </c>
      <c r="HV58" s="19">
        <v>34.9</v>
      </c>
      <c r="HW58" s="19">
        <v>30.5</v>
      </c>
      <c r="HX58" s="19">
        <v>29.6</v>
      </c>
      <c r="HY58" s="19">
        <v>28.7</v>
      </c>
      <c r="HZ58" s="19">
        <v>27.7</v>
      </c>
      <c r="IA58" s="19">
        <v>26.7</v>
      </c>
      <c r="IB58" s="19">
        <v>25.7</v>
      </c>
    </row>
    <row r="59">
      <c r="A59" s="2" t="s">
        <v>496</v>
      </c>
      <c r="B59" s="2" t="s">
        <v>279</v>
      </c>
      <c r="C59" s="2" t="s">
        <v>280</v>
      </c>
      <c r="D59" s="2" t="s">
        <v>281</v>
      </c>
      <c r="E59" s="2" t="s">
        <v>282</v>
      </c>
      <c r="F59" s="2" t="s">
        <v>466</v>
      </c>
      <c r="G59" s="2" t="s">
        <v>466</v>
      </c>
      <c r="H59" s="2" t="s">
        <v>466</v>
      </c>
      <c r="I59" s="2" t="s">
        <v>467</v>
      </c>
      <c r="J59" s="2" t="s">
        <v>256</v>
      </c>
      <c r="K59" s="2" t="s">
        <v>484</v>
      </c>
      <c r="L59" s="3">
        <v>21.5</v>
      </c>
      <c r="M59" s="3">
        <v>22.58</v>
      </c>
      <c r="N59" s="3">
        <v>42.99</v>
      </c>
      <c r="O59" s="2" t="s">
        <v>230</v>
      </c>
      <c r="P59" s="2" t="s">
        <v>231</v>
      </c>
      <c r="Q59" s="2" t="s">
        <v>232</v>
      </c>
      <c r="R59" s="2" t="s">
        <v>233</v>
      </c>
      <c r="S59" s="2" t="s">
        <v>485</v>
      </c>
      <c r="T59" s="2" t="s">
        <v>469</v>
      </c>
      <c r="U59" s="2" t="s">
        <v>233</v>
      </c>
      <c r="V59" s="2" t="s">
        <v>236</v>
      </c>
      <c r="W59" s="2" t="s">
        <v>237</v>
      </c>
      <c r="X59" s="2" t="s">
        <v>233</v>
      </c>
      <c r="Y59" s="2" t="s">
        <v>258</v>
      </c>
      <c r="Z59" s="4">
        <v>327</v>
      </c>
      <c r="AA59" s="4">
        <f>=ROUNDDOWN(27.25,0)</f>
      </c>
      <c r="AB59" s="5">
        <v>12</v>
      </c>
      <c r="AC59" s="2" t="s">
        <v>490</v>
      </c>
      <c r="AD59" s="4">
        <v>150</v>
      </c>
      <c r="AE59" s="4">
        <v>150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233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233</v>
      </c>
      <c r="AW59" s="8" t="s">
        <v>233</v>
      </c>
      <c r="AX59" s="4" t="s">
        <v>233</v>
      </c>
      <c r="AY59" s="8" t="s">
        <v>233</v>
      </c>
      <c r="AZ59" s="7" t="s">
        <v>233</v>
      </c>
      <c r="BA59" s="7" t="s">
        <v>233</v>
      </c>
      <c r="BB59" s="7"/>
      <c r="BC59" s="4" t="s">
        <v>233</v>
      </c>
      <c r="BD59" s="8" t="s">
        <v>233</v>
      </c>
      <c r="BE59" s="4" t="s">
        <v>233</v>
      </c>
      <c r="BF59" s="8" t="s">
        <v>233</v>
      </c>
      <c r="BG59" s="7" t="s">
        <v>233</v>
      </c>
      <c r="BH59" s="7" t="s">
        <v>233</v>
      </c>
      <c r="BI59" s="7"/>
      <c r="BJ59" s="4">
        <v>36</v>
      </c>
      <c r="BK59" s="8">
        <v>809.67</v>
      </c>
      <c r="BL59" s="2" t="s">
        <v>497</v>
      </c>
      <c r="BM59" s="7"/>
      <c r="BN59" s="7"/>
      <c r="BO59" s="4"/>
      <c r="BP59" s="8"/>
      <c r="BQ59" s="4"/>
      <c r="BR59" s="8"/>
      <c r="BS59" s="7"/>
      <c r="BT59" s="7"/>
      <c r="BU59" s="2" t="s">
        <v>471</v>
      </c>
      <c r="BV59" s="2" t="s">
        <v>233</v>
      </c>
      <c r="BW59" s="2" t="s">
        <v>233</v>
      </c>
      <c r="BX59" s="2" t="s">
        <v>241</v>
      </c>
      <c r="BY59" s="2" t="s">
        <v>242</v>
      </c>
      <c r="BZ59" s="2" t="s">
        <v>230</v>
      </c>
      <c r="CA59" s="2" t="s">
        <v>487</v>
      </c>
      <c r="CB59" s="2" t="s">
        <v>498</v>
      </c>
      <c r="CC59" s="2" t="s">
        <v>245</v>
      </c>
      <c r="CD59" s="2" t="s">
        <v>233</v>
      </c>
      <c r="CE59" s="4">
        <v>327</v>
      </c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>
        <v>150</v>
      </c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>
        <v>353</v>
      </c>
      <c r="GD59" s="4">
        <v>329</v>
      </c>
      <c r="GE59" s="4">
        <v>320</v>
      </c>
      <c r="GF59" s="4">
        <v>310</v>
      </c>
      <c r="GG59" s="4">
        <v>289</v>
      </c>
      <c r="GH59" s="4">
        <v>264</v>
      </c>
      <c r="GI59" s="4">
        <v>393</v>
      </c>
      <c r="GJ59" s="4">
        <v>380</v>
      </c>
      <c r="GK59" s="4">
        <v>370</v>
      </c>
      <c r="GL59" s="4">
        <v>355</v>
      </c>
      <c r="GM59" s="4">
        <v>343</v>
      </c>
      <c r="GN59" s="4">
        <v>331</v>
      </c>
      <c r="GO59" s="4">
        <v>319</v>
      </c>
      <c r="GP59" s="4">
        <v>307</v>
      </c>
      <c r="GQ59" s="4">
        <v>295</v>
      </c>
      <c r="GR59" s="4">
        <v>283</v>
      </c>
      <c r="GS59" s="4">
        <v>271</v>
      </c>
      <c r="GT59" s="4">
        <v>259</v>
      </c>
      <c r="GU59" s="4">
        <v>247</v>
      </c>
      <c r="GV59" s="4">
        <v>234</v>
      </c>
      <c r="GW59" s="4">
        <v>221</v>
      </c>
      <c r="GX59" s="4">
        <v>208</v>
      </c>
      <c r="GY59" s="4">
        <v>195</v>
      </c>
      <c r="GZ59" s="4">
        <v>184</v>
      </c>
      <c r="HA59" s="4">
        <v>173</v>
      </c>
      <c r="HB59" s="4">
        <v>163</v>
      </c>
      <c r="HC59" s="19">
        <v>22.1</v>
      </c>
      <c r="HD59" s="19">
        <v>20.6</v>
      </c>
      <c r="HE59" s="19">
        <v>16.8</v>
      </c>
      <c r="HF59" s="19">
        <v>15.5</v>
      </c>
      <c r="HG59" s="19">
        <v>17</v>
      </c>
      <c r="HH59" s="19">
        <v>17.6</v>
      </c>
      <c r="HI59" s="19">
        <v>32.8</v>
      </c>
      <c r="HJ59" s="19">
        <v>31.7</v>
      </c>
      <c r="HK59" s="19">
        <v>28.5</v>
      </c>
      <c r="HL59" s="19">
        <v>29.6</v>
      </c>
      <c r="HM59" s="19">
        <v>28.6</v>
      </c>
      <c r="HN59" s="19">
        <v>27.6</v>
      </c>
      <c r="HO59" s="19">
        <v>26.6</v>
      </c>
      <c r="HP59" s="19">
        <v>25.6</v>
      </c>
      <c r="HQ59" s="19">
        <v>24.6</v>
      </c>
      <c r="HR59" s="19">
        <v>23.6</v>
      </c>
      <c r="HS59" s="19">
        <v>22.6</v>
      </c>
      <c r="HT59" s="19">
        <v>19.9</v>
      </c>
      <c r="HU59" s="19">
        <v>19</v>
      </c>
      <c r="HV59" s="19">
        <v>19.5</v>
      </c>
      <c r="HW59" s="19">
        <v>18.4</v>
      </c>
      <c r="HX59" s="19">
        <v>18.9</v>
      </c>
      <c r="HY59" s="19">
        <v>19.5</v>
      </c>
      <c r="HZ59" s="19">
        <v>18.4</v>
      </c>
      <c r="IA59" s="19">
        <v>17.3</v>
      </c>
      <c r="IB59" s="19">
        <v>16.3</v>
      </c>
    </row>
    <row r="60">
      <c r="A60" s="2" t="s">
        <v>499</v>
      </c>
      <c r="B60" s="2" t="s">
        <v>279</v>
      </c>
      <c r="C60" s="2" t="s">
        <v>280</v>
      </c>
      <c r="D60" s="2" t="s">
        <v>281</v>
      </c>
      <c r="E60" s="2" t="s">
        <v>282</v>
      </c>
      <c r="F60" s="2" t="s">
        <v>466</v>
      </c>
      <c r="G60" s="2" t="s">
        <v>466</v>
      </c>
      <c r="H60" s="2" t="s">
        <v>466</v>
      </c>
      <c r="I60" s="2" t="s">
        <v>467</v>
      </c>
      <c r="J60" s="2" t="s">
        <v>285</v>
      </c>
      <c r="K60" s="2" t="s">
        <v>484</v>
      </c>
      <c r="L60" s="3">
        <v>21.5</v>
      </c>
      <c r="M60" s="3">
        <v>22.58</v>
      </c>
      <c r="N60" s="3">
        <v>42.99</v>
      </c>
      <c r="O60" s="2" t="s">
        <v>230</v>
      </c>
      <c r="P60" s="2" t="s">
        <v>231</v>
      </c>
      <c r="Q60" s="2" t="s">
        <v>232</v>
      </c>
      <c r="R60" s="2" t="s">
        <v>233</v>
      </c>
      <c r="S60" s="2" t="s">
        <v>485</v>
      </c>
      <c r="T60" s="2" t="s">
        <v>469</v>
      </c>
      <c r="U60" s="2" t="s">
        <v>233</v>
      </c>
      <c r="V60" s="2" t="s">
        <v>236</v>
      </c>
      <c r="W60" s="2" t="s">
        <v>237</v>
      </c>
      <c r="X60" s="2" t="s">
        <v>233</v>
      </c>
      <c r="Y60" s="2" t="s">
        <v>258</v>
      </c>
      <c r="Z60" s="4">
        <v>124</v>
      </c>
      <c r="AA60" s="4">
        <f>=ROUNDDOWN(41.3333333333333,0)</f>
      </c>
      <c r="AB60" s="5">
        <v>3</v>
      </c>
      <c r="AC60" s="2" t="s">
        <v>233</v>
      </c>
      <c r="AD60" s="4"/>
      <c r="AE60" s="4"/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233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233</v>
      </c>
      <c r="AW60" s="8" t="s">
        <v>233</v>
      </c>
      <c r="AX60" s="4" t="s">
        <v>233</v>
      </c>
      <c r="AY60" s="8" t="s">
        <v>233</v>
      </c>
      <c r="AZ60" s="7" t="s">
        <v>233</v>
      </c>
      <c r="BA60" s="7" t="s">
        <v>233</v>
      </c>
      <c r="BB60" s="7"/>
      <c r="BC60" s="4" t="s">
        <v>233</v>
      </c>
      <c r="BD60" s="8" t="s">
        <v>233</v>
      </c>
      <c r="BE60" s="4" t="s">
        <v>233</v>
      </c>
      <c r="BF60" s="8" t="s">
        <v>233</v>
      </c>
      <c r="BG60" s="7" t="s">
        <v>233</v>
      </c>
      <c r="BH60" s="7" t="s">
        <v>233</v>
      </c>
      <c r="BI60" s="7"/>
      <c r="BJ60" s="4">
        <v>10</v>
      </c>
      <c r="BK60" s="8">
        <v>226.6</v>
      </c>
      <c r="BL60" s="2" t="s">
        <v>500</v>
      </c>
      <c r="BM60" s="7"/>
      <c r="BN60" s="7"/>
      <c r="BO60" s="4"/>
      <c r="BP60" s="8"/>
      <c r="BQ60" s="4"/>
      <c r="BR60" s="8"/>
      <c r="BS60" s="7"/>
      <c r="BT60" s="7"/>
      <c r="BU60" s="2" t="s">
        <v>471</v>
      </c>
      <c r="BV60" s="2" t="s">
        <v>233</v>
      </c>
      <c r="BW60" s="2" t="s">
        <v>233</v>
      </c>
      <c r="BX60" s="2" t="s">
        <v>241</v>
      </c>
      <c r="BY60" s="2" t="s">
        <v>242</v>
      </c>
      <c r="BZ60" s="2" t="s">
        <v>230</v>
      </c>
      <c r="CA60" s="2" t="s">
        <v>487</v>
      </c>
      <c r="CB60" s="2" t="s">
        <v>501</v>
      </c>
      <c r="CC60" s="2" t="s">
        <v>245</v>
      </c>
      <c r="CD60" s="2" t="s">
        <v>233</v>
      </c>
      <c r="CE60" s="4">
        <v>124</v>
      </c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>
        <v>125</v>
      </c>
      <c r="GD60" s="4">
        <v>123</v>
      </c>
      <c r="GE60" s="4">
        <v>121</v>
      </c>
      <c r="GF60" s="4">
        <v>119</v>
      </c>
      <c r="GG60" s="4">
        <v>114</v>
      </c>
      <c r="GH60" s="4">
        <v>110</v>
      </c>
      <c r="GI60" s="4">
        <v>107</v>
      </c>
      <c r="GJ60" s="4">
        <v>105</v>
      </c>
      <c r="GK60" s="4">
        <v>104</v>
      </c>
      <c r="GL60" s="4">
        <v>102</v>
      </c>
      <c r="GM60" s="4">
        <v>99</v>
      </c>
      <c r="GN60" s="4">
        <v>96</v>
      </c>
      <c r="GO60" s="4">
        <v>93</v>
      </c>
      <c r="GP60" s="4">
        <v>90</v>
      </c>
      <c r="GQ60" s="4">
        <v>87</v>
      </c>
      <c r="GR60" s="4">
        <v>84</v>
      </c>
      <c r="GS60" s="4">
        <v>81</v>
      </c>
      <c r="GT60" s="4">
        <v>78</v>
      </c>
      <c r="GU60" s="4">
        <v>75</v>
      </c>
      <c r="GV60" s="4">
        <v>72</v>
      </c>
      <c r="GW60" s="4">
        <v>69</v>
      </c>
      <c r="GX60" s="4">
        <v>66</v>
      </c>
      <c r="GY60" s="4">
        <v>63</v>
      </c>
      <c r="GZ60" s="4">
        <v>60</v>
      </c>
      <c r="HA60" s="4">
        <v>57</v>
      </c>
      <c r="HB60" s="4">
        <v>54</v>
      </c>
      <c r="HC60" s="19">
        <v>41.7</v>
      </c>
      <c r="HD60" s="19">
        <v>41</v>
      </c>
      <c r="HE60" s="19">
        <v>30.3</v>
      </c>
      <c r="HF60" s="19">
        <v>29.8</v>
      </c>
      <c r="HG60" s="19">
        <v>57</v>
      </c>
      <c r="HH60" s="19">
        <v>55</v>
      </c>
      <c r="HI60" s="19">
        <v>53.5</v>
      </c>
      <c r="HJ60" s="19">
        <v>52.5</v>
      </c>
      <c r="HK60" s="19">
        <v>34.7</v>
      </c>
      <c r="HL60" s="19">
        <v>34</v>
      </c>
      <c r="HM60" s="19">
        <v>33</v>
      </c>
      <c r="HN60" s="19">
        <v>32</v>
      </c>
      <c r="HO60" s="19">
        <v>31</v>
      </c>
      <c r="HP60" s="19">
        <v>30</v>
      </c>
      <c r="HQ60" s="19">
        <v>29</v>
      </c>
      <c r="HR60" s="19">
        <v>28</v>
      </c>
      <c r="HS60" s="19">
        <v>27</v>
      </c>
      <c r="HT60" s="19">
        <v>26</v>
      </c>
      <c r="HU60" s="19">
        <v>25</v>
      </c>
      <c r="HV60" s="19">
        <v>24</v>
      </c>
      <c r="HW60" s="19">
        <v>23</v>
      </c>
      <c r="HX60" s="19">
        <v>22</v>
      </c>
      <c r="HY60" s="19">
        <v>21</v>
      </c>
      <c r="HZ60" s="19">
        <v>20</v>
      </c>
      <c r="IA60" s="19">
        <v>19</v>
      </c>
      <c r="IB60" s="19">
        <v>18</v>
      </c>
    </row>
    <row r="61">
      <c r="A61" s="2" t="s">
        <v>502</v>
      </c>
      <c r="B61" s="2" t="s">
        <v>279</v>
      </c>
      <c r="C61" s="2" t="s">
        <v>280</v>
      </c>
      <c r="D61" s="2" t="s">
        <v>281</v>
      </c>
      <c r="E61" s="2" t="s">
        <v>282</v>
      </c>
      <c r="F61" s="2" t="s">
        <v>466</v>
      </c>
      <c r="G61" s="2" t="s">
        <v>466</v>
      </c>
      <c r="H61" s="2" t="s">
        <v>466</v>
      </c>
      <c r="I61" s="2" t="s">
        <v>467</v>
      </c>
      <c r="J61" s="2" t="s">
        <v>228</v>
      </c>
      <c r="K61" s="2" t="s">
        <v>300</v>
      </c>
      <c r="L61" s="3">
        <v>13.44</v>
      </c>
      <c r="M61" s="3">
        <v>14.11</v>
      </c>
      <c r="N61" s="3">
        <v>27.99</v>
      </c>
      <c r="O61" s="2" t="s">
        <v>230</v>
      </c>
      <c r="P61" s="2" t="s">
        <v>231</v>
      </c>
      <c r="Q61" s="2" t="s">
        <v>232</v>
      </c>
      <c r="R61" s="2" t="s">
        <v>233</v>
      </c>
      <c r="S61" s="2" t="s">
        <v>503</v>
      </c>
      <c r="T61" s="2" t="s">
        <v>469</v>
      </c>
      <c r="U61" s="2" t="s">
        <v>233</v>
      </c>
      <c r="V61" s="2" t="s">
        <v>236</v>
      </c>
      <c r="W61" s="2" t="s">
        <v>237</v>
      </c>
      <c r="X61" s="2" t="s">
        <v>233</v>
      </c>
      <c r="Y61" s="2" t="s">
        <v>238</v>
      </c>
      <c r="Z61" s="4">
        <v>62</v>
      </c>
      <c r="AA61" s="4">
        <f>=ROUNDDOWN(12.4,0)</f>
      </c>
      <c r="AB61" s="5">
        <v>5</v>
      </c>
      <c r="AC61" s="2" t="s">
        <v>139</v>
      </c>
      <c r="AD61" s="4">
        <v>30</v>
      </c>
      <c r="AE61" s="4">
        <v>150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233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233</v>
      </c>
      <c r="AW61" s="8" t="s">
        <v>233</v>
      </c>
      <c r="AX61" s="4" t="s">
        <v>233</v>
      </c>
      <c r="AY61" s="8" t="s">
        <v>233</v>
      </c>
      <c r="AZ61" s="7" t="s">
        <v>233</v>
      </c>
      <c r="BA61" s="7" t="s">
        <v>233</v>
      </c>
      <c r="BB61" s="7"/>
      <c r="BC61" s="4" t="s">
        <v>233</v>
      </c>
      <c r="BD61" s="8" t="s">
        <v>233</v>
      </c>
      <c r="BE61" s="4" t="s">
        <v>233</v>
      </c>
      <c r="BF61" s="8" t="s">
        <v>233</v>
      </c>
      <c r="BG61" s="7" t="s">
        <v>233</v>
      </c>
      <c r="BH61" s="7" t="s">
        <v>233</v>
      </c>
      <c r="BI61" s="7"/>
      <c r="BJ61" s="4">
        <v>13</v>
      </c>
      <c r="BK61" s="8">
        <v>173.86</v>
      </c>
      <c r="BL61" s="2" t="s">
        <v>504</v>
      </c>
      <c r="BM61" s="7"/>
      <c r="BN61" s="7"/>
      <c r="BO61" s="4"/>
      <c r="BP61" s="8"/>
      <c r="BQ61" s="4"/>
      <c r="BR61" s="8"/>
      <c r="BS61" s="7"/>
      <c r="BT61" s="7"/>
      <c r="BU61" s="2" t="s">
        <v>471</v>
      </c>
      <c r="BV61" s="2" t="s">
        <v>233</v>
      </c>
      <c r="BW61" s="2" t="s">
        <v>233</v>
      </c>
      <c r="BX61" s="2" t="s">
        <v>241</v>
      </c>
      <c r="BY61" s="2" t="s">
        <v>242</v>
      </c>
      <c r="BZ61" s="2" t="s">
        <v>230</v>
      </c>
      <c r="CA61" s="2" t="s">
        <v>243</v>
      </c>
      <c r="CB61" s="2" t="s">
        <v>505</v>
      </c>
      <c r="CC61" s="2" t="s">
        <v>245</v>
      </c>
      <c r="CD61" s="2" t="s">
        <v>233</v>
      </c>
      <c r="CE61" s="4">
        <v>62</v>
      </c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>
        <v>30</v>
      </c>
      <c r="DB61" s="4"/>
      <c r="DC61" s="4"/>
      <c r="DD61" s="4"/>
      <c r="DE61" s="4"/>
      <c r="DF61" s="4"/>
      <c r="DG61" s="4"/>
      <c r="DH61" s="4"/>
      <c r="DI61" s="4">
        <v>30</v>
      </c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>
        <v>90</v>
      </c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>
        <v>68</v>
      </c>
      <c r="GD61" s="4">
        <v>59</v>
      </c>
      <c r="GE61" s="4">
        <v>83</v>
      </c>
      <c r="GF61" s="4">
        <v>76</v>
      </c>
      <c r="GG61" s="4">
        <v>91</v>
      </c>
      <c r="GH61" s="4">
        <v>76</v>
      </c>
      <c r="GI61" s="4">
        <v>153</v>
      </c>
      <c r="GJ61" s="4">
        <v>146</v>
      </c>
      <c r="GK61" s="4">
        <v>141</v>
      </c>
      <c r="GL61" s="4">
        <v>132</v>
      </c>
      <c r="GM61" s="4">
        <v>127</v>
      </c>
      <c r="GN61" s="4">
        <v>122</v>
      </c>
      <c r="GO61" s="4">
        <v>117</v>
      </c>
      <c r="GP61" s="4">
        <v>112</v>
      </c>
      <c r="GQ61" s="4">
        <v>107</v>
      </c>
      <c r="GR61" s="4">
        <v>102</v>
      </c>
      <c r="GS61" s="4">
        <v>97</v>
      </c>
      <c r="GT61" s="4">
        <v>92</v>
      </c>
      <c r="GU61" s="4">
        <v>87</v>
      </c>
      <c r="GV61" s="4">
        <v>81</v>
      </c>
      <c r="GW61" s="4">
        <v>75</v>
      </c>
      <c r="GX61" s="4">
        <v>69</v>
      </c>
      <c r="GY61" s="4">
        <v>63</v>
      </c>
      <c r="GZ61" s="4">
        <v>54</v>
      </c>
      <c r="HA61" s="4">
        <v>45</v>
      </c>
      <c r="HB61" s="4">
        <v>72</v>
      </c>
      <c r="HC61" s="19">
        <v>7.6</v>
      </c>
      <c r="HD61" s="19">
        <v>5.4</v>
      </c>
      <c r="HE61" s="19">
        <v>6.9</v>
      </c>
      <c r="HF61" s="19">
        <v>6.3</v>
      </c>
      <c r="HG61" s="19">
        <v>9.1</v>
      </c>
      <c r="HH61" s="19">
        <v>9.5</v>
      </c>
      <c r="HI61" s="19">
        <v>25.5</v>
      </c>
      <c r="HJ61" s="19">
        <v>24.3</v>
      </c>
      <c r="HK61" s="19">
        <v>23.5</v>
      </c>
      <c r="HL61" s="19">
        <v>26.4</v>
      </c>
      <c r="HM61" s="19">
        <v>25.4</v>
      </c>
      <c r="HN61" s="19">
        <v>24.4</v>
      </c>
      <c r="HO61" s="19">
        <v>23.4</v>
      </c>
      <c r="HP61" s="19">
        <v>22.4</v>
      </c>
      <c r="HQ61" s="19">
        <v>21.4</v>
      </c>
      <c r="HR61" s="19">
        <v>20.4</v>
      </c>
      <c r="HS61" s="19">
        <v>16.2</v>
      </c>
      <c r="HT61" s="19">
        <v>15.3</v>
      </c>
      <c r="HU61" s="19">
        <v>14.5</v>
      </c>
      <c r="HV61" s="19">
        <v>11.6</v>
      </c>
      <c r="HW61" s="19">
        <v>9.4</v>
      </c>
      <c r="HX61" s="19">
        <v>8.6</v>
      </c>
      <c r="HY61" s="19">
        <v>7</v>
      </c>
      <c r="HZ61" s="19">
        <v>6</v>
      </c>
      <c r="IA61" s="19">
        <v>5.6</v>
      </c>
      <c r="IB61" s="19">
        <v>9</v>
      </c>
    </row>
    <row r="62">
      <c r="A62" s="2" t="s">
        <v>506</v>
      </c>
      <c r="B62" s="2" t="s">
        <v>279</v>
      </c>
      <c r="C62" s="2" t="s">
        <v>280</v>
      </c>
      <c r="D62" s="2" t="s">
        <v>281</v>
      </c>
      <c r="E62" s="2" t="s">
        <v>282</v>
      </c>
      <c r="F62" s="2" t="s">
        <v>466</v>
      </c>
      <c r="G62" s="2" t="s">
        <v>466</v>
      </c>
      <c r="H62" s="2" t="s">
        <v>466</v>
      </c>
      <c r="I62" s="2" t="s">
        <v>467</v>
      </c>
      <c r="J62" s="2" t="s">
        <v>247</v>
      </c>
      <c r="K62" s="2" t="s">
        <v>300</v>
      </c>
      <c r="L62" s="3">
        <v>15.19</v>
      </c>
      <c r="M62" s="3">
        <v>15.95</v>
      </c>
      <c r="N62" s="3">
        <v>30.99</v>
      </c>
      <c r="O62" s="2" t="s">
        <v>230</v>
      </c>
      <c r="P62" s="2" t="s">
        <v>231</v>
      </c>
      <c r="Q62" s="2" t="s">
        <v>232</v>
      </c>
      <c r="R62" s="2" t="s">
        <v>233</v>
      </c>
      <c r="S62" s="2" t="s">
        <v>503</v>
      </c>
      <c r="T62" s="2" t="s">
        <v>469</v>
      </c>
      <c r="U62" s="2" t="s">
        <v>233</v>
      </c>
      <c r="V62" s="2" t="s">
        <v>236</v>
      </c>
      <c r="W62" s="2" t="s">
        <v>237</v>
      </c>
      <c r="X62" s="2" t="s">
        <v>233</v>
      </c>
      <c r="Y62" s="2" t="s">
        <v>238</v>
      </c>
      <c r="Z62" s="4">
        <v>150</v>
      </c>
      <c r="AA62" s="4">
        <f>=ROUNDDOWN(21.4285714285714,0)</f>
      </c>
      <c r="AB62" s="5">
        <v>7</v>
      </c>
      <c r="AC62" s="2" t="s">
        <v>139</v>
      </c>
      <c r="AD62" s="4">
        <v>50</v>
      </c>
      <c r="AE62" s="4">
        <v>170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233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233</v>
      </c>
      <c r="AW62" s="8" t="s">
        <v>233</v>
      </c>
      <c r="AX62" s="4" t="s">
        <v>233</v>
      </c>
      <c r="AY62" s="8" t="s">
        <v>233</v>
      </c>
      <c r="AZ62" s="7" t="s">
        <v>233</v>
      </c>
      <c r="BA62" s="7" t="s">
        <v>233</v>
      </c>
      <c r="BB62" s="7"/>
      <c r="BC62" s="4" t="s">
        <v>233</v>
      </c>
      <c r="BD62" s="8" t="s">
        <v>233</v>
      </c>
      <c r="BE62" s="4" t="s">
        <v>233</v>
      </c>
      <c r="BF62" s="8" t="s">
        <v>233</v>
      </c>
      <c r="BG62" s="7" t="s">
        <v>233</v>
      </c>
      <c r="BH62" s="7" t="s">
        <v>233</v>
      </c>
      <c r="BI62" s="7"/>
      <c r="BJ62" s="4">
        <v>25</v>
      </c>
      <c r="BK62" s="8">
        <v>387.99</v>
      </c>
      <c r="BL62" s="2" t="s">
        <v>507</v>
      </c>
      <c r="BM62" s="7"/>
      <c r="BN62" s="7"/>
      <c r="BO62" s="4"/>
      <c r="BP62" s="8"/>
      <c r="BQ62" s="4"/>
      <c r="BR62" s="8"/>
      <c r="BS62" s="7"/>
      <c r="BT62" s="7"/>
      <c r="BU62" s="2" t="s">
        <v>471</v>
      </c>
      <c r="BV62" s="2" t="s">
        <v>233</v>
      </c>
      <c r="BW62" s="2" t="s">
        <v>233</v>
      </c>
      <c r="BX62" s="2" t="s">
        <v>241</v>
      </c>
      <c r="BY62" s="2" t="s">
        <v>242</v>
      </c>
      <c r="BZ62" s="2" t="s">
        <v>230</v>
      </c>
      <c r="CA62" s="2" t="s">
        <v>243</v>
      </c>
      <c r="CB62" s="2" t="s">
        <v>476</v>
      </c>
      <c r="CC62" s="2" t="s">
        <v>245</v>
      </c>
      <c r="CD62" s="2" t="s">
        <v>233</v>
      </c>
      <c r="CE62" s="4">
        <v>150</v>
      </c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>
        <v>50</v>
      </c>
      <c r="DB62" s="4"/>
      <c r="DC62" s="4"/>
      <c r="DD62" s="4"/>
      <c r="DE62" s="4"/>
      <c r="DF62" s="4"/>
      <c r="DG62" s="4"/>
      <c r="DH62" s="4"/>
      <c r="DI62" s="4">
        <v>50</v>
      </c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>
        <v>70</v>
      </c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>
        <v>157</v>
      </c>
      <c r="GD62" s="4">
        <v>146</v>
      </c>
      <c r="GE62" s="4">
        <v>187</v>
      </c>
      <c r="GF62" s="4">
        <v>176</v>
      </c>
      <c r="GG62" s="4">
        <v>204</v>
      </c>
      <c r="GH62" s="4">
        <v>177</v>
      </c>
      <c r="GI62" s="4">
        <v>225</v>
      </c>
      <c r="GJ62" s="4">
        <v>213</v>
      </c>
      <c r="GK62" s="4">
        <v>204</v>
      </c>
      <c r="GL62" s="4">
        <v>189</v>
      </c>
      <c r="GM62" s="4">
        <v>182</v>
      </c>
      <c r="GN62" s="4">
        <v>175</v>
      </c>
      <c r="GO62" s="4">
        <v>168</v>
      </c>
      <c r="GP62" s="4">
        <v>161</v>
      </c>
      <c r="GQ62" s="4">
        <v>154</v>
      </c>
      <c r="GR62" s="4">
        <v>149</v>
      </c>
      <c r="GS62" s="4">
        <v>144</v>
      </c>
      <c r="GT62" s="4">
        <v>139</v>
      </c>
      <c r="GU62" s="4">
        <v>134</v>
      </c>
      <c r="GV62" s="4">
        <v>127</v>
      </c>
      <c r="GW62" s="4">
        <v>120</v>
      </c>
      <c r="GX62" s="4">
        <v>113</v>
      </c>
      <c r="GY62" s="4">
        <v>106</v>
      </c>
      <c r="GZ62" s="4">
        <v>98</v>
      </c>
      <c r="HA62" s="4">
        <v>90</v>
      </c>
      <c r="HB62" s="4">
        <v>211</v>
      </c>
      <c r="HC62" s="19">
        <v>12.1</v>
      </c>
      <c r="HD62" s="19">
        <v>8.6</v>
      </c>
      <c r="HE62" s="19">
        <v>9.4</v>
      </c>
      <c r="HF62" s="19">
        <v>8.4</v>
      </c>
      <c r="HG62" s="19">
        <v>11.3</v>
      </c>
      <c r="HH62" s="19">
        <v>12.6</v>
      </c>
      <c r="HI62" s="19">
        <v>20.5</v>
      </c>
      <c r="HJ62" s="19">
        <v>21.3</v>
      </c>
      <c r="HK62" s="19">
        <v>22.7</v>
      </c>
      <c r="HL62" s="19">
        <v>27</v>
      </c>
      <c r="HM62" s="19">
        <v>26</v>
      </c>
      <c r="HN62" s="19">
        <v>29.2</v>
      </c>
      <c r="HO62" s="19">
        <v>28</v>
      </c>
      <c r="HP62" s="19">
        <v>26.8</v>
      </c>
      <c r="HQ62" s="19">
        <v>30.8</v>
      </c>
      <c r="HR62" s="19">
        <v>24.8</v>
      </c>
      <c r="HS62" s="19">
        <v>24</v>
      </c>
      <c r="HT62" s="19">
        <v>23.2</v>
      </c>
      <c r="HU62" s="19">
        <v>19.1</v>
      </c>
      <c r="HV62" s="19">
        <v>18.1</v>
      </c>
      <c r="HW62" s="19">
        <v>15</v>
      </c>
      <c r="HX62" s="19">
        <v>14.1</v>
      </c>
      <c r="HY62" s="19">
        <v>13.3</v>
      </c>
      <c r="HZ62" s="19">
        <v>12.3</v>
      </c>
      <c r="IA62" s="19">
        <v>9</v>
      </c>
      <c r="IB62" s="19">
        <v>17.6</v>
      </c>
    </row>
    <row r="63">
      <c r="A63" s="2" t="s">
        <v>508</v>
      </c>
      <c r="B63" s="2" t="s">
        <v>279</v>
      </c>
      <c r="C63" s="2" t="s">
        <v>280</v>
      </c>
      <c r="D63" s="2" t="s">
        <v>281</v>
      </c>
      <c r="E63" s="2" t="s">
        <v>282</v>
      </c>
      <c r="F63" s="2" t="s">
        <v>466</v>
      </c>
      <c r="G63" s="2" t="s">
        <v>466</v>
      </c>
      <c r="H63" s="2" t="s">
        <v>466</v>
      </c>
      <c r="I63" s="2" t="s">
        <v>467</v>
      </c>
      <c r="J63" s="2" t="s">
        <v>252</v>
      </c>
      <c r="K63" s="2" t="s">
        <v>300</v>
      </c>
      <c r="L63" s="3">
        <v>16.5</v>
      </c>
      <c r="M63" s="3">
        <v>17.32</v>
      </c>
      <c r="N63" s="3">
        <v>32.99</v>
      </c>
      <c r="O63" s="2" t="s">
        <v>230</v>
      </c>
      <c r="P63" s="2" t="s">
        <v>231</v>
      </c>
      <c r="Q63" s="2" t="s">
        <v>232</v>
      </c>
      <c r="R63" s="2" t="s">
        <v>233</v>
      </c>
      <c r="S63" s="2" t="s">
        <v>503</v>
      </c>
      <c r="T63" s="2" t="s">
        <v>469</v>
      </c>
      <c r="U63" s="2" t="s">
        <v>233</v>
      </c>
      <c r="V63" s="2" t="s">
        <v>236</v>
      </c>
      <c r="W63" s="2" t="s">
        <v>237</v>
      </c>
      <c r="X63" s="2" t="s">
        <v>233</v>
      </c>
      <c r="Y63" s="2" t="s">
        <v>238</v>
      </c>
      <c r="Z63" s="4">
        <v>148</v>
      </c>
      <c r="AA63" s="4">
        <f>=ROUNDDOWN(24.6666666666667,0)</f>
      </c>
      <c r="AB63" s="5">
        <v>6</v>
      </c>
      <c r="AC63" s="2" t="s">
        <v>147</v>
      </c>
      <c r="AD63" s="4">
        <v>20</v>
      </c>
      <c r="AE63" s="4">
        <v>80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233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233</v>
      </c>
      <c r="AW63" s="8" t="s">
        <v>233</v>
      </c>
      <c r="AX63" s="4" t="s">
        <v>233</v>
      </c>
      <c r="AY63" s="8" t="s">
        <v>233</v>
      </c>
      <c r="AZ63" s="7" t="s">
        <v>233</v>
      </c>
      <c r="BA63" s="7" t="s">
        <v>233</v>
      </c>
      <c r="BB63" s="7"/>
      <c r="BC63" s="4" t="s">
        <v>233</v>
      </c>
      <c r="BD63" s="8" t="s">
        <v>233</v>
      </c>
      <c r="BE63" s="4" t="s">
        <v>233</v>
      </c>
      <c r="BF63" s="8" t="s">
        <v>233</v>
      </c>
      <c r="BG63" s="7" t="s">
        <v>233</v>
      </c>
      <c r="BH63" s="7" t="s">
        <v>233</v>
      </c>
      <c r="BI63" s="7"/>
      <c r="BJ63" s="4">
        <v>27</v>
      </c>
      <c r="BK63" s="8">
        <v>450.29</v>
      </c>
      <c r="BL63" s="2" t="s">
        <v>509</v>
      </c>
      <c r="BM63" s="7"/>
      <c r="BN63" s="7"/>
      <c r="BO63" s="4"/>
      <c r="BP63" s="8"/>
      <c r="BQ63" s="4"/>
      <c r="BR63" s="8"/>
      <c r="BS63" s="7"/>
      <c r="BT63" s="7"/>
      <c r="BU63" s="2" t="s">
        <v>471</v>
      </c>
      <c r="BV63" s="2" t="s">
        <v>233</v>
      </c>
      <c r="BW63" s="2" t="s">
        <v>233</v>
      </c>
      <c r="BX63" s="2" t="s">
        <v>241</v>
      </c>
      <c r="BY63" s="2" t="s">
        <v>242</v>
      </c>
      <c r="BZ63" s="2" t="s">
        <v>230</v>
      </c>
      <c r="CA63" s="2" t="s">
        <v>243</v>
      </c>
      <c r="CB63" s="2" t="s">
        <v>510</v>
      </c>
      <c r="CC63" s="2" t="s">
        <v>245</v>
      </c>
      <c r="CD63" s="2" t="s">
        <v>233</v>
      </c>
      <c r="CE63" s="4">
        <v>148</v>
      </c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>
        <v>20</v>
      </c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>
        <v>60</v>
      </c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>
        <v>153</v>
      </c>
      <c r="GD63" s="4">
        <v>145</v>
      </c>
      <c r="GE63" s="4">
        <v>138</v>
      </c>
      <c r="GF63" s="4">
        <v>130</v>
      </c>
      <c r="GG63" s="4">
        <v>133</v>
      </c>
      <c r="GH63" s="4">
        <v>116</v>
      </c>
      <c r="GI63" s="4">
        <v>162</v>
      </c>
      <c r="GJ63" s="4">
        <v>154</v>
      </c>
      <c r="GK63" s="4">
        <v>148</v>
      </c>
      <c r="GL63" s="4">
        <v>138</v>
      </c>
      <c r="GM63" s="4">
        <v>132</v>
      </c>
      <c r="GN63" s="4">
        <v>126</v>
      </c>
      <c r="GO63" s="4">
        <v>120</v>
      </c>
      <c r="GP63" s="4">
        <v>114</v>
      </c>
      <c r="GQ63" s="4">
        <v>108</v>
      </c>
      <c r="GR63" s="4">
        <v>101</v>
      </c>
      <c r="GS63" s="4">
        <v>94</v>
      </c>
      <c r="GT63" s="4">
        <v>87</v>
      </c>
      <c r="GU63" s="4">
        <v>80</v>
      </c>
      <c r="GV63" s="4">
        <v>74</v>
      </c>
      <c r="GW63" s="4">
        <v>68</v>
      </c>
      <c r="GX63" s="4">
        <v>62</v>
      </c>
      <c r="GY63" s="4">
        <v>56</v>
      </c>
      <c r="GZ63" s="4">
        <v>49</v>
      </c>
      <c r="HA63" s="4">
        <v>42</v>
      </c>
      <c r="HB63" s="4">
        <v>77</v>
      </c>
      <c r="HC63" s="19">
        <v>15.3</v>
      </c>
      <c r="HD63" s="19">
        <v>12.1</v>
      </c>
      <c r="HE63" s="19">
        <v>9.9</v>
      </c>
      <c r="HF63" s="19">
        <v>9.3</v>
      </c>
      <c r="HG63" s="19">
        <v>12.1</v>
      </c>
      <c r="HH63" s="19">
        <v>11.6</v>
      </c>
      <c r="HI63" s="19">
        <v>20.3</v>
      </c>
      <c r="HJ63" s="19">
        <v>22</v>
      </c>
      <c r="HK63" s="19">
        <v>21.1</v>
      </c>
      <c r="HL63" s="19">
        <v>23</v>
      </c>
      <c r="HM63" s="19">
        <v>22</v>
      </c>
      <c r="HN63" s="19">
        <v>21</v>
      </c>
      <c r="HO63" s="19">
        <v>20</v>
      </c>
      <c r="HP63" s="19">
        <v>16.3</v>
      </c>
      <c r="HQ63" s="19">
        <v>15.4</v>
      </c>
      <c r="HR63" s="19">
        <v>14.4</v>
      </c>
      <c r="HS63" s="19">
        <v>15.7</v>
      </c>
      <c r="HT63" s="19">
        <v>14.5</v>
      </c>
      <c r="HU63" s="19">
        <v>13.3</v>
      </c>
      <c r="HV63" s="19">
        <v>12.3</v>
      </c>
      <c r="HW63" s="19">
        <v>11.3</v>
      </c>
      <c r="HX63" s="19">
        <v>8.9</v>
      </c>
      <c r="HY63" s="19">
        <v>8</v>
      </c>
      <c r="HZ63" s="19">
        <v>7</v>
      </c>
      <c r="IA63" s="19">
        <v>6</v>
      </c>
      <c r="IB63" s="19">
        <v>11</v>
      </c>
    </row>
    <row r="64">
      <c r="A64" s="2" t="s">
        <v>511</v>
      </c>
      <c r="B64" s="2" t="s">
        <v>279</v>
      </c>
      <c r="C64" s="2" t="s">
        <v>280</v>
      </c>
      <c r="D64" s="2" t="s">
        <v>281</v>
      </c>
      <c r="E64" s="2" t="s">
        <v>282</v>
      </c>
      <c r="F64" s="2" t="s">
        <v>466</v>
      </c>
      <c r="G64" s="2" t="s">
        <v>466</v>
      </c>
      <c r="H64" s="2" t="s">
        <v>466</v>
      </c>
      <c r="I64" s="2" t="s">
        <v>467</v>
      </c>
      <c r="J64" s="2" t="s">
        <v>256</v>
      </c>
      <c r="K64" s="2" t="s">
        <v>300</v>
      </c>
      <c r="L64" s="3">
        <v>21.5</v>
      </c>
      <c r="M64" s="3">
        <v>22.58</v>
      </c>
      <c r="N64" s="3">
        <v>42.99</v>
      </c>
      <c r="O64" s="2" t="s">
        <v>230</v>
      </c>
      <c r="P64" s="2" t="s">
        <v>231</v>
      </c>
      <c r="Q64" s="2" t="s">
        <v>232</v>
      </c>
      <c r="R64" s="2" t="s">
        <v>233</v>
      </c>
      <c r="S64" s="2" t="s">
        <v>503</v>
      </c>
      <c r="T64" s="2" t="s">
        <v>469</v>
      </c>
      <c r="U64" s="2" t="s">
        <v>233</v>
      </c>
      <c r="V64" s="2" t="s">
        <v>236</v>
      </c>
      <c r="W64" s="2" t="s">
        <v>237</v>
      </c>
      <c r="X64" s="2" t="s">
        <v>233</v>
      </c>
      <c r="Y64" s="2" t="s">
        <v>238</v>
      </c>
      <c r="Z64" s="4">
        <v>317</v>
      </c>
      <c r="AA64" s="4">
        <f>=ROUNDDOWN(21.1333333333333,0)</f>
      </c>
      <c r="AB64" s="5">
        <v>15</v>
      </c>
      <c r="AC64" s="2" t="s">
        <v>139</v>
      </c>
      <c r="AD64" s="4">
        <v>40</v>
      </c>
      <c r="AE64" s="4">
        <v>180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233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233</v>
      </c>
      <c r="AW64" s="8" t="s">
        <v>233</v>
      </c>
      <c r="AX64" s="4" t="s">
        <v>233</v>
      </c>
      <c r="AY64" s="8" t="s">
        <v>233</v>
      </c>
      <c r="AZ64" s="7" t="s">
        <v>233</v>
      </c>
      <c r="BA64" s="7" t="s">
        <v>233</v>
      </c>
      <c r="BB64" s="7"/>
      <c r="BC64" s="4" t="s">
        <v>233</v>
      </c>
      <c r="BD64" s="8" t="s">
        <v>233</v>
      </c>
      <c r="BE64" s="4" t="s">
        <v>233</v>
      </c>
      <c r="BF64" s="8" t="s">
        <v>233</v>
      </c>
      <c r="BG64" s="7" t="s">
        <v>233</v>
      </c>
      <c r="BH64" s="7" t="s">
        <v>233</v>
      </c>
      <c r="BI64" s="7"/>
      <c r="BJ64" s="4">
        <v>62</v>
      </c>
      <c r="BK64" s="8">
        <v>1393.69</v>
      </c>
      <c r="BL64" s="2" t="s">
        <v>512</v>
      </c>
      <c r="BM64" s="7"/>
      <c r="BN64" s="7"/>
      <c r="BO64" s="4"/>
      <c r="BP64" s="8"/>
      <c r="BQ64" s="4"/>
      <c r="BR64" s="8"/>
      <c r="BS64" s="7"/>
      <c r="BT64" s="7"/>
      <c r="BU64" s="2" t="s">
        <v>471</v>
      </c>
      <c r="BV64" s="2" t="s">
        <v>233</v>
      </c>
      <c r="BW64" s="2" t="s">
        <v>233</v>
      </c>
      <c r="BX64" s="2" t="s">
        <v>241</v>
      </c>
      <c r="BY64" s="2" t="s">
        <v>242</v>
      </c>
      <c r="BZ64" s="2" t="s">
        <v>230</v>
      </c>
      <c r="CA64" s="2" t="s">
        <v>243</v>
      </c>
      <c r="CB64" s="2" t="s">
        <v>513</v>
      </c>
      <c r="CC64" s="2" t="s">
        <v>245</v>
      </c>
      <c r="CD64" s="2" t="s">
        <v>233</v>
      </c>
      <c r="CE64" s="4">
        <v>317</v>
      </c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>
        <v>40</v>
      </c>
      <c r="DB64" s="4"/>
      <c r="DC64" s="4"/>
      <c r="DD64" s="4"/>
      <c r="DE64" s="4"/>
      <c r="DF64" s="4"/>
      <c r="DG64" s="4"/>
      <c r="DH64" s="4"/>
      <c r="DI64" s="4">
        <v>110</v>
      </c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>
        <v>30</v>
      </c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>
        <v>343</v>
      </c>
      <c r="GD64" s="4">
        <v>311</v>
      </c>
      <c r="GE64" s="4">
        <v>336</v>
      </c>
      <c r="GF64" s="4">
        <v>319</v>
      </c>
      <c r="GG64" s="4">
        <v>394</v>
      </c>
      <c r="GH64" s="4">
        <v>358</v>
      </c>
      <c r="GI64" s="4">
        <v>358</v>
      </c>
      <c r="GJ64" s="4">
        <v>341</v>
      </c>
      <c r="GK64" s="4">
        <v>329</v>
      </c>
      <c r="GL64" s="4">
        <v>309</v>
      </c>
      <c r="GM64" s="4">
        <v>294</v>
      </c>
      <c r="GN64" s="4">
        <v>279</v>
      </c>
      <c r="GO64" s="4">
        <v>264</v>
      </c>
      <c r="GP64" s="4">
        <v>249</v>
      </c>
      <c r="GQ64" s="4">
        <v>234</v>
      </c>
      <c r="GR64" s="4">
        <v>219</v>
      </c>
      <c r="GS64" s="4">
        <v>204</v>
      </c>
      <c r="GT64" s="4">
        <v>189</v>
      </c>
      <c r="GU64" s="4">
        <v>174</v>
      </c>
      <c r="GV64" s="4">
        <v>157</v>
      </c>
      <c r="GW64" s="4">
        <v>140</v>
      </c>
      <c r="GX64" s="4">
        <v>123</v>
      </c>
      <c r="GY64" s="4">
        <v>106</v>
      </c>
      <c r="GZ64" s="4">
        <v>92</v>
      </c>
      <c r="HA64" s="4">
        <v>78</v>
      </c>
      <c r="HB64" s="4">
        <v>142</v>
      </c>
      <c r="HC64" s="19">
        <v>13.7</v>
      </c>
      <c r="HD64" s="19">
        <v>12</v>
      </c>
      <c r="HE64" s="19">
        <v>11.2</v>
      </c>
      <c r="HF64" s="19">
        <v>10.6</v>
      </c>
      <c r="HG64" s="19">
        <v>16.4</v>
      </c>
      <c r="HH64" s="19">
        <v>17.9</v>
      </c>
      <c r="HI64" s="19">
        <v>22.4</v>
      </c>
      <c r="HJ64" s="19">
        <v>21.3</v>
      </c>
      <c r="HK64" s="19">
        <v>20.6</v>
      </c>
      <c r="HL64" s="19">
        <v>20.6</v>
      </c>
      <c r="HM64" s="19">
        <v>19.6</v>
      </c>
      <c r="HN64" s="19">
        <v>18.6</v>
      </c>
      <c r="HO64" s="19">
        <v>17.6</v>
      </c>
      <c r="HP64" s="19">
        <v>16.6</v>
      </c>
      <c r="HQ64" s="19">
        <v>15.6</v>
      </c>
      <c r="HR64" s="19">
        <v>13.7</v>
      </c>
      <c r="HS64" s="19">
        <v>12.8</v>
      </c>
      <c r="HT64" s="19">
        <v>11.8</v>
      </c>
      <c r="HU64" s="19">
        <v>10.2</v>
      </c>
      <c r="HV64" s="19">
        <v>9.8</v>
      </c>
      <c r="HW64" s="19">
        <v>8.8</v>
      </c>
      <c r="HX64" s="19">
        <v>8.2</v>
      </c>
      <c r="HY64" s="19">
        <v>7.6</v>
      </c>
      <c r="HZ64" s="19">
        <v>6.6</v>
      </c>
      <c r="IA64" s="19">
        <v>5.6</v>
      </c>
      <c r="IB64" s="19">
        <v>10.1</v>
      </c>
    </row>
    <row r="65">
      <c r="A65" s="2" t="s">
        <v>514</v>
      </c>
      <c r="B65" s="2" t="s">
        <v>279</v>
      </c>
      <c r="C65" s="2" t="s">
        <v>280</v>
      </c>
      <c r="D65" s="2" t="s">
        <v>281</v>
      </c>
      <c r="E65" s="2" t="s">
        <v>282</v>
      </c>
      <c r="F65" s="2" t="s">
        <v>466</v>
      </c>
      <c r="G65" s="2" t="s">
        <v>466</v>
      </c>
      <c r="H65" s="2" t="s">
        <v>466</v>
      </c>
      <c r="I65" s="2" t="s">
        <v>467</v>
      </c>
      <c r="J65" s="2" t="s">
        <v>285</v>
      </c>
      <c r="K65" s="2" t="s">
        <v>300</v>
      </c>
      <c r="L65" s="3">
        <v>21.5</v>
      </c>
      <c r="M65" s="3">
        <v>22.58</v>
      </c>
      <c r="N65" s="3">
        <v>42.99</v>
      </c>
      <c r="O65" s="2" t="s">
        <v>230</v>
      </c>
      <c r="P65" s="2" t="s">
        <v>231</v>
      </c>
      <c r="Q65" s="2" t="s">
        <v>232</v>
      </c>
      <c r="R65" s="2" t="s">
        <v>233</v>
      </c>
      <c r="S65" s="2" t="s">
        <v>503</v>
      </c>
      <c r="T65" s="2" t="s">
        <v>469</v>
      </c>
      <c r="U65" s="2" t="s">
        <v>233</v>
      </c>
      <c r="V65" s="2" t="s">
        <v>236</v>
      </c>
      <c r="W65" s="2" t="s">
        <v>237</v>
      </c>
      <c r="X65" s="2" t="s">
        <v>233</v>
      </c>
      <c r="Y65" s="2" t="s">
        <v>238</v>
      </c>
      <c r="Z65" s="4">
        <v>128</v>
      </c>
      <c r="AA65" s="4">
        <f>=ROUNDDOWN(42.6666666666667,0)</f>
      </c>
      <c r="AB65" s="5">
        <v>3</v>
      </c>
      <c r="AC65" s="2" t="s">
        <v>233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233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233</v>
      </c>
      <c r="AW65" s="8" t="s">
        <v>233</v>
      </c>
      <c r="AX65" s="4" t="s">
        <v>233</v>
      </c>
      <c r="AY65" s="8" t="s">
        <v>233</v>
      </c>
      <c r="AZ65" s="7" t="s">
        <v>233</v>
      </c>
      <c r="BA65" s="7" t="s">
        <v>233</v>
      </c>
      <c r="BB65" s="7"/>
      <c r="BC65" s="4" t="s">
        <v>233</v>
      </c>
      <c r="BD65" s="8" t="s">
        <v>233</v>
      </c>
      <c r="BE65" s="4" t="s">
        <v>233</v>
      </c>
      <c r="BF65" s="8" t="s">
        <v>233</v>
      </c>
      <c r="BG65" s="7" t="s">
        <v>233</v>
      </c>
      <c r="BH65" s="7" t="s">
        <v>233</v>
      </c>
      <c r="BI65" s="7"/>
      <c r="BJ65" s="4">
        <v>15</v>
      </c>
      <c r="BK65" s="8">
        <v>322.4</v>
      </c>
      <c r="BL65" s="2" t="s">
        <v>515</v>
      </c>
      <c r="BM65" s="7"/>
      <c r="BN65" s="7"/>
      <c r="BO65" s="4"/>
      <c r="BP65" s="8"/>
      <c r="BQ65" s="4"/>
      <c r="BR65" s="8"/>
      <c r="BS65" s="7"/>
      <c r="BT65" s="7"/>
      <c r="BU65" s="2" t="s">
        <v>471</v>
      </c>
      <c r="BV65" s="2" t="s">
        <v>233</v>
      </c>
      <c r="BW65" s="2" t="s">
        <v>233</v>
      </c>
      <c r="BX65" s="2" t="s">
        <v>241</v>
      </c>
      <c r="BY65" s="2" t="s">
        <v>242</v>
      </c>
      <c r="BZ65" s="2" t="s">
        <v>230</v>
      </c>
      <c r="CA65" s="2" t="s">
        <v>243</v>
      </c>
      <c r="CB65" s="2" t="s">
        <v>516</v>
      </c>
      <c r="CC65" s="2" t="s">
        <v>245</v>
      </c>
      <c r="CD65" s="2" t="s">
        <v>233</v>
      </c>
      <c r="CE65" s="4">
        <v>128</v>
      </c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>
        <v>131</v>
      </c>
      <c r="GD65" s="4">
        <v>126</v>
      </c>
      <c r="GE65" s="4">
        <v>123</v>
      </c>
      <c r="GF65" s="4">
        <v>119</v>
      </c>
      <c r="GG65" s="4">
        <v>112</v>
      </c>
      <c r="GH65" s="4">
        <v>106</v>
      </c>
      <c r="GI65" s="4">
        <v>101</v>
      </c>
      <c r="GJ65" s="4">
        <v>99</v>
      </c>
      <c r="GK65" s="4">
        <v>97</v>
      </c>
      <c r="GL65" s="4">
        <v>94</v>
      </c>
      <c r="GM65" s="4">
        <v>90</v>
      </c>
      <c r="GN65" s="4">
        <v>86</v>
      </c>
      <c r="GO65" s="4">
        <v>82</v>
      </c>
      <c r="GP65" s="4">
        <v>78</v>
      </c>
      <c r="GQ65" s="4">
        <v>74</v>
      </c>
      <c r="GR65" s="4">
        <v>71</v>
      </c>
      <c r="GS65" s="4">
        <v>68</v>
      </c>
      <c r="GT65" s="4">
        <v>65</v>
      </c>
      <c r="GU65" s="4">
        <v>62</v>
      </c>
      <c r="GV65" s="4">
        <v>59</v>
      </c>
      <c r="GW65" s="4">
        <v>56</v>
      </c>
      <c r="GX65" s="4">
        <v>53</v>
      </c>
      <c r="GY65" s="4">
        <v>50</v>
      </c>
      <c r="GZ65" s="4">
        <v>47</v>
      </c>
      <c r="HA65" s="4">
        <v>44</v>
      </c>
      <c r="HB65" s="4">
        <v>41</v>
      </c>
      <c r="HC65" s="19">
        <v>26.2</v>
      </c>
      <c r="HD65" s="19">
        <v>25.2</v>
      </c>
      <c r="HE65" s="19">
        <v>20.5</v>
      </c>
      <c r="HF65" s="19">
        <v>23.8</v>
      </c>
      <c r="HG65" s="19">
        <v>28</v>
      </c>
      <c r="HH65" s="19">
        <v>35.3</v>
      </c>
      <c r="HI65" s="19">
        <v>33.7</v>
      </c>
      <c r="HJ65" s="19">
        <v>33</v>
      </c>
      <c r="HK65" s="19">
        <v>24.3</v>
      </c>
      <c r="HL65" s="19">
        <v>23.5</v>
      </c>
      <c r="HM65" s="19">
        <v>22.5</v>
      </c>
      <c r="HN65" s="19">
        <v>21.5</v>
      </c>
      <c r="HO65" s="19">
        <v>20.5</v>
      </c>
      <c r="HP65" s="19">
        <v>26</v>
      </c>
      <c r="HQ65" s="19">
        <v>24.7</v>
      </c>
      <c r="HR65" s="19">
        <v>23.7</v>
      </c>
      <c r="HS65" s="19">
        <v>22.7</v>
      </c>
      <c r="HT65" s="19">
        <v>21.7</v>
      </c>
      <c r="HU65" s="19">
        <v>20.7</v>
      </c>
      <c r="HV65" s="19">
        <v>19.7</v>
      </c>
      <c r="HW65" s="19">
        <v>18.7</v>
      </c>
      <c r="HX65" s="19">
        <v>17.7</v>
      </c>
      <c r="HY65" s="19">
        <v>16.7</v>
      </c>
      <c r="HZ65" s="19">
        <v>15.7</v>
      </c>
      <c r="IA65" s="19">
        <v>14.7</v>
      </c>
      <c r="IB65" s="19">
        <v>10.3</v>
      </c>
    </row>
    <row r="66">
      <c r="A66" s="2" t="s">
        <v>517</v>
      </c>
      <c r="B66" s="2" t="s">
        <v>279</v>
      </c>
      <c r="C66" s="2" t="s">
        <v>280</v>
      </c>
      <c r="D66" s="2" t="s">
        <v>281</v>
      </c>
      <c r="E66" s="2" t="s">
        <v>282</v>
      </c>
      <c r="F66" s="2" t="s">
        <v>466</v>
      </c>
      <c r="G66" s="2" t="s">
        <v>466</v>
      </c>
      <c r="H66" s="2" t="s">
        <v>466</v>
      </c>
      <c r="I66" s="2" t="s">
        <v>467</v>
      </c>
      <c r="J66" s="2" t="s">
        <v>228</v>
      </c>
      <c r="K66" s="2" t="s">
        <v>452</v>
      </c>
      <c r="L66" s="3">
        <v>13.44</v>
      </c>
      <c r="M66" s="3">
        <v>14.11</v>
      </c>
      <c r="N66" s="3">
        <v>27.99</v>
      </c>
      <c r="O66" s="2" t="s">
        <v>230</v>
      </c>
      <c r="P66" s="2" t="s">
        <v>231</v>
      </c>
      <c r="Q66" s="2" t="s">
        <v>232</v>
      </c>
      <c r="R66" s="2" t="s">
        <v>233</v>
      </c>
      <c r="S66" s="2" t="s">
        <v>518</v>
      </c>
      <c r="T66" s="2" t="s">
        <v>469</v>
      </c>
      <c r="U66" s="2" t="s">
        <v>233</v>
      </c>
      <c r="V66" s="2" t="s">
        <v>236</v>
      </c>
      <c r="W66" s="2" t="s">
        <v>237</v>
      </c>
      <c r="X66" s="2" t="s">
        <v>233</v>
      </c>
      <c r="Y66" s="2" t="s">
        <v>238</v>
      </c>
      <c r="Z66" s="4">
        <v>86</v>
      </c>
      <c r="AA66" s="4">
        <f>=ROUNDDOWN(28.6666666666667,0)</f>
      </c>
      <c r="AB66" s="5">
        <v>3</v>
      </c>
      <c r="AC66" s="2" t="s">
        <v>233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233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233</v>
      </c>
      <c r="AW66" s="8" t="s">
        <v>233</v>
      </c>
      <c r="AX66" s="4" t="s">
        <v>233</v>
      </c>
      <c r="AY66" s="8" t="s">
        <v>233</v>
      </c>
      <c r="AZ66" s="7" t="s">
        <v>233</v>
      </c>
      <c r="BA66" s="7" t="s">
        <v>233</v>
      </c>
      <c r="BB66" s="7"/>
      <c r="BC66" s="4" t="s">
        <v>233</v>
      </c>
      <c r="BD66" s="8" t="s">
        <v>233</v>
      </c>
      <c r="BE66" s="4" t="s">
        <v>233</v>
      </c>
      <c r="BF66" s="8" t="s">
        <v>233</v>
      </c>
      <c r="BG66" s="7" t="s">
        <v>233</v>
      </c>
      <c r="BH66" s="7" t="s">
        <v>233</v>
      </c>
      <c r="BI66" s="7"/>
      <c r="BJ66" s="4">
        <v>18</v>
      </c>
      <c r="BK66" s="8">
        <v>254.78</v>
      </c>
      <c r="BL66" s="2" t="s">
        <v>519</v>
      </c>
      <c r="BM66" s="7"/>
      <c r="BN66" s="7"/>
      <c r="BO66" s="4"/>
      <c r="BP66" s="8"/>
      <c r="BQ66" s="4"/>
      <c r="BR66" s="8"/>
      <c r="BS66" s="7"/>
      <c r="BT66" s="7"/>
      <c r="BU66" s="2" t="s">
        <v>471</v>
      </c>
      <c r="BV66" s="2" t="s">
        <v>233</v>
      </c>
      <c r="BW66" s="2" t="s">
        <v>233</v>
      </c>
      <c r="BX66" s="2" t="s">
        <v>241</v>
      </c>
      <c r="BY66" s="2" t="s">
        <v>242</v>
      </c>
      <c r="BZ66" s="2" t="s">
        <v>230</v>
      </c>
      <c r="CA66" s="2" t="s">
        <v>243</v>
      </c>
      <c r="CB66" s="2" t="s">
        <v>520</v>
      </c>
      <c r="CC66" s="2" t="s">
        <v>245</v>
      </c>
      <c r="CD66" s="2" t="s">
        <v>233</v>
      </c>
      <c r="CE66" s="4">
        <v>86</v>
      </c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>
        <v>91</v>
      </c>
      <c r="GD66" s="4">
        <v>84</v>
      </c>
      <c r="GE66" s="4">
        <v>80</v>
      </c>
      <c r="GF66" s="4">
        <v>76</v>
      </c>
      <c r="GG66" s="4">
        <v>67</v>
      </c>
      <c r="GH66" s="4">
        <v>58</v>
      </c>
      <c r="GI66" s="4">
        <v>50</v>
      </c>
      <c r="GJ66" s="4">
        <v>46</v>
      </c>
      <c r="GK66" s="4">
        <v>43</v>
      </c>
      <c r="GL66" s="4">
        <v>38</v>
      </c>
      <c r="GM66" s="4">
        <v>35</v>
      </c>
      <c r="GN66" s="4">
        <v>32</v>
      </c>
      <c r="GO66" s="4">
        <v>29</v>
      </c>
      <c r="GP66" s="4">
        <v>26</v>
      </c>
      <c r="GQ66" s="4">
        <v>23</v>
      </c>
      <c r="GR66" s="4">
        <v>20</v>
      </c>
      <c r="GS66" s="4">
        <v>17</v>
      </c>
      <c r="GT66" s="4">
        <v>14</v>
      </c>
      <c r="GU66" s="4">
        <v>11</v>
      </c>
      <c r="GV66" s="4">
        <v>89</v>
      </c>
      <c r="GW66" s="4">
        <v>85</v>
      </c>
      <c r="GX66" s="4">
        <v>81</v>
      </c>
      <c r="GY66" s="4">
        <v>77</v>
      </c>
      <c r="GZ66" s="4">
        <v>72</v>
      </c>
      <c r="HA66" s="4">
        <v>67</v>
      </c>
      <c r="HB66" s="4">
        <v>62</v>
      </c>
      <c r="HC66" s="19">
        <v>15.2</v>
      </c>
      <c r="HD66" s="19">
        <v>14</v>
      </c>
      <c r="HE66" s="19">
        <v>10</v>
      </c>
      <c r="HF66" s="19">
        <v>9.5</v>
      </c>
      <c r="HG66" s="19">
        <v>11.2</v>
      </c>
      <c r="HH66" s="19">
        <v>11.6</v>
      </c>
      <c r="HI66" s="19">
        <v>12.5</v>
      </c>
      <c r="HJ66" s="19">
        <v>11.5</v>
      </c>
      <c r="HK66" s="19">
        <v>10.8</v>
      </c>
      <c r="HL66" s="19">
        <v>12.7</v>
      </c>
      <c r="HM66" s="19">
        <v>11.7</v>
      </c>
      <c r="HN66" s="19">
        <v>10.7</v>
      </c>
      <c r="HO66" s="19">
        <v>9.7</v>
      </c>
      <c r="HP66" s="19">
        <v>8.7</v>
      </c>
      <c r="HQ66" s="19">
        <v>7.7</v>
      </c>
      <c r="HR66" s="19">
        <v>6.7</v>
      </c>
      <c r="HS66" s="19">
        <v>4.3</v>
      </c>
      <c r="HT66" s="19">
        <v>3.5</v>
      </c>
      <c r="HU66" s="19">
        <v>2.8</v>
      </c>
      <c r="HV66" s="19">
        <v>22.3</v>
      </c>
      <c r="HW66" s="19">
        <v>21.3</v>
      </c>
      <c r="HX66" s="19">
        <v>16.2</v>
      </c>
      <c r="HY66" s="19">
        <v>15.4</v>
      </c>
      <c r="HZ66" s="19">
        <v>14.4</v>
      </c>
      <c r="IA66" s="19">
        <v>16.8</v>
      </c>
      <c r="IB66" s="19">
        <v>15.5</v>
      </c>
    </row>
    <row r="67">
      <c r="A67" s="2" t="s">
        <v>521</v>
      </c>
      <c r="B67" s="2" t="s">
        <v>279</v>
      </c>
      <c r="C67" s="2" t="s">
        <v>280</v>
      </c>
      <c r="D67" s="2" t="s">
        <v>281</v>
      </c>
      <c r="E67" s="2" t="s">
        <v>282</v>
      </c>
      <c r="F67" s="2" t="s">
        <v>466</v>
      </c>
      <c r="G67" s="2" t="s">
        <v>466</v>
      </c>
      <c r="H67" s="2" t="s">
        <v>466</v>
      </c>
      <c r="I67" s="2" t="s">
        <v>467</v>
      </c>
      <c r="J67" s="2" t="s">
        <v>247</v>
      </c>
      <c r="K67" s="2" t="s">
        <v>452</v>
      </c>
      <c r="L67" s="3">
        <v>15.19</v>
      </c>
      <c r="M67" s="3">
        <v>15.95</v>
      </c>
      <c r="N67" s="3">
        <v>30.99</v>
      </c>
      <c r="O67" s="2" t="s">
        <v>230</v>
      </c>
      <c r="P67" s="2" t="s">
        <v>231</v>
      </c>
      <c r="Q67" s="2" t="s">
        <v>232</v>
      </c>
      <c r="R67" s="2" t="s">
        <v>233</v>
      </c>
      <c r="S67" s="2" t="s">
        <v>518</v>
      </c>
      <c r="T67" s="2" t="s">
        <v>469</v>
      </c>
      <c r="U67" s="2" t="s">
        <v>233</v>
      </c>
      <c r="V67" s="2" t="s">
        <v>236</v>
      </c>
      <c r="W67" s="2" t="s">
        <v>237</v>
      </c>
      <c r="X67" s="2" t="s">
        <v>233</v>
      </c>
      <c r="Y67" s="2" t="s">
        <v>238</v>
      </c>
      <c r="Z67" s="4">
        <v>347</v>
      </c>
      <c r="AA67" s="4">
        <f>=ROUNDDOWN(105.151515151515,0)</f>
      </c>
      <c r="AB67" s="5">
        <v>3.3</v>
      </c>
      <c r="AC67" s="2" t="s">
        <v>233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233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233</v>
      </c>
      <c r="AW67" s="8" t="s">
        <v>233</v>
      </c>
      <c r="AX67" s="4" t="s">
        <v>233</v>
      </c>
      <c r="AY67" s="8" t="s">
        <v>233</v>
      </c>
      <c r="AZ67" s="7" t="s">
        <v>233</v>
      </c>
      <c r="BA67" s="7" t="s">
        <v>233</v>
      </c>
      <c r="BB67" s="7"/>
      <c r="BC67" s="4" t="s">
        <v>233</v>
      </c>
      <c r="BD67" s="8" t="s">
        <v>233</v>
      </c>
      <c r="BE67" s="4" t="s">
        <v>233</v>
      </c>
      <c r="BF67" s="8" t="s">
        <v>233</v>
      </c>
      <c r="BG67" s="7" t="s">
        <v>233</v>
      </c>
      <c r="BH67" s="7" t="s">
        <v>233</v>
      </c>
      <c r="BI67" s="7"/>
      <c r="BJ67" s="4">
        <v>17</v>
      </c>
      <c r="BK67" s="8">
        <v>269.06</v>
      </c>
      <c r="BL67" s="2" t="s">
        <v>522</v>
      </c>
      <c r="BM67" s="7"/>
      <c r="BN67" s="7"/>
      <c r="BO67" s="4"/>
      <c r="BP67" s="8"/>
      <c r="BQ67" s="4"/>
      <c r="BR67" s="8"/>
      <c r="BS67" s="7"/>
      <c r="BT67" s="7"/>
      <c r="BU67" s="2" t="s">
        <v>471</v>
      </c>
      <c r="BV67" s="2" t="s">
        <v>233</v>
      </c>
      <c r="BW67" s="2" t="s">
        <v>233</v>
      </c>
      <c r="BX67" s="2" t="s">
        <v>241</v>
      </c>
      <c r="BY67" s="2" t="s">
        <v>242</v>
      </c>
      <c r="BZ67" s="2" t="s">
        <v>230</v>
      </c>
      <c r="CA67" s="2" t="s">
        <v>243</v>
      </c>
      <c r="CB67" s="2" t="s">
        <v>523</v>
      </c>
      <c r="CC67" s="2" t="s">
        <v>245</v>
      </c>
      <c r="CD67" s="2" t="s">
        <v>233</v>
      </c>
      <c r="CE67" s="4">
        <v>347</v>
      </c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>
        <v>355</v>
      </c>
      <c r="GD67" s="4">
        <v>349</v>
      </c>
      <c r="GE67" s="4">
        <v>345</v>
      </c>
      <c r="GF67" s="4">
        <v>340</v>
      </c>
      <c r="GG67" s="4">
        <v>331</v>
      </c>
      <c r="GH67" s="4">
        <v>319</v>
      </c>
      <c r="GI67" s="4">
        <v>309</v>
      </c>
      <c r="GJ67" s="4">
        <v>304</v>
      </c>
      <c r="GK67" s="4">
        <v>300</v>
      </c>
      <c r="GL67" s="4">
        <v>293</v>
      </c>
      <c r="GM67" s="4">
        <v>290</v>
      </c>
      <c r="GN67" s="4">
        <v>287</v>
      </c>
      <c r="GO67" s="4">
        <v>284</v>
      </c>
      <c r="GP67" s="4">
        <v>281</v>
      </c>
      <c r="GQ67" s="4">
        <v>278</v>
      </c>
      <c r="GR67" s="4">
        <v>276</v>
      </c>
      <c r="GS67" s="4">
        <v>274</v>
      </c>
      <c r="GT67" s="4">
        <v>272</v>
      </c>
      <c r="GU67" s="4">
        <v>270</v>
      </c>
      <c r="GV67" s="4">
        <v>267</v>
      </c>
      <c r="GW67" s="4">
        <v>264</v>
      </c>
      <c r="GX67" s="4">
        <v>261</v>
      </c>
      <c r="GY67" s="4">
        <v>258</v>
      </c>
      <c r="GZ67" s="4">
        <v>255</v>
      </c>
      <c r="HA67" s="4">
        <v>252</v>
      </c>
      <c r="HB67" s="4">
        <v>249</v>
      </c>
      <c r="HC67" s="19">
        <v>59.2</v>
      </c>
      <c r="HD67" s="19">
        <v>43.6</v>
      </c>
      <c r="HE67" s="19">
        <v>38.3</v>
      </c>
      <c r="HF67" s="19">
        <v>37.8</v>
      </c>
      <c r="HG67" s="19">
        <v>41.4</v>
      </c>
      <c r="HH67" s="19">
        <v>53.2</v>
      </c>
      <c r="HI67" s="19">
        <v>61.8</v>
      </c>
      <c r="HJ67" s="19">
        <v>76</v>
      </c>
      <c r="HK67" s="19">
        <v>75</v>
      </c>
      <c r="HL67" s="19">
        <v>97.7</v>
      </c>
      <c r="HM67" s="19">
        <v>96.7</v>
      </c>
      <c r="HN67" s="19">
        <v>95.7</v>
      </c>
      <c r="HO67" s="19">
        <v>142</v>
      </c>
      <c r="HP67" s="19">
        <v>140.5</v>
      </c>
      <c r="HQ67" s="19">
        <v>139</v>
      </c>
      <c r="HR67" s="19">
        <v>138</v>
      </c>
      <c r="HS67" s="19">
        <v>137</v>
      </c>
      <c r="HT67" s="19">
        <v>90.7</v>
      </c>
      <c r="HU67" s="19">
        <v>90</v>
      </c>
      <c r="HV67" s="19">
        <v>89</v>
      </c>
      <c r="HW67" s="19">
        <v>88</v>
      </c>
      <c r="HX67" s="19">
        <v>87</v>
      </c>
      <c r="HY67" s="19">
        <v>86</v>
      </c>
      <c r="HZ67" s="19">
        <v>85</v>
      </c>
      <c r="IA67" s="19">
        <v>63</v>
      </c>
      <c r="IB67" s="19">
        <v>62.3</v>
      </c>
    </row>
    <row r="68">
      <c r="A68" s="2" t="s">
        <v>524</v>
      </c>
      <c r="B68" s="2" t="s">
        <v>279</v>
      </c>
      <c r="C68" s="2" t="s">
        <v>280</v>
      </c>
      <c r="D68" s="2" t="s">
        <v>281</v>
      </c>
      <c r="E68" s="2" t="s">
        <v>282</v>
      </c>
      <c r="F68" s="2" t="s">
        <v>466</v>
      </c>
      <c r="G68" s="2" t="s">
        <v>466</v>
      </c>
      <c r="H68" s="2" t="s">
        <v>466</v>
      </c>
      <c r="I68" s="2" t="s">
        <v>467</v>
      </c>
      <c r="J68" s="2" t="s">
        <v>336</v>
      </c>
      <c r="K68" s="2" t="s">
        <v>452</v>
      </c>
      <c r="L68" s="3">
        <v>19</v>
      </c>
      <c r="M68" s="3">
        <v>19.95</v>
      </c>
      <c r="N68" s="3">
        <v>37.99</v>
      </c>
      <c r="O68" s="2" t="s">
        <v>230</v>
      </c>
      <c r="P68" s="2" t="s">
        <v>231</v>
      </c>
      <c r="Q68" s="2" t="s">
        <v>232</v>
      </c>
      <c r="R68" s="2" t="s">
        <v>233</v>
      </c>
      <c r="S68" s="2" t="s">
        <v>518</v>
      </c>
      <c r="T68" s="2" t="s">
        <v>469</v>
      </c>
      <c r="U68" s="2" t="s">
        <v>233</v>
      </c>
      <c r="V68" s="2" t="s">
        <v>236</v>
      </c>
      <c r="W68" s="2" t="s">
        <v>237</v>
      </c>
      <c r="X68" s="2" t="s">
        <v>233</v>
      </c>
      <c r="Y68" s="2" t="s">
        <v>238</v>
      </c>
      <c r="Z68" s="4">
        <v>176</v>
      </c>
      <c r="AA68" s="4">
        <f>=ROUNDDOWN(7.33333333333333,0)</f>
      </c>
      <c r="AB68" s="5">
        <v>24</v>
      </c>
      <c r="AC68" s="2" t="s">
        <v>139</v>
      </c>
      <c r="AD68" s="4">
        <v>100</v>
      </c>
      <c r="AE68" s="4">
        <v>680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233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233</v>
      </c>
      <c r="AW68" s="8" t="s">
        <v>233</v>
      </c>
      <c r="AX68" s="4" t="s">
        <v>233</v>
      </c>
      <c r="AY68" s="8" t="s">
        <v>233</v>
      </c>
      <c r="AZ68" s="7" t="s">
        <v>233</v>
      </c>
      <c r="BA68" s="7" t="s">
        <v>233</v>
      </c>
      <c r="BB68" s="7"/>
      <c r="BC68" s="4" t="s">
        <v>233</v>
      </c>
      <c r="BD68" s="8" t="s">
        <v>233</v>
      </c>
      <c r="BE68" s="4" t="s">
        <v>233</v>
      </c>
      <c r="BF68" s="8" t="s">
        <v>233</v>
      </c>
      <c r="BG68" s="7" t="s">
        <v>233</v>
      </c>
      <c r="BH68" s="7" t="s">
        <v>233</v>
      </c>
      <c r="BI68" s="7"/>
      <c r="BJ68" s="4">
        <v>67</v>
      </c>
      <c r="BK68" s="8">
        <v>1263.71</v>
      </c>
      <c r="BL68" s="2" t="s">
        <v>525</v>
      </c>
      <c r="BM68" s="7"/>
      <c r="BN68" s="7"/>
      <c r="BO68" s="4"/>
      <c r="BP68" s="8"/>
      <c r="BQ68" s="4"/>
      <c r="BR68" s="8"/>
      <c r="BS68" s="7"/>
      <c r="BT68" s="7"/>
      <c r="BU68" s="2" t="s">
        <v>471</v>
      </c>
      <c r="BV68" s="2" t="s">
        <v>233</v>
      </c>
      <c r="BW68" s="2" t="s">
        <v>233</v>
      </c>
      <c r="BX68" s="2" t="s">
        <v>241</v>
      </c>
      <c r="BY68" s="2" t="s">
        <v>242</v>
      </c>
      <c r="BZ68" s="2" t="s">
        <v>230</v>
      </c>
      <c r="CA68" s="2" t="s">
        <v>243</v>
      </c>
      <c r="CB68" s="2" t="s">
        <v>526</v>
      </c>
      <c r="CC68" s="2" t="s">
        <v>245</v>
      </c>
      <c r="CD68" s="2" t="s">
        <v>233</v>
      </c>
      <c r="CE68" s="4">
        <v>176</v>
      </c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>
        <v>100</v>
      </c>
      <c r="DB68" s="4"/>
      <c r="DC68" s="4"/>
      <c r="DD68" s="4"/>
      <c r="DE68" s="4"/>
      <c r="DF68" s="4"/>
      <c r="DG68" s="4"/>
      <c r="DH68" s="4"/>
      <c r="DI68" s="4">
        <v>140</v>
      </c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>
        <v>320</v>
      </c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>
        <v>120</v>
      </c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>
        <v>185</v>
      </c>
      <c r="GD68" s="4">
        <v>162</v>
      </c>
      <c r="GE68" s="4">
        <v>236</v>
      </c>
      <c r="GF68" s="4">
        <v>207</v>
      </c>
      <c r="GG68" s="4">
        <v>285</v>
      </c>
      <c r="GH68" s="4">
        <v>220</v>
      </c>
      <c r="GI68" s="4">
        <v>487</v>
      </c>
      <c r="GJ68" s="4">
        <v>458</v>
      </c>
      <c r="GK68" s="4">
        <v>436</v>
      </c>
      <c r="GL68" s="4">
        <v>400</v>
      </c>
      <c r="GM68" s="4">
        <v>371</v>
      </c>
      <c r="GN68" s="4">
        <v>342</v>
      </c>
      <c r="GO68" s="4">
        <v>433</v>
      </c>
      <c r="GP68" s="4">
        <v>404</v>
      </c>
      <c r="GQ68" s="4">
        <v>375</v>
      </c>
      <c r="GR68" s="4">
        <v>346</v>
      </c>
      <c r="GS68" s="4">
        <v>317</v>
      </c>
      <c r="GT68" s="4">
        <v>288</v>
      </c>
      <c r="GU68" s="4">
        <v>259</v>
      </c>
      <c r="GV68" s="4">
        <v>578</v>
      </c>
      <c r="GW68" s="4">
        <v>554</v>
      </c>
      <c r="GX68" s="4">
        <v>530</v>
      </c>
      <c r="GY68" s="4">
        <v>506</v>
      </c>
      <c r="GZ68" s="4">
        <v>484</v>
      </c>
      <c r="HA68" s="4">
        <v>462</v>
      </c>
      <c r="HB68" s="4">
        <v>440</v>
      </c>
      <c r="HC68" s="19">
        <v>5.3</v>
      </c>
      <c r="HD68" s="19">
        <v>3.5</v>
      </c>
      <c r="HE68" s="19">
        <v>4.5</v>
      </c>
      <c r="HF68" s="19">
        <v>4</v>
      </c>
      <c r="HG68" s="19">
        <v>6.8</v>
      </c>
      <c r="HH68" s="19">
        <v>6.3</v>
      </c>
      <c r="HI68" s="19">
        <v>16.8</v>
      </c>
      <c r="HJ68" s="19">
        <v>15.8</v>
      </c>
      <c r="HK68" s="19">
        <v>14.1</v>
      </c>
      <c r="HL68" s="19">
        <v>13.8</v>
      </c>
      <c r="HM68" s="19">
        <v>12.8</v>
      </c>
      <c r="HN68" s="19">
        <v>11.8</v>
      </c>
      <c r="HO68" s="19">
        <v>14.9</v>
      </c>
      <c r="HP68" s="19">
        <v>13.9</v>
      </c>
      <c r="HQ68" s="19">
        <v>12.9</v>
      </c>
      <c r="HR68" s="19">
        <v>12.4</v>
      </c>
      <c r="HS68" s="19">
        <v>12.2</v>
      </c>
      <c r="HT68" s="19">
        <v>11.5</v>
      </c>
      <c r="HU68" s="19">
        <v>10.8</v>
      </c>
      <c r="HV68" s="19">
        <v>24.1</v>
      </c>
      <c r="HW68" s="19">
        <v>24.1</v>
      </c>
      <c r="HX68" s="19">
        <v>24.1</v>
      </c>
      <c r="HY68" s="19">
        <v>23</v>
      </c>
      <c r="HZ68" s="19">
        <v>22</v>
      </c>
      <c r="IA68" s="19">
        <v>21</v>
      </c>
      <c r="IB68" s="19">
        <v>19.1</v>
      </c>
    </row>
    <row r="69">
      <c r="A69" s="2" t="s">
        <v>527</v>
      </c>
      <c r="B69" s="2" t="s">
        <v>279</v>
      </c>
      <c r="C69" s="2" t="s">
        <v>280</v>
      </c>
      <c r="D69" s="2" t="s">
        <v>281</v>
      </c>
      <c r="E69" s="2" t="s">
        <v>282</v>
      </c>
      <c r="F69" s="2" t="s">
        <v>466</v>
      </c>
      <c r="G69" s="2" t="s">
        <v>466</v>
      </c>
      <c r="H69" s="2" t="s">
        <v>466</v>
      </c>
      <c r="I69" s="2" t="s">
        <v>467</v>
      </c>
      <c r="J69" s="2" t="s">
        <v>256</v>
      </c>
      <c r="K69" s="2" t="s">
        <v>452</v>
      </c>
      <c r="L69" s="3">
        <v>21.5</v>
      </c>
      <c r="M69" s="3">
        <v>22.58</v>
      </c>
      <c r="N69" s="3">
        <v>42.99</v>
      </c>
      <c r="O69" s="2" t="s">
        <v>230</v>
      </c>
      <c r="P69" s="2" t="s">
        <v>231</v>
      </c>
      <c r="Q69" s="2" t="s">
        <v>232</v>
      </c>
      <c r="R69" s="2" t="s">
        <v>233</v>
      </c>
      <c r="S69" s="2" t="s">
        <v>518</v>
      </c>
      <c r="T69" s="2" t="s">
        <v>469</v>
      </c>
      <c r="U69" s="2" t="s">
        <v>233</v>
      </c>
      <c r="V69" s="2" t="s">
        <v>236</v>
      </c>
      <c r="W69" s="2" t="s">
        <v>237</v>
      </c>
      <c r="X69" s="2" t="s">
        <v>233</v>
      </c>
      <c r="Y69" s="2" t="s">
        <v>238</v>
      </c>
      <c r="Z69" s="4">
        <v>112</v>
      </c>
      <c r="AA69" s="4">
        <f>=ROUNDDOWN(7.46666666666667,0)</f>
      </c>
      <c r="AB69" s="5">
        <v>15</v>
      </c>
      <c r="AC69" s="2" t="s">
        <v>139</v>
      </c>
      <c r="AD69" s="4">
        <v>150</v>
      </c>
      <c r="AE69" s="4">
        <v>540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233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233</v>
      </c>
      <c r="AW69" s="8" t="s">
        <v>233</v>
      </c>
      <c r="AX69" s="4" t="s">
        <v>233</v>
      </c>
      <c r="AY69" s="8" t="s">
        <v>233</v>
      </c>
      <c r="AZ69" s="7" t="s">
        <v>233</v>
      </c>
      <c r="BA69" s="7" t="s">
        <v>233</v>
      </c>
      <c r="BB69" s="7"/>
      <c r="BC69" s="4" t="s">
        <v>233</v>
      </c>
      <c r="BD69" s="8" t="s">
        <v>233</v>
      </c>
      <c r="BE69" s="4" t="s">
        <v>233</v>
      </c>
      <c r="BF69" s="8" t="s">
        <v>233</v>
      </c>
      <c r="BG69" s="7" t="s">
        <v>233</v>
      </c>
      <c r="BH69" s="7" t="s">
        <v>233</v>
      </c>
      <c r="BI69" s="7"/>
      <c r="BJ69" s="4">
        <v>38</v>
      </c>
      <c r="BK69" s="8">
        <v>839.88</v>
      </c>
      <c r="BL69" s="2" t="s">
        <v>528</v>
      </c>
      <c r="BM69" s="7"/>
      <c r="BN69" s="7"/>
      <c r="BO69" s="4"/>
      <c r="BP69" s="8"/>
      <c r="BQ69" s="4"/>
      <c r="BR69" s="8"/>
      <c r="BS69" s="7"/>
      <c r="BT69" s="7"/>
      <c r="BU69" s="2" t="s">
        <v>471</v>
      </c>
      <c r="BV69" s="2" t="s">
        <v>233</v>
      </c>
      <c r="BW69" s="2" t="s">
        <v>233</v>
      </c>
      <c r="BX69" s="2" t="s">
        <v>241</v>
      </c>
      <c r="BY69" s="2" t="s">
        <v>242</v>
      </c>
      <c r="BZ69" s="2" t="s">
        <v>230</v>
      </c>
      <c r="CA69" s="2" t="s">
        <v>243</v>
      </c>
      <c r="CB69" s="2" t="s">
        <v>529</v>
      </c>
      <c r="CC69" s="2" t="s">
        <v>245</v>
      </c>
      <c r="CD69" s="2" t="s">
        <v>233</v>
      </c>
      <c r="CE69" s="4">
        <v>112</v>
      </c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>
        <v>150</v>
      </c>
      <c r="DB69" s="4"/>
      <c r="DC69" s="4"/>
      <c r="DD69" s="4"/>
      <c r="DE69" s="4"/>
      <c r="DF69" s="4"/>
      <c r="DG69" s="4"/>
      <c r="DH69" s="4"/>
      <c r="DI69" s="4">
        <v>100</v>
      </c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>
        <v>190</v>
      </c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>
        <v>100</v>
      </c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>
        <v>129</v>
      </c>
      <c r="GD69" s="4">
        <v>97</v>
      </c>
      <c r="GE69" s="4">
        <v>232</v>
      </c>
      <c r="GF69" s="4">
        <v>216</v>
      </c>
      <c r="GG69" s="4">
        <v>283</v>
      </c>
      <c r="GH69" s="4">
        <v>248</v>
      </c>
      <c r="GI69" s="4">
        <v>409</v>
      </c>
      <c r="GJ69" s="4">
        <v>393</v>
      </c>
      <c r="GK69" s="4">
        <v>381</v>
      </c>
      <c r="GL69" s="4">
        <v>362</v>
      </c>
      <c r="GM69" s="4">
        <v>347</v>
      </c>
      <c r="GN69" s="4">
        <v>332</v>
      </c>
      <c r="GO69" s="4">
        <v>417</v>
      </c>
      <c r="GP69" s="4">
        <v>402</v>
      </c>
      <c r="GQ69" s="4">
        <v>387</v>
      </c>
      <c r="GR69" s="4">
        <v>372</v>
      </c>
      <c r="GS69" s="4">
        <v>357</v>
      </c>
      <c r="GT69" s="4">
        <v>342</v>
      </c>
      <c r="GU69" s="4">
        <v>327</v>
      </c>
      <c r="GV69" s="4">
        <v>335</v>
      </c>
      <c r="GW69" s="4">
        <v>319</v>
      </c>
      <c r="GX69" s="4">
        <v>303</v>
      </c>
      <c r="GY69" s="4">
        <v>287</v>
      </c>
      <c r="GZ69" s="4">
        <v>273</v>
      </c>
      <c r="HA69" s="4">
        <v>259</v>
      </c>
      <c r="HB69" s="4">
        <v>245</v>
      </c>
      <c r="HC69" s="19">
        <v>5.4</v>
      </c>
      <c r="HD69" s="19">
        <v>3.9</v>
      </c>
      <c r="HE69" s="19">
        <v>8.3</v>
      </c>
      <c r="HF69" s="19">
        <v>7.7</v>
      </c>
      <c r="HG69" s="19">
        <v>12.3</v>
      </c>
      <c r="HH69" s="19">
        <v>13.1</v>
      </c>
      <c r="HI69" s="19">
        <v>25.6</v>
      </c>
      <c r="HJ69" s="19">
        <v>26.2</v>
      </c>
      <c r="HK69" s="19">
        <v>23.8</v>
      </c>
      <c r="HL69" s="19">
        <v>24.1</v>
      </c>
      <c r="HM69" s="19">
        <v>23.1</v>
      </c>
      <c r="HN69" s="19">
        <v>22.1</v>
      </c>
      <c r="HO69" s="19">
        <v>27.8</v>
      </c>
      <c r="HP69" s="19">
        <v>26.8</v>
      </c>
      <c r="HQ69" s="19">
        <v>25.8</v>
      </c>
      <c r="HR69" s="19">
        <v>24.8</v>
      </c>
      <c r="HS69" s="19">
        <v>22.3</v>
      </c>
      <c r="HT69" s="19">
        <v>21.4</v>
      </c>
      <c r="HU69" s="19">
        <v>20.4</v>
      </c>
      <c r="HV69" s="19">
        <v>20.9</v>
      </c>
      <c r="HW69" s="19">
        <v>21.3</v>
      </c>
      <c r="HX69" s="19">
        <v>21.6</v>
      </c>
      <c r="HY69" s="19">
        <v>20.5</v>
      </c>
      <c r="HZ69" s="19">
        <v>19.5</v>
      </c>
      <c r="IA69" s="19">
        <v>18.5</v>
      </c>
      <c r="IB69" s="19">
        <v>17.5</v>
      </c>
    </row>
    <row r="70">
      <c r="A70" s="2" t="s">
        <v>530</v>
      </c>
      <c r="B70" s="2" t="s">
        <v>279</v>
      </c>
      <c r="C70" s="2" t="s">
        <v>280</v>
      </c>
      <c r="D70" s="2" t="s">
        <v>281</v>
      </c>
      <c r="E70" s="2" t="s">
        <v>282</v>
      </c>
      <c r="F70" s="2" t="s">
        <v>466</v>
      </c>
      <c r="G70" s="2" t="s">
        <v>466</v>
      </c>
      <c r="H70" s="2" t="s">
        <v>466</v>
      </c>
      <c r="I70" s="2" t="s">
        <v>467</v>
      </c>
      <c r="J70" s="2" t="s">
        <v>285</v>
      </c>
      <c r="K70" s="2" t="s">
        <v>452</v>
      </c>
      <c r="L70" s="3">
        <v>21.5</v>
      </c>
      <c r="M70" s="3">
        <v>22.58</v>
      </c>
      <c r="N70" s="3">
        <v>42.99</v>
      </c>
      <c r="O70" s="2" t="s">
        <v>230</v>
      </c>
      <c r="P70" s="2" t="s">
        <v>231</v>
      </c>
      <c r="Q70" s="2" t="s">
        <v>232</v>
      </c>
      <c r="R70" s="2" t="s">
        <v>233</v>
      </c>
      <c r="S70" s="2" t="s">
        <v>518</v>
      </c>
      <c r="T70" s="2" t="s">
        <v>469</v>
      </c>
      <c r="U70" s="2" t="s">
        <v>233</v>
      </c>
      <c r="V70" s="2" t="s">
        <v>236</v>
      </c>
      <c r="W70" s="2" t="s">
        <v>237</v>
      </c>
      <c r="X70" s="2" t="s">
        <v>233</v>
      </c>
      <c r="Y70" s="2" t="s">
        <v>238</v>
      </c>
      <c r="Z70" s="4">
        <v>78</v>
      </c>
      <c r="AA70" s="4">
        <f>=ROUNDDOWN(37.1428571428571,0)</f>
      </c>
      <c r="AB70" s="5">
        <v>2.1</v>
      </c>
      <c r="AC70" s="2" t="s">
        <v>490</v>
      </c>
      <c r="AD70" s="4">
        <v>20</v>
      </c>
      <c r="AE70" s="4">
        <v>20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233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233</v>
      </c>
      <c r="AW70" s="8" t="s">
        <v>233</v>
      </c>
      <c r="AX70" s="4" t="s">
        <v>233</v>
      </c>
      <c r="AY70" s="8" t="s">
        <v>233</v>
      </c>
      <c r="AZ70" s="7" t="s">
        <v>233</v>
      </c>
      <c r="BA70" s="7" t="s">
        <v>233</v>
      </c>
      <c r="BB70" s="7"/>
      <c r="BC70" s="4" t="s">
        <v>233</v>
      </c>
      <c r="BD70" s="8" t="s">
        <v>233</v>
      </c>
      <c r="BE70" s="4" t="s">
        <v>233</v>
      </c>
      <c r="BF70" s="8" t="s">
        <v>233</v>
      </c>
      <c r="BG70" s="7" t="s">
        <v>233</v>
      </c>
      <c r="BH70" s="7" t="s">
        <v>233</v>
      </c>
      <c r="BI70" s="7"/>
      <c r="BJ70" s="4">
        <v>10</v>
      </c>
      <c r="BK70" s="8">
        <v>221.12</v>
      </c>
      <c r="BL70" s="2" t="s">
        <v>531</v>
      </c>
      <c r="BM70" s="7"/>
      <c r="BN70" s="7"/>
      <c r="BO70" s="4"/>
      <c r="BP70" s="8"/>
      <c r="BQ70" s="4"/>
      <c r="BR70" s="8"/>
      <c r="BS70" s="7"/>
      <c r="BT70" s="7"/>
      <c r="BU70" s="2" t="s">
        <v>471</v>
      </c>
      <c r="BV70" s="2" t="s">
        <v>233</v>
      </c>
      <c r="BW70" s="2" t="s">
        <v>233</v>
      </c>
      <c r="BX70" s="2" t="s">
        <v>241</v>
      </c>
      <c r="BY70" s="2" t="s">
        <v>242</v>
      </c>
      <c r="BZ70" s="2" t="s">
        <v>230</v>
      </c>
      <c r="CA70" s="2" t="s">
        <v>243</v>
      </c>
      <c r="CB70" s="2" t="s">
        <v>532</v>
      </c>
      <c r="CC70" s="2" t="s">
        <v>245</v>
      </c>
      <c r="CD70" s="2" t="s">
        <v>233</v>
      </c>
      <c r="CE70" s="4">
        <v>78</v>
      </c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>
        <v>20</v>
      </c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>
        <v>78</v>
      </c>
      <c r="GD70" s="4">
        <v>77</v>
      </c>
      <c r="GE70" s="4">
        <v>75</v>
      </c>
      <c r="GF70" s="4">
        <v>73</v>
      </c>
      <c r="GG70" s="4">
        <v>68</v>
      </c>
      <c r="GH70" s="4">
        <v>64</v>
      </c>
      <c r="GI70" s="4">
        <v>81</v>
      </c>
      <c r="GJ70" s="4">
        <v>79</v>
      </c>
      <c r="GK70" s="4">
        <v>78</v>
      </c>
      <c r="GL70" s="4">
        <v>76</v>
      </c>
      <c r="GM70" s="4">
        <v>74</v>
      </c>
      <c r="GN70" s="4">
        <v>72</v>
      </c>
      <c r="GO70" s="4">
        <v>70</v>
      </c>
      <c r="GP70" s="4">
        <v>68</v>
      </c>
      <c r="GQ70" s="4">
        <v>66</v>
      </c>
      <c r="GR70" s="4">
        <v>64</v>
      </c>
      <c r="GS70" s="4">
        <v>62</v>
      </c>
      <c r="GT70" s="4">
        <v>60</v>
      </c>
      <c r="GU70" s="4">
        <v>58</v>
      </c>
      <c r="GV70" s="4">
        <v>56</v>
      </c>
      <c r="GW70" s="4">
        <v>54</v>
      </c>
      <c r="GX70" s="4">
        <v>52</v>
      </c>
      <c r="GY70" s="4">
        <v>50</v>
      </c>
      <c r="GZ70" s="4">
        <v>48</v>
      </c>
      <c r="HA70" s="4">
        <v>46</v>
      </c>
      <c r="HB70" s="4">
        <v>44</v>
      </c>
      <c r="HC70" s="19">
        <v>39</v>
      </c>
      <c r="HD70" s="19">
        <v>25.7</v>
      </c>
      <c r="HE70" s="19">
        <v>18.8</v>
      </c>
      <c r="HF70" s="19">
        <v>18.3</v>
      </c>
      <c r="HG70" s="19">
        <v>34</v>
      </c>
      <c r="HH70" s="19">
        <v>32</v>
      </c>
      <c r="HI70" s="19">
        <v>40.5</v>
      </c>
      <c r="HJ70" s="19">
        <v>39.5</v>
      </c>
      <c r="HK70" s="19">
        <v>39</v>
      </c>
      <c r="HL70" s="19">
        <v>38</v>
      </c>
      <c r="HM70" s="19">
        <v>37</v>
      </c>
      <c r="HN70" s="19">
        <v>36</v>
      </c>
      <c r="HO70" s="19">
        <v>35</v>
      </c>
      <c r="HP70" s="19">
        <v>34</v>
      </c>
      <c r="HQ70" s="19">
        <v>33</v>
      </c>
      <c r="HR70" s="19">
        <v>32</v>
      </c>
      <c r="HS70" s="19">
        <v>31</v>
      </c>
      <c r="HT70" s="19">
        <v>30</v>
      </c>
      <c r="HU70" s="19">
        <v>29</v>
      </c>
      <c r="HV70" s="19">
        <v>28</v>
      </c>
      <c r="HW70" s="19">
        <v>27</v>
      </c>
      <c r="HX70" s="19">
        <v>26</v>
      </c>
      <c r="HY70" s="19">
        <v>25</v>
      </c>
      <c r="HZ70" s="19">
        <v>24</v>
      </c>
      <c r="IA70" s="19">
        <v>23</v>
      </c>
      <c r="IB70" s="19">
        <v>22</v>
      </c>
    </row>
    <row r="71">
      <c r="A71" s="2" t="s">
        <v>533</v>
      </c>
      <c r="B71" s="2" t="s">
        <v>279</v>
      </c>
      <c r="C71" s="2" t="s">
        <v>280</v>
      </c>
      <c r="D71" s="2" t="s">
        <v>281</v>
      </c>
      <c r="E71" s="2" t="s">
        <v>282</v>
      </c>
      <c r="F71" s="2" t="s">
        <v>466</v>
      </c>
      <c r="G71" s="2" t="s">
        <v>466</v>
      </c>
      <c r="H71" s="2" t="s">
        <v>466</v>
      </c>
      <c r="I71" s="2" t="s">
        <v>467</v>
      </c>
      <c r="J71" s="2" t="s">
        <v>228</v>
      </c>
      <c r="K71" s="2" t="s">
        <v>534</v>
      </c>
      <c r="L71" s="3">
        <v>13.44</v>
      </c>
      <c r="M71" s="3">
        <v>14.11</v>
      </c>
      <c r="N71" s="3">
        <v>27.99</v>
      </c>
      <c r="O71" s="2" t="s">
        <v>230</v>
      </c>
      <c r="P71" s="2" t="s">
        <v>231</v>
      </c>
      <c r="Q71" s="2" t="s">
        <v>232</v>
      </c>
      <c r="R71" s="2" t="s">
        <v>233</v>
      </c>
      <c r="S71" s="2" t="s">
        <v>535</v>
      </c>
      <c r="T71" s="2" t="s">
        <v>469</v>
      </c>
      <c r="U71" s="2" t="s">
        <v>233</v>
      </c>
      <c r="V71" s="2" t="s">
        <v>236</v>
      </c>
      <c r="W71" s="2" t="s">
        <v>237</v>
      </c>
      <c r="X71" s="2" t="s">
        <v>233</v>
      </c>
      <c r="Y71" s="2" t="s">
        <v>238</v>
      </c>
      <c r="Z71" s="4">
        <v>112</v>
      </c>
      <c r="AA71" s="4">
        <f>=ROUNDDOWN(28,0)</f>
      </c>
      <c r="AB71" s="5">
        <v>4</v>
      </c>
      <c r="AC71" s="2" t="s">
        <v>474</v>
      </c>
      <c r="AD71" s="4">
        <v>70</v>
      </c>
      <c r="AE71" s="4">
        <v>70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233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233</v>
      </c>
      <c r="AW71" s="8" t="s">
        <v>233</v>
      </c>
      <c r="AX71" s="4" t="s">
        <v>233</v>
      </c>
      <c r="AY71" s="8" t="s">
        <v>233</v>
      </c>
      <c r="AZ71" s="7" t="s">
        <v>233</v>
      </c>
      <c r="BA71" s="7" t="s">
        <v>233</v>
      </c>
      <c r="BB71" s="7"/>
      <c r="BC71" s="4" t="s">
        <v>233</v>
      </c>
      <c r="BD71" s="8" t="s">
        <v>233</v>
      </c>
      <c r="BE71" s="4" t="s">
        <v>233</v>
      </c>
      <c r="BF71" s="8" t="s">
        <v>233</v>
      </c>
      <c r="BG71" s="7" t="s">
        <v>233</v>
      </c>
      <c r="BH71" s="7" t="s">
        <v>233</v>
      </c>
      <c r="BI71" s="7"/>
      <c r="BJ71" s="4">
        <v>5</v>
      </c>
      <c r="BK71" s="8">
        <v>68.91</v>
      </c>
      <c r="BL71" s="2" t="s">
        <v>536</v>
      </c>
      <c r="BM71" s="7"/>
      <c r="BN71" s="7"/>
      <c r="BO71" s="4"/>
      <c r="BP71" s="8"/>
      <c r="BQ71" s="4"/>
      <c r="BR71" s="8"/>
      <c r="BS71" s="7"/>
      <c r="BT71" s="7"/>
      <c r="BU71" s="2" t="s">
        <v>471</v>
      </c>
      <c r="BV71" s="2" t="s">
        <v>233</v>
      </c>
      <c r="BW71" s="2" t="s">
        <v>233</v>
      </c>
      <c r="BX71" s="2" t="s">
        <v>241</v>
      </c>
      <c r="BY71" s="2" t="s">
        <v>242</v>
      </c>
      <c r="BZ71" s="2" t="s">
        <v>230</v>
      </c>
      <c r="CA71" s="2" t="s">
        <v>243</v>
      </c>
      <c r="CB71" s="2" t="s">
        <v>532</v>
      </c>
      <c r="CC71" s="2" t="s">
        <v>245</v>
      </c>
      <c r="CD71" s="2" t="s">
        <v>233</v>
      </c>
      <c r="CE71" s="4">
        <v>112</v>
      </c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>
        <v>70</v>
      </c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>
        <v>112</v>
      </c>
      <c r="GD71" s="4">
        <v>110</v>
      </c>
      <c r="GE71" s="4">
        <v>105</v>
      </c>
      <c r="GF71" s="4">
        <v>99</v>
      </c>
      <c r="GG71" s="4">
        <v>87</v>
      </c>
      <c r="GH71" s="4">
        <v>75</v>
      </c>
      <c r="GI71" s="4">
        <v>65</v>
      </c>
      <c r="GJ71" s="4">
        <v>60</v>
      </c>
      <c r="GK71" s="4">
        <v>56</v>
      </c>
      <c r="GL71" s="4">
        <v>49</v>
      </c>
      <c r="GM71" s="4">
        <v>45</v>
      </c>
      <c r="GN71" s="4">
        <v>41</v>
      </c>
      <c r="GO71" s="4">
        <v>107</v>
      </c>
      <c r="GP71" s="4">
        <v>103</v>
      </c>
      <c r="GQ71" s="4">
        <v>99</v>
      </c>
      <c r="GR71" s="4">
        <v>95</v>
      </c>
      <c r="GS71" s="4">
        <v>91</v>
      </c>
      <c r="GT71" s="4">
        <v>87</v>
      </c>
      <c r="GU71" s="4">
        <v>83</v>
      </c>
      <c r="GV71" s="4">
        <v>78</v>
      </c>
      <c r="GW71" s="4">
        <v>73</v>
      </c>
      <c r="GX71" s="4">
        <v>68</v>
      </c>
      <c r="GY71" s="4">
        <v>63</v>
      </c>
      <c r="GZ71" s="4">
        <v>56</v>
      </c>
      <c r="HA71" s="4">
        <v>49</v>
      </c>
      <c r="HB71" s="4">
        <v>42</v>
      </c>
      <c r="HC71" s="19">
        <v>18.7</v>
      </c>
      <c r="HD71" s="19">
        <v>12.2</v>
      </c>
      <c r="HE71" s="19">
        <v>10.5</v>
      </c>
      <c r="HF71" s="19">
        <v>9.9</v>
      </c>
      <c r="HG71" s="19">
        <v>10.9</v>
      </c>
      <c r="HH71" s="19">
        <v>12.5</v>
      </c>
      <c r="HI71" s="19">
        <v>13</v>
      </c>
      <c r="HJ71" s="19">
        <v>12</v>
      </c>
      <c r="HK71" s="19">
        <v>11.2</v>
      </c>
      <c r="HL71" s="19">
        <v>12.3</v>
      </c>
      <c r="HM71" s="19">
        <v>11.3</v>
      </c>
      <c r="HN71" s="19">
        <v>10.3</v>
      </c>
      <c r="HO71" s="19">
        <v>26.8</v>
      </c>
      <c r="HP71" s="19">
        <v>25.8</v>
      </c>
      <c r="HQ71" s="19">
        <v>24.8</v>
      </c>
      <c r="HR71" s="19">
        <v>23.8</v>
      </c>
      <c r="HS71" s="19">
        <v>22.8</v>
      </c>
      <c r="HT71" s="19">
        <v>17.4</v>
      </c>
      <c r="HU71" s="19">
        <v>16.6</v>
      </c>
      <c r="HV71" s="19">
        <v>13</v>
      </c>
      <c r="HW71" s="19">
        <v>12.2</v>
      </c>
      <c r="HX71" s="19">
        <v>11.3</v>
      </c>
      <c r="HY71" s="19">
        <v>9</v>
      </c>
      <c r="HZ71" s="19">
        <v>8</v>
      </c>
      <c r="IA71" s="19">
        <v>8.2</v>
      </c>
      <c r="IB71" s="19">
        <v>7</v>
      </c>
    </row>
    <row r="72">
      <c r="A72" s="2" t="s">
        <v>537</v>
      </c>
      <c r="B72" s="2" t="s">
        <v>279</v>
      </c>
      <c r="C72" s="2" t="s">
        <v>280</v>
      </c>
      <c r="D72" s="2" t="s">
        <v>281</v>
      </c>
      <c r="E72" s="2" t="s">
        <v>282</v>
      </c>
      <c r="F72" s="2" t="s">
        <v>466</v>
      </c>
      <c r="G72" s="2" t="s">
        <v>466</v>
      </c>
      <c r="H72" s="2" t="s">
        <v>466</v>
      </c>
      <c r="I72" s="2" t="s">
        <v>467</v>
      </c>
      <c r="J72" s="2" t="s">
        <v>252</v>
      </c>
      <c r="K72" s="2" t="s">
        <v>534</v>
      </c>
      <c r="L72" s="3">
        <v>16.5</v>
      </c>
      <c r="M72" s="3">
        <v>17.32</v>
      </c>
      <c r="N72" s="3">
        <v>32.99</v>
      </c>
      <c r="O72" s="2" t="s">
        <v>230</v>
      </c>
      <c r="P72" s="2" t="s">
        <v>231</v>
      </c>
      <c r="Q72" s="2" t="s">
        <v>232</v>
      </c>
      <c r="R72" s="2" t="s">
        <v>233</v>
      </c>
      <c r="S72" s="2" t="s">
        <v>535</v>
      </c>
      <c r="T72" s="2" t="s">
        <v>469</v>
      </c>
      <c r="U72" s="2" t="s">
        <v>233</v>
      </c>
      <c r="V72" s="2" t="s">
        <v>236</v>
      </c>
      <c r="W72" s="2" t="s">
        <v>237</v>
      </c>
      <c r="X72" s="2" t="s">
        <v>233</v>
      </c>
      <c r="Y72" s="2" t="s">
        <v>238</v>
      </c>
      <c r="Z72" s="4">
        <v>67</v>
      </c>
      <c r="AA72" s="4">
        <f>=ROUNDDOWN(19.1428571428571,0)</f>
      </c>
      <c r="AB72" s="5">
        <v>3.5</v>
      </c>
      <c r="AC72" s="2" t="s">
        <v>147</v>
      </c>
      <c r="AD72" s="4">
        <v>50</v>
      </c>
      <c r="AE72" s="4">
        <v>120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233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233</v>
      </c>
      <c r="AW72" s="8" t="s">
        <v>233</v>
      </c>
      <c r="AX72" s="4" t="s">
        <v>233</v>
      </c>
      <c r="AY72" s="8" t="s">
        <v>233</v>
      </c>
      <c r="AZ72" s="7" t="s">
        <v>233</v>
      </c>
      <c r="BA72" s="7" t="s">
        <v>233</v>
      </c>
      <c r="BB72" s="7"/>
      <c r="BC72" s="4" t="s">
        <v>233</v>
      </c>
      <c r="BD72" s="8" t="s">
        <v>233</v>
      </c>
      <c r="BE72" s="4" t="s">
        <v>233</v>
      </c>
      <c r="BF72" s="8" t="s">
        <v>233</v>
      </c>
      <c r="BG72" s="7" t="s">
        <v>233</v>
      </c>
      <c r="BH72" s="7" t="s">
        <v>233</v>
      </c>
      <c r="BI72" s="7"/>
      <c r="BJ72" s="4">
        <v>18</v>
      </c>
      <c r="BK72" s="8">
        <v>287.42</v>
      </c>
      <c r="BL72" s="2" t="s">
        <v>538</v>
      </c>
      <c r="BM72" s="7"/>
      <c r="BN72" s="7"/>
      <c r="BO72" s="4"/>
      <c r="BP72" s="8"/>
      <c r="BQ72" s="4"/>
      <c r="BR72" s="8"/>
      <c r="BS72" s="7"/>
      <c r="BT72" s="7"/>
      <c r="BU72" s="2" t="s">
        <v>471</v>
      </c>
      <c r="BV72" s="2" t="s">
        <v>233</v>
      </c>
      <c r="BW72" s="2" t="s">
        <v>233</v>
      </c>
      <c r="BX72" s="2" t="s">
        <v>241</v>
      </c>
      <c r="BY72" s="2" t="s">
        <v>242</v>
      </c>
      <c r="BZ72" s="2" t="s">
        <v>230</v>
      </c>
      <c r="CA72" s="2" t="s">
        <v>243</v>
      </c>
      <c r="CB72" s="2" t="s">
        <v>539</v>
      </c>
      <c r="CC72" s="2" t="s">
        <v>245</v>
      </c>
      <c r="CD72" s="2" t="s">
        <v>233</v>
      </c>
      <c r="CE72" s="4">
        <v>67</v>
      </c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>
        <v>50</v>
      </c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>
        <v>70</v>
      </c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>
        <v>69</v>
      </c>
      <c r="GD72" s="4">
        <v>65</v>
      </c>
      <c r="GE72" s="4">
        <v>60</v>
      </c>
      <c r="GF72" s="4">
        <v>54</v>
      </c>
      <c r="GG72" s="4">
        <v>92</v>
      </c>
      <c r="GH72" s="4">
        <v>80</v>
      </c>
      <c r="GI72" s="4">
        <v>70</v>
      </c>
      <c r="GJ72" s="4">
        <v>65</v>
      </c>
      <c r="GK72" s="4">
        <v>61</v>
      </c>
      <c r="GL72" s="4">
        <v>55</v>
      </c>
      <c r="GM72" s="4">
        <v>51</v>
      </c>
      <c r="GN72" s="4">
        <v>47</v>
      </c>
      <c r="GO72" s="4">
        <v>113</v>
      </c>
      <c r="GP72" s="4">
        <v>109</v>
      </c>
      <c r="GQ72" s="4">
        <v>105</v>
      </c>
      <c r="GR72" s="4">
        <v>101</v>
      </c>
      <c r="GS72" s="4">
        <v>97</v>
      </c>
      <c r="GT72" s="4">
        <v>93</v>
      </c>
      <c r="GU72" s="4">
        <v>89</v>
      </c>
      <c r="GV72" s="4">
        <v>85</v>
      </c>
      <c r="GW72" s="4">
        <v>81</v>
      </c>
      <c r="GX72" s="4">
        <v>77</v>
      </c>
      <c r="GY72" s="4">
        <v>73</v>
      </c>
      <c r="GZ72" s="4">
        <v>69</v>
      </c>
      <c r="HA72" s="4">
        <v>65</v>
      </c>
      <c r="HB72" s="4">
        <v>61</v>
      </c>
      <c r="HC72" s="19">
        <v>9.9</v>
      </c>
      <c r="HD72" s="19">
        <v>7.2</v>
      </c>
      <c r="HE72" s="19">
        <v>6</v>
      </c>
      <c r="HF72" s="19">
        <v>5.4</v>
      </c>
      <c r="HG72" s="19">
        <v>11.5</v>
      </c>
      <c r="HH72" s="19">
        <v>13.3</v>
      </c>
      <c r="HI72" s="19">
        <v>14</v>
      </c>
      <c r="HJ72" s="19">
        <v>16.3</v>
      </c>
      <c r="HK72" s="19">
        <v>15.3</v>
      </c>
      <c r="HL72" s="19">
        <v>13.8</v>
      </c>
      <c r="HM72" s="19">
        <v>12.8</v>
      </c>
      <c r="HN72" s="19">
        <v>11.8</v>
      </c>
      <c r="HO72" s="19">
        <v>28.3</v>
      </c>
      <c r="HP72" s="19">
        <v>27.3</v>
      </c>
      <c r="HQ72" s="19">
        <v>26.3</v>
      </c>
      <c r="HR72" s="19">
        <v>25.3</v>
      </c>
      <c r="HS72" s="19">
        <v>24.3</v>
      </c>
      <c r="HT72" s="19">
        <v>23.3</v>
      </c>
      <c r="HU72" s="19">
        <v>22.3</v>
      </c>
      <c r="HV72" s="19">
        <v>21.3</v>
      </c>
      <c r="HW72" s="19">
        <v>20.3</v>
      </c>
      <c r="HX72" s="19">
        <v>19.3</v>
      </c>
      <c r="HY72" s="19">
        <v>18.3</v>
      </c>
      <c r="HZ72" s="19">
        <v>17.3</v>
      </c>
      <c r="IA72" s="19">
        <v>16.3</v>
      </c>
      <c r="IB72" s="19">
        <v>15.3</v>
      </c>
    </row>
    <row r="73">
      <c r="A73" s="2" t="s">
        <v>540</v>
      </c>
      <c r="B73" s="2" t="s">
        <v>279</v>
      </c>
      <c r="C73" s="2" t="s">
        <v>280</v>
      </c>
      <c r="D73" s="2" t="s">
        <v>281</v>
      </c>
      <c r="E73" s="2" t="s">
        <v>282</v>
      </c>
      <c r="F73" s="2" t="s">
        <v>466</v>
      </c>
      <c r="G73" s="2" t="s">
        <v>466</v>
      </c>
      <c r="H73" s="2" t="s">
        <v>466</v>
      </c>
      <c r="I73" s="2" t="s">
        <v>467</v>
      </c>
      <c r="J73" s="2" t="s">
        <v>256</v>
      </c>
      <c r="K73" s="2" t="s">
        <v>534</v>
      </c>
      <c r="L73" s="3">
        <v>21.5</v>
      </c>
      <c r="M73" s="3">
        <v>22.58</v>
      </c>
      <c r="N73" s="3">
        <v>42.99</v>
      </c>
      <c r="O73" s="2" t="s">
        <v>230</v>
      </c>
      <c r="P73" s="2" t="s">
        <v>231</v>
      </c>
      <c r="Q73" s="2" t="s">
        <v>232</v>
      </c>
      <c r="R73" s="2" t="s">
        <v>233</v>
      </c>
      <c r="S73" s="2" t="s">
        <v>535</v>
      </c>
      <c r="T73" s="2" t="s">
        <v>469</v>
      </c>
      <c r="U73" s="2" t="s">
        <v>233</v>
      </c>
      <c r="V73" s="2" t="s">
        <v>236</v>
      </c>
      <c r="W73" s="2" t="s">
        <v>237</v>
      </c>
      <c r="X73" s="2" t="s">
        <v>233</v>
      </c>
      <c r="Y73" s="2" t="s">
        <v>238</v>
      </c>
      <c r="Z73" s="4">
        <v>177</v>
      </c>
      <c r="AA73" s="4">
        <f>=ROUNDDOWN(13.3082706766917,0)</f>
      </c>
      <c r="AB73" s="5">
        <v>13.3</v>
      </c>
      <c r="AC73" s="2" t="s">
        <v>147</v>
      </c>
      <c r="AD73" s="4">
        <v>100</v>
      </c>
      <c r="AE73" s="4">
        <v>280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233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233</v>
      </c>
      <c r="AW73" s="8" t="s">
        <v>233</v>
      </c>
      <c r="AX73" s="4" t="s">
        <v>233</v>
      </c>
      <c r="AY73" s="8" t="s">
        <v>233</v>
      </c>
      <c r="AZ73" s="7" t="s">
        <v>233</v>
      </c>
      <c r="BA73" s="7" t="s">
        <v>233</v>
      </c>
      <c r="BB73" s="7"/>
      <c r="BC73" s="4" t="s">
        <v>233</v>
      </c>
      <c r="BD73" s="8" t="s">
        <v>233</v>
      </c>
      <c r="BE73" s="4" t="s">
        <v>233</v>
      </c>
      <c r="BF73" s="8" t="s">
        <v>233</v>
      </c>
      <c r="BG73" s="7" t="s">
        <v>233</v>
      </c>
      <c r="BH73" s="7" t="s">
        <v>233</v>
      </c>
      <c r="BI73" s="7"/>
      <c r="BJ73" s="4">
        <v>35</v>
      </c>
      <c r="BK73" s="8">
        <v>793.4</v>
      </c>
      <c r="BL73" s="2" t="s">
        <v>541</v>
      </c>
      <c r="BM73" s="7"/>
      <c r="BN73" s="7"/>
      <c r="BO73" s="4"/>
      <c r="BP73" s="8"/>
      <c r="BQ73" s="4"/>
      <c r="BR73" s="8"/>
      <c r="BS73" s="7"/>
      <c r="BT73" s="7"/>
      <c r="BU73" s="2" t="s">
        <v>471</v>
      </c>
      <c r="BV73" s="2" t="s">
        <v>233</v>
      </c>
      <c r="BW73" s="2" t="s">
        <v>233</v>
      </c>
      <c r="BX73" s="2" t="s">
        <v>241</v>
      </c>
      <c r="BY73" s="2" t="s">
        <v>242</v>
      </c>
      <c r="BZ73" s="2" t="s">
        <v>230</v>
      </c>
      <c r="CA73" s="2" t="s">
        <v>243</v>
      </c>
      <c r="CB73" s="2" t="s">
        <v>542</v>
      </c>
      <c r="CC73" s="2" t="s">
        <v>245</v>
      </c>
      <c r="CD73" s="2" t="s">
        <v>233</v>
      </c>
      <c r="CE73" s="4">
        <v>177</v>
      </c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>
        <v>100</v>
      </c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>
        <v>180</v>
      </c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>
        <v>196</v>
      </c>
      <c r="GD73" s="4">
        <v>172</v>
      </c>
      <c r="GE73" s="4">
        <v>159</v>
      </c>
      <c r="GF73" s="4">
        <v>145</v>
      </c>
      <c r="GG73" s="4">
        <v>215</v>
      </c>
      <c r="GH73" s="4">
        <v>184</v>
      </c>
      <c r="GI73" s="4">
        <v>158</v>
      </c>
      <c r="GJ73" s="4">
        <v>144</v>
      </c>
      <c r="GK73" s="4">
        <v>134</v>
      </c>
      <c r="GL73" s="4">
        <v>117</v>
      </c>
      <c r="GM73" s="4">
        <v>104</v>
      </c>
      <c r="GN73" s="4">
        <v>91</v>
      </c>
      <c r="GO73" s="4">
        <v>258</v>
      </c>
      <c r="GP73" s="4">
        <v>245</v>
      </c>
      <c r="GQ73" s="4">
        <v>232</v>
      </c>
      <c r="GR73" s="4">
        <v>219</v>
      </c>
      <c r="GS73" s="4">
        <v>206</v>
      </c>
      <c r="GT73" s="4">
        <v>193</v>
      </c>
      <c r="GU73" s="4">
        <v>180</v>
      </c>
      <c r="GV73" s="4">
        <v>166</v>
      </c>
      <c r="GW73" s="4">
        <v>152</v>
      </c>
      <c r="GX73" s="4">
        <v>138</v>
      </c>
      <c r="GY73" s="4">
        <v>124</v>
      </c>
      <c r="GZ73" s="4">
        <v>112</v>
      </c>
      <c r="HA73" s="4">
        <v>100</v>
      </c>
      <c r="HB73" s="4">
        <v>88</v>
      </c>
      <c r="HC73" s="19">
        <v>9.8</v>
      </c>
      <c r="HD73" s="19">
        <v>7.8</v>
      </c>
      <c r="HE73" s="19">
        <v>6.4</v>
      </c>
      <c r="HF73" s="19">
        <v>5.8</v>
      </c>
      <c r="HG73" s="19">
        <v>10.8</v>
      </c>
      <c r="HH73" s="19">
        <v>10.8</v>
      </c>
      <c r="HI73" s="19">
        <v>11.3</v>
      </c>
      <c r="HJ73" s="19">
        <v>11.1</v>
      </c>
      <c r="HK73" s="19">
        <v>9.6</v>
      </c>
      <c r="HL73" s="19">
        <v>9</v>
      </c>
      <c r="HM73" s="19">
        <v>8</v>
      </c>
      <c r="HN73" s="19">
        <v>7</v>
      </c>
      <c r="HO73" s="19">
        <v>19.8</v>
      </c>
      <c r="HP73" s="19">
        <v>18.8</v>
      </c>
      <c r="HQ73" s="19">
        <v>17.8</v>
      </c>
      <c r="HR73" s="19">
        <v>16.8</v>
      </c>
      <c r="HS73" s="19">
        <v>14.7</v>
      </c>
      <c r="HT73" s="19">
        <v>13.8</v>
      </c>
      <c r="HU73" s="19">
        <v>12.9</v>
      </c>
      <c r="HV73" s="19">
        <v>11.9</v>
      </c>
      <c r="HW73" s="19">
        <v>11.7</v>
      </c>
      <c r="HX73" s="19">
        <v>11.5</v>
      </c>
      <c r="HY73" s="19">
        <v>10.3</v>
      </c>
      <c r="HZ73" s="19">
        <v>9.3</v>
      </c>
      <c r="IA73" s="19">
        <v>8.3</v>
      </c>
      <c r="IB73" s="19">
        <v>7.3</v>
      </c>
    </row>
    <row r="74">
      <c r="A74" s="2" t="s">
        <v>543</v>
      </c>
      <c r="B74" s="2" t="s">
        <v>279</v>
      </c>
      <c r="C74" s="2" t="s">
        <v>280</v>
      </c>
      <c r="D74" s="2" t="s">
        <v>281</v>
      </c>
      <c r="E74" s="2" t="s">
        <v>282</v>
      </c>
      <c r="F74" s="2" t="s">
        <v>466</v>
      </c>
      <c r="G74" s="2" t="s">
        <v>466</v>
      </c>
      <c r="H74" s="2" t="s">
        <v>466</v>
      </c>
      <c r="I74" s="2" t="s">
        <v>467</v>
      </c>
      <c r="J74" s="2" t="s">
        <v>285</v>
      </c>
      <c r="K74" s="2" t="s">
        <v>534</v>
      </c>
      <c r="L74" s="3">
        <v>21.5</v>
      </c>
      <c r="M74" s="3">
        <v>22.58</v>
      </c>
      <c r="N74" s="3">
        <v>42.99</v>
      </c>
      <c r="O74" s="2" t="s">
        <v>230</v>
      </c>
      <c r="P74" s="2" t="s">
        <v>231</v>
      </c>
      <c r="Q74" s="2" t="s">
        <v>232</v>
      </c>
      <c r="R74" s="2" t="s">
        <v>233</v>
      </c>
      <c r="S74" s="2" t="s">
        <v>535</v>
      </c>
      <c r="T74" s="2" t="s">
        <v>469</v>
      </c>
      <c r="U74" s="2" t="s">
        <v>233</v>
      </c>
      <c r="V74" s="2" t="s">
        <v>236</v>
      </c>
      <c r="W74" s="2" t="s">
        <v>237</v>
      </c>
      <c r="X74" s="2" t="s">
        <v>233</v>
      </c>
      <c r="Y74" s="2" t="s">
        <v>238</v>
      </c>
      <c r="Z74" s="4">
        <v>97</v>
      </c>
      <c r="AA74" s="4">
        <f>=ROUNDDOWN(40.4166666666667,0)</f>
      </c>
      <c r="AB74" s="5">
        <v>2.4</v>
      </c>
      <c r="AC74" s="2" t="s">
        <v>233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233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233</v>
      </c>
      <c r="AW74" s="8" t="s">
        <v>233</v>
      </c>
      <c r="AX74" s="4" t="s">
        <v>233</v>
      </c>
      <c r="AY74" s="8" t="s">
        <v>233</v>
      </c>
      <c r="AZ74" s="7" t="s">
        <v>233</v>
      </c>
      <c r="BA74" s="7" t="s">
        <v>233</v>
      </c>
      <c r="BB74" s="7"/>
      <c r="BC74" s="4" t="s">
        <v>233</v>
      </c>
      <c r="BD74" s="8" t="s">
        <v>233</v>
      </c>
      <c r="BE74" s="4" t="s">
        <v>233</v>
      </c>
      <c r="BF74" s="8" t="s">
        <v>233</v>
      </c>
      <c r="BG74" s="7" t="s">
        <v>233</v>
      </c>
      <c r="BH74" s="7" t="s">
        <v>233</v>
      </c>
      <c r="BI74" s="7"/>
      <c r="BJ74" s="4">
        <v>10</v>
      </c>
      <c r="BK74" s="8">
        <v>219.96</v>
      </c>
      <c r="BL74" s="2" t="s">
        <v>531</v>
      </c>
      <c r="BM74" s="7"/>
      <c r="BN74" s="7"/>
      <c r="BO74" s="4"/>
      <c r="BP74" s="8"/>
      <c r="BQ74" s="4"/>
      <c r="BR74" s="8"/>
      <c r="BS74" s="7"/>
      <c r="BT74" s="7"/>
      <c r="BU74" s="2" t="s">
        <v>471</v>
      </c>
      <c r="BV74" s="2" t="s">
        <v>233</v>
      </c>
      <c r="BW74" s="2" t="s">
        <v>233</v>
      </c>
      <c r="BX74" s="2" t="s">
        <v>241</v>
      </c>
      <c r="BY74" s="2" t="s">
        <v>242</v>
      </c>
      <c r="BZ74" s="2" t="s">
        <v>230</v>
      </c>
      <c r="CA74" s="2" t="s">
        <v>243</v>
      </c>
      <c r="CB74" s="2" t="s">
        <v>532</v>
      </c>
      <c r="CC74" s="2" t="s">
        <v>245</v>
      </c>
      <c r="CD74" s="2" t="s">
        <v>233</v>
      </c>
      <c r="CE74" s="4">
        <v>97</v>
      </c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>
        <v>98</v>
      </c>
      <c r="GD74" s="4">
        <v>96</v>
      </c>
      <c r="GE74" s="4">
        <v>94</v>
      </c>
      <c r="GF74" s="4">
        <v>92</v>
      </c>
      <c r="GG74" s="4">
        <v>87</v>
      </c>
      <c r="GH74" s="4">
        <v>83</v>
      </c>
      <c r="GI74" s="4">
        <v>80</v>
      </c>
      <c r="GJ74" s="4">
        <v>78</v>
      </c>
      <c r="GK74" s="4">
        <v>77</v>
      </c>
      <c r="GL74" s="4">
        <v>75</v>
      </c>
      <c r="GM74" s="4">
        <v>73</v>
      </c>
      <c r="GN74" s="4">
        <v>71</v>
      </c>
      <c r="GO74" s="4">
        <v>69</v>
      </c>
      <c r="GP74" s="4">
        <v>67</v>
      </c>
      <c r="GQ74" s="4">
        <v>65</v>
      </c>
      <c r="GR74" s="4">
        <v>63</v>
      </c>
      <c r="GS74" s="4">
        <v>61</v>
      </c>
      <c r="GT74" s="4">
        <v>59</v>
      </c>
      <c r="GU74" s="4">
        <v>57</v>
      </c>
      <c r="GV74" s="4">
        <v>55</v>
      </c>
      <c r="GW74" s="4">
        <v>53</v>
      </c>
      <c r="GX74" s="4">
        <v>51</v>
      </c>
      <c r="GY74" s="4">
        <v>49</v>
      </c>
      <c r="GZ74" s="4">
        <v>47</v>
      </c>
      <c r="HA74" s="4">
        <v>45</v>
      </c>
      <c r="HB74" s="4">
        <v>43</v>
      </c>
      <c r="HC74" s="19">
        <v>32.7</v>
      </c>
      <c r="HD74" s="19">
        <v>32</v>
      </c>
      <c r="HE74" s="19">
        <v>23.5</v>
      </c>
      <c r="HF74" s="19">
        <v>23</v>
      </c>
      <c r="HG74" s="19">
        <v>43.5</v>
      </c>
      <c r="HH74" s="19">
        <v>41.5</v>
      </c>
      <c r="HI74" s="19">
        <v>40</v>
      </c>
      <c r="HJ74" s="19">
        <v>39</v>
      </c>
      <c r="HK74" s="19">
        <v>38.5</v>
      </c>
      <c r="HL74" s="19">
        <v>37.5</v>
      </c>
      <c r="HM74" s="19">
        <v>36.5</v>
      </c>
      <c r="HN74" s="19">
        <v>35.5</v>
      </c>
      <c r="HO74" s="19">
        <v>34.5</v>
      </c>
      <c r="HP74" s="19">
        <v>33.5</v>
      </c>
      <c r="HQ74" s="19">
        <v>32.5</v>
      </c>
      <c r="HR74" s="19">
        <v>31.5</v>
      </c>
      <c r="HS74" s="19">
        <v>30.5</v>
      </c>
      <c r="HT74" s="19">
        <v>29.5</v>
      </c>
      <c r="HU74" s="19">
        <v>28.5</v>
      </c>
      <c r="HV74" s="19">
        <v>27.5</v>
      </c>
      <c r="HW74" s="19">
        <v>26.5</v>
      </c>
      <c r="HX74" s="19">
        <v>25.5</v>
      </c>
      <c r="HY74" s="19">
        <v>24.5</v>
      </c>
      <c r="HZ74" s="19">
        <v>23.5</v>
      </c>
      <c r="IA74" s="19">
        <v>22.5</v>
      </c>
      <c r="IB74" s="19">
        <v>21.5</v>
      </c>
    </row>
    <row r="75">
      <c r="A75" s="2" t="s">
        <v>544</v>
      </c>
      <c r="B75" s="2" t="s">
        <v>279</v>
      </c>
      <c r="C75" s="2" t="s">
        <v>280</v>
      </c>
      <c r="D75" s="2" t="s">
        <v>281</v>
      </c>
      <c r="E75" s="2" t="s">
        <v>282</v>
      </c>
      <c r="F75" s="2" t="s">
        <v>466</v>
      </c>
      <c r="G75" s="2" t="s">
        <v>466</v>
      </c>
      <c r="H75" s="2" t="s">
        <v>466</v>
      </c>
      <c r="I75" s="2" t="s">
        <v>467</v>
      </c>
      <c r="J75" s="2" t="s">
        <v>228</v>
      </c>
      <c r="K75" s="2" t="s">
        <v>312</v>
      </c>
      <c r="L75" s="3">
        <v>13.44</v>
      </c>
      <c r="M75" s="3">
        <v>14.11</v>
      </c>
      <c r="N75" s="3">
        <v>27.99</v>
      </c>
      <c r="O75" s="2" t="s">
        <v>230</v>
      </c>
      <c r="P75" s="2" t="s">
        <v>231</v>
      </c>
      <c r="Q75" s="2" t="s">
        <v>232</v>
      </c>
      <c r="R75" s="2" t="s">
        <v>233</v>
      </c>
      <c r="S75" s="2" t="s">
        <v>545</v>
      </c>
      <c r="T75" s="2" t="s">
        <v>469</v>
      </c>
      <c r="U75" s="2" t="s">
        <v>233</v>
      </c>
      <c r="V75" s="2" t="s">
        <v>236</v>
      </c>
      <c r="W75" s="2" t="s">
        <v>237</v>
      </c>
      <c r="X75" s="2" t="s">
        <v>233</v>
      </c>
      <c r="Y75" s="2" t="s">
        <v>238</v>
      </c>
      <c r="Z75" s="4">
        <v>200</v>
      </c>
      <c r="AA75" s="4">
        <f>=ROUNDDOWN(28.5714285714286,0)</f>
      </c>
      <c r="AB75" s="5">
        <v>7</v>
      </c>
      <c r="AC75" s="2" t="s">
        <v>139</v>
      </c>
      <c r="AD75" s="4">
        <v>50</v>
      </c>
      <c r="AE75" s="4">
        <v>50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233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233</v>
      </c>
      <c r="AW75" s="8" t="s">
        <v>233</v>
      </c>
      <c r="AX75" s="4" t="s">
        <v>233</v>
      </c>
      <c r="AY75" s="8" t="s">
        <v>233</v>
      </c>
      <c r="AZ75" s="7" t="s">
        <v>233</v>
      </c>
      <c r="BA75" s="7" t="s">
        <v>233</v>
      </c>
      <c r="BB75" s="7"/>
      <c r="BC75" s="4" t="s">
        <v>233</v>
      </c>
      <c r="BD75" s="8" t="s">
        <v>233</v>
      </c>
      <c r="BE75" s="4" t="s">
        <v>233</v>
      </c>
      <c r="BF75" s="8" t="s">
        <v>233</v>
      </c>
      <c r="BG75" s="7" t="s">
        <v>233</v>
      </c>
      <c r="BH75" s="7" t="s">
        <v>233</v>
      </c>
      <c r="BI75" s="7"/>
      <c r="BJ75" s="4">
        <v>9</v>
      </c>
      <c r="BK75" s="8">
        <v>122.65</v>
      </c>
      <c r="BL75" s="2" t="s">
        <v>546</v>
      </c>
      <c r="BM75" s="7"/>
      <c r="BN75" s="7"/>
      <c r="BO75" s="4"/>
      <c r="BP75" s="8"/>
      <c r="BQ75" s="4"/>
      <c r="BR75" s="8"/>
      <c r="BS75" s="7"/>
      <c r="BT75" s="7"/>
      <c r="BU75" s="2" t="s">
        <v>471</v>
      </c>
      <c r="BV75" s="2" t="s">
        <v>233</v>
      </c>
      <c r="BW75" s="2" t="s">
        <v>233</v>
      </c>
      <c r="BX75" s="2" t="s">
        <v>241</v>
      </c>
      <c r="BY75" s="2" t="s">
        <v>242</v>
      </c>
      <c r="BZ75" s="2" t="s">
        <v>230</v>
      </c>
      <c r="CA75" s="2" t="s">
        <v>243</v>
      </c>
      <c r="CB75" s="2" t="s">
        <v>547</v>
      </c>
      <c r="CC75" s="2" t="s">
        <v>245</v>
      </c>
      <c r="CD75" s="2" t="s">
        <v>233</v>
      </c>
      <c r="CE75" s="4">
        <v>200</v>
      </c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>
        <v>50</v>
      </c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>
        <v>204</v>
      </c>
      <c r="GD75" s="4">
        <v>197</v>
      </c>
      <c r="GE75" s="4">
        <v>240</v>
      </c>
      <c r="GF75" s="4">
        <v>231</v>
      </c>
      <c r="GG75" s="4">
        <v>214</v>
      </c>
      <c r="GH75" s="4">
        <v>197</v>
      </c>
      <c r="GI75" s="4">
        <v>182</v>
      </c>
      <c r="GJ75" s="4">
        <v>173</v>
      </c>
      <c r="GK75" s="4">
        <v>166</v>
      </c>
      <c r="GL75" s="4">
        <v>155</v>
      </c>
      <c r="GM75" s="4">
        <v>148</v>
      </c>
      <c r="GN75" s="4">
        <v>141</v>
      </c>
      <c r="GO75" s="4">
        <v>134</v>
      </c>
      <c r="GP75" s="4">
        <v>127</v>
      </c>
      <c r="GQ75" s="4">
        <v>120</v>
      </c>
      <c r="GR75" s="4">
        <v>113</v>
      </c>
      <c r="GS75" s="4">
        <v>104</v>
      </c>
      <c r="GT75" s="4">
        <v>95</v>
      </c>
      <c r="GU75" s="4">
        <v>86</v>
      </c>
      <c r="GV75" s="4">
        <v>76</v>
      </c>
      <c r="GW75" s="4">
        <v>66</v>
      </c>
      <c r="GX75" s="4">
        <v>58</v>
      </c>
      <c r="GY75" s="4">
        <v>50</v>
      </c>
      <c r="GZ75" s="4">
        <v>39</v>
      </c>
      <c r="HA75" s="4">
        <v>28</v>
      </c>
      <c r="HB75" s="4">
        <v>94</v>
      </c>
      <c r="HC75" s="19">
        <v>20.4</v>
      </c>
      <c r="HD75" s="19">
        <v>16.4</v>
      </c>
      <c r="HE75" s="19">
        <v>17.1</v>
      </c>
      <c r="HF75" s="19">
        <v>16.5</v>
      </c>
      <c r="HG75" s="19">
        <v>17.8</v>
      </c>
      <c r="HH75" s="19">
        <v>19.7</v>
      </c>
      <c r="HI75" s="19">
        <v>22.8</v>
      </c>
      <c r="HJ75" s="19">
        <v>21.6</v>
      </c>
      <c r="HK75" s="19">
        <v>20.8</v>
      </c>
      <c r="HL75" s="19">
        <v>22.1</v>
      </c>
      <c r="HM75" s="19">
        <v>21.1</v>
      </c>
      <c r="HN75" s="19">
        <v>20.1</v>
      </c>
      <c r="HO75" s="19">
        <v>16.8</v>
      </c>
      <c r="HP75" s="19">
        <v>15.9</v>
      </c>
      <c r="HQ75" s="19">
        <v>15</v>
      </c>
      <c r="HR75" s="19">
        <v>12.6</v>
      </c>
      <c r="HS75" s="19">
        <v>10.4</v>
      </c>
      <c r="HT75" s="19">
        <v>10.6</v>
      </c>
      <c r="HU75" s="19">
        <v>9.6</v>
      </c>
      <c r="HV75" s="19">
        <v>8.4</v>
      </c>
      <c r="HW75" s="19">
        <v>6.6</v>
      </c>
      <c r="HX75" s="19">
        <v>5.8</v>
      </c>
      <c r="HY75" s="19">
        <v>4.5</v>
      </c>
      <c r="HZ75" s="19">
        <v>3.5</v>
      </c>
      <c r="IA75" s="19">
        <v>2.8</v>
      </c>
      <c r="IB75" s="19">
        <v>9.4</v>
      </c>
    </row>
    <row r="76">
      <c r="A76" s="2" t="s">
        <v>548</v>
      </c>
      <c r="B76" s="2" t="s">
        <v>279</v>
      </c>
      <c r="C76" s="2" t="s">
        <v>280</v>
      </c>
      <c r="D76" s="2" t="s">
        <v>281</v>
      </c>
      <c r="E76" s="2" t="s">
        <v>282</v>
      </c>
      <c r="F76" s="2" t="s">
        <v>466</v>
      </c>
      <c r="G76" s="2" t="s">
        <v>466</v>
      </c>
      <c r="H76" s="2" t="s">
        <v>466</v>
      </c>
      <c r="I76" s="2" t="s">
        <v>467</v>
      </c>
      <c r="J76" s="2" t="s">
        <v>247</v>
      </c>
      <c r="K76" s="2" t="s">
        <v>312</v>
      </c>
      <c r="L76" s="3">
        <v>15.19</v>
      </c>
      <c r="M76" s="3">
        <v>15.95</v>
      </c>
      <c r="N76" s="3">
        <v>30.99</v>
      </c>
      <c r="O76" s="2" t="s">
        <v>230</v>
      </c>
      <c r="P76" s="2" t="s">
        <v>231</v>
      </c>
      <c r="Q76" s="2" t="s">
        <v>232</v>
      </c>
      <c r="R76" s="2" t="s">
        <v>233</v>
      </c>
      <c r="S76" s="2" t="s">
        <v>545</v>
      </c>
      <c r="T76" s="2" t="s">
        <v>469</v>
      </c>
      <c r="U76" s="2" t="s">
        <v>233</v>
      </c>
      <c r="V76" s="2" t="s">
        <v>236</v>
      </c>
      <c r="W76" s="2" t="s">
        <v>237</v>
      </c>
      <c r="X76" s="2" t="s">
        <v>233</v>
      </c>
      <c r="Y76" s="2" t="s">
        <v>238</v>
      </c>
      <c r="Z76" s="4">
        <v>562</v>
      </c>
      <c r="AA76" s="4">
        <f>=ROUNDDOWN(140.5,0)</f>
      </c>
      <c r="AB76" s="5">
        <v>4</v>
      </c>
      <c r="AC76" s="2" t="s">
        <v>233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233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233</v>
      </c>
      <c r="AW76" s="8" t="s">
        <v>233</v>
      </c>
      <c r="AX76" s="4" t="s">
        <v>233</v>
      </c>
      <c r="AY76" s="8" t="s">
        <v>233</v>
      </c>
      <c r="AZ76" s="7" t="s">
        <v>233</v>
      </c>
      <c r="BA76" s="7" t="s">
        <v>233</v>
      </c>
      <c r="BB76" s="7"/>
      <c r="BC76" s="4" t="s">
        <v>233</v>
      </c>
      <c r="BD76" s="8" t="s">
        <v>233</v>
      </c>
      <c r="BE76" s="4" t="s">
        <v>233</v>
      </c>
      <c r="BF76" s="8" t="s">
        <v>233</v>
      </c>
      <c r="BG76" s="7" t="s">
        <v>233</v>
      </c>
      <c r="BH76" s="7" t="s">
        <v>233</v>
      </c>
      <c r="BI76" s="7"/>
      <c r="BJ76" s="4">
        <v>17</v>
      </c>
      <c r="BK76" s="8">
        <v>283.5</v>
      </c>
      <c r="BL76" s="2" t="s">
        <v>549</v>
      </c>
      <c r="BM76" s="7"/>
      <c r="BN76" s="7"/>
      <c r="BO76" s="4"/>
      <c r="BP76" s="8"/>
      <c r="BQ76" s="4"/>
      <c r="BR76" s="8"/>
      <c r="BS76" s="7"/>
      <c r="BT76" s="7"/>
      <c r="BU76" s="2" t="s">
        <v>471</v>
      </c>
      <c r="BV76" s="2" t="s">
        <v>233</v>
      </c>
      <c r="BW76" s="2" t="s">
        <v>233</v>
      </c>
      <c r="BX76" s="2" t="s">
        <v>241</v>
      </c>
      <c r="BY76" s="2" t="s">
        <v>242</v>
      </c>
      <c r="BZ76" s="2" t="s">
        <v>230</v>
      </c>
      <c r="CA76" s="2" t="s">
        <v>243</v>
      </c>
      <c r="CB76" s="2" t="s">
        <v>550</v>
      </c>
      <c r="CC76" s="2" t="s">
        <v>245</v>
      </c>
      <c r="CD76" s="2" t="s">
        <v>233</v>
      </c>
      <c r="CE76" s="4">
        <v>562</v>
      </c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>
        <v>566</v>
      </c>
      <c r="GD76" s="4">
        <v>560</v>
      </c>
      <c r="GE76" s="4">
        <v>551</v>
      </c>
      <c r="GF76" s="4">
        <v>545</v>
      </c>
      <c r="GG76" s="4">
        <v>535</v>
      </c>
      <c r="GH76" s="4">
        <v>522</v>
      </c>
      <c r="GI76" s="4">
        <v>511</v>
      </c>
      <c r="GJ76" s="4">
        <v>502</v>
      </c>
      <c r="GK76" s="4">
        <v>498</v>
      </c>
      <c r="GL76" s="4">
        <v>491</v>
      </c>
      <c r="GM76" s="4">
        <v>488</v>
      </c>
      <c r="GN76" s="4">
        <v>484</v>
      </c>
      <c r="GO76" s="4">
        <v>480</v>
      </c>
      <c r="GP76" s="4">
        <v>476</v>
      </c>
      <c r="GQ76" s="4">
        <v>472</v>
      </c>
      <c r="GR76" s="4">
        <v>469</v>
      </c>
      <c r="GS76" s="4">
        <v>466</v>
      </c>
      <c r="GT76" s="4">
        <v>463</v>
      </c>
      <c r="GU76" s="4">
        <v>460</v>
      </c>
      <c r="GV76" s="4">
        <v>456</v>
      </c>
      <c r="GW76" s="4">
        <v>452</v>
      </c>
      <c r="GX76" s="4">
        <v>447</v>
      </c>
      <c r="GY76" s="4">
        <v>442</v>
      </c>
      <c r="GZ76" s="4">
        <v>437</v>
      </c>
      <c r="HA76" s="4">
        <v>432</v>
      </c>
      <c r="HB76" s="4">
        <v>425</v>
      </c>
      <c r="HC76" s="19">
        <v>70.8</v>
      </c>
      <c r="HD76" s="19">
        <v>56</v>
      </c>
      <c r="HE76" s="19">
        <v>55.1</v>
      </c>
      <c r="HF76" s="19">
        <v>49.5</v>
      </c>
      <c r="HG76" s="19">
        <v>59.4</v>
      </c>
      <c r="HH76" s="19">
        <v>65.3</v>
      </c>
      <c r="HI76" s="19">
        <v>85.2</v>
      </c>
      <c r="HJ76" s="19">
        <v>125.5</v>
      </c>
      <c r="HK76" s="19">
        <v>124.5</v>
      </c>
      <c r="HL76" s="19">
        <v>122.8</v>
      </c>
      <c r="HM76" s="19">
        <v>122</v>
      </c>
      <c r="HN76" s="19">
        <v>121</v>
      </c>
      <c r="HO76" s="19">
        <v>120</v>
      </c>
      <c r="HP76" s="19">
        <v>158.7</v>
      </c>
      <c r="HQ76" s="19">
        <v>157.3</v>
      </c>
      <c r="HR76" s="19">
        <v>156.3</v>
      </c>
      <c r="HS76" s="19">
        <v>116.5</v>
      </c>
      <c r="HT76" s="19">
        <v>115.8</v>
      </c>
      <c r="HU76" s="19">
        <v>115</v>
      </c>
      <c r="HV76" s="19">
        <v>91.2</v>
      </c>
      <c r="HW76" s="19">
        <v>90.4</v>
      </c>
      <c r="HX76" s="19">
        <v>74.5</v>
      </c>
      <c r="HY76" s="19">
        <v>73.7</v>
      </c>
      <c r="HZ76" s="19">
        <v>72.8</v>
      </c>
      <c r="IA76" s="19">
        <v>54</v>
      </c>
      <c r="IB76" s="19">
        <v>47.2</v>
      </c>
    </row>
    <row r="77">
      <c r="A77" s="2" t="s">
        <v>551</v>
      </c>
      <c r="B77" s="2" t="s">
        <v>279</v>
      </c>
      <c r="C77" s="2" t="s">
        <v>280</v>
      </c>
      <c r="D77" s="2" t="s">
        <v>281</v>
      </c>
      <c r="E77" s="2" t="s">
        <v>282</v>
      </c>
      <c r="F77" s="2" t="s">
        <v>466</v>
      </c>
      <c r="G77" s="2" t="s">
        <v>466</v>
      </c>
      <c r="H77" s="2" t="s">
        <v>466</v>
      </c>
      <c r="I77" s="2" t="s">
        <v>467</v>
      </c>
      <c r="J77" s="2" t="s">
        <v>336</v>
      </c>
      <c r="K77" s="2" t="s">
        <v>312</v>
      </c>
      <c r="L77" s="3">
        <v>19</v>
      </c>
      <c r="M77" s="3">
        <v>19.95</v>
      </c>
      <c r="N77" s="3">
        <v>37.99</v>
      </c>
      <c r="O77" s="2" t="s">
        <v>230</v>
      </c>
      <c r="P77" s="2" t="s">
        <v>231</v>
      </c>
      <c r="Q77" s="2" t="s">
        <v>232</v>
      </c>
      <c r="R77" s="2" t="s">
        <v>233</v>
      </c>
      <c r="S77" s="2" t="s">
        <v>545</v>
      </c>
      <c r="T77" s="2" t="s">
        <v>469</v>
      </c>
      <c r="U77" s="2" t="s">
        <v>233</v>
      </c>
      <c r="V77" s="2" t="s">
        <v>236</v>
      </c>
      <c r="W77" s="2" t="s">
        <v>237</v>
      </c>
      <c r="X77" s="2" t="s">
        <v>233</v>
      </c>
      <c r="Y77" s="2" t="s">
        <v>238</v>
      </c>
      <c r="Z77" s="4">
        <v>917</v>
      </c>
      <c r="AA77" s="4">
        <f>=ROUNDDOWN(32.75,0)</f>
      </c>
      <c r="AB77" s="5">
        <v>28</v>
      </c>
      <c r="AC77" s="2" t="s">
        <v>233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233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233</v>
      </c>
      <c r="AW77" s="8" t="s">
        <v>233</v>
      </c>
      <c r="AX77" s="4" t="s">
        <v>233</v>
      </c>
      <c r="AY77" s="8" t="s">
        <v>233</v>
      </c>
      <c r="AZ77" s="7" t="s">
        <v>233</v>
      </c>
      <c r="BA77" s="7" t="s">
        <v>233</v>
      </c>
      <c r="BB77" s="7"/>
      <c r="BC77" s="4" t="s">
        <v>233</v>
      </c>
      <c r="BD77" s="8" t="s">
        <v>233</v>
      </c>
      <c r="BE77" s="4" t="s">
        <v>233</v>
      </c>
      <c r="BF77" s="8" t="s">
        <v>233</v>
      </c>
      <c r="BG77" s="7" t="s">
        <v>233</v>
      </c>
      <c r="BH77" s="7" t="s">
        <v>233</v>
      </c>
      <c r="BI77" s="7"/>
      <c r="BJ77" s="4">
        <v>87</v>
      </c>
      <c r="BK77" s="8">
        <v>1693.18</v>
      </c>
      <c r="BL77" s="2" t="s">
        <v>552</v>
      </c>
      <c r="BM77" s="7"/>
      <c r="BN77" s="7"/>
      <c r="BO77" s="4"/>
      <c r="BP77" s="8"/>
      <c r="BQ77" s="4"/>
      <c r="BR77" s="8"/>
      <c r="BS77" s="7"/>
      <c r="BT77" s="7"/>
      <c r="BU77" s="2" t="s">
        <v>471</v>
      </c>
      <c r="BV77" s="2" t="s">
        <v>233</v>
      </c>
      <c r="BW77" s="2" t="s">
        <v>233</v>
      </c>
      <c r="BX77" s="2" t="s">
        <v>241</v>
      </c>
      <c r="BY77" s="2" t="s">
        <v>242</v>
      </c>
      <c r="BZ77" s="2" t="s">
        <v>230</v>
      </c>
      <c r="CA77" s="2" t="s">
        <v>243</v>
      </c>
      <c r="CB77" s="2" t="s">
        <v>553</v>
      </c>
      <c r="CC77" s="2" t="s">
        <v>245</v>
      </c>
      <c r="CD77" s="2" t="s">
        <v>233</v>
      </c>
      <c r="CE77" s="4">
        <v>917</v>
      </c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>
        <v>930</v>
      </c>
      <c r="GD77" s="4">
        <v>909</v>
      </c>
      <c r="GE77" s="4">
        <v>876</v>
      </c>
      <c r="GF77" s="4">
        <v>842</v>
      </c>
      <c r="GG77" s="4">
        <v>776</v>
      </c>
      <c r="GH77" s="4">
        <v>708</v>
      </c>
      <c r="GI77" s="4">
        <v>651</v>
      </c>
      <c r="GJ77" s="4">
        <v>617</v>
      </c>
      <c r="GK77" s="4">
        <v>590</v>
      </c>
      <c r="GL77" s="4">
        <v>549</v>
      </c>
      <c r="GM77" s="4">
        <v>515</v>
      </c>
      <c r="GN77" s="4">
        <v>481</v>
      </c>
      <c r="GO77" s="4">
        <v>448</v>
      </c>
      <c r="GP77" s="4">
        <v>415</v>
      </c>
      <c r="GQ77" s="4">
        <v>382</v>
      </c>
      <c r="GR77" s="4">
        <v>349</v>
      </c>
      <c r="GS77" s="4">
        <v>316</v>
      </c>
      <c r="GT77" s="4">
        <v>283</v>
      </c>
      <c r="GU77" s="4">
        <v>250</v>
      </c>
      <c r="GV77" s="4">
        <v>222</v>
      </c>
      <c r="GW77" s="4">
        <v>194</v>
      </c>
      <c r="GX77" s="4">
        <v>166</v>
      </c>
      <c r="GY77" s="4">
        <v>138</v>
      </c>
      <c r="GZ77" s="4">
        <v>112</v>
      </c>
      <c r="HA77" s="4">
        <v>86</v>
      </c>
      <c r="HB77" s="4">
        <v>312</v>
      </c>
      <c r="HC77" s="19">
        <v>24.5</v>
      </c>
      <c r="HD77" s="19">
        <v>18.2</v>
      </c>
      <c r="HE77" s="19">
        <v>15.6</v>
      </c>
      <c r="HF77" s="19">
        <v>15</v>
      </c>
      <c r="HG77" s="19">
        <v>16.9</v>
      </c>
      <c r="HH77" s="19">
        <v>17.7</v>
      </c>
      <c r="HI77" s="19">
        <v>19.1</v>
      </c>
      <c r="HJ77" s="19">
        <v>18.1</v>
      </c>
      <c r="HK77" s="19">
        <v>16.4</v>
      </c>
      <c r="HL77" s="19">
        <v>16.1</v>
      </c>
      <c r="HM77" s="19">
        <v>15.6</v>
      </c>
      <c r="HN77" s="19">
        <v>14.6</v>
      </c>
      <c r="HO77" s="19">
        <v>13.6</v>
      </c>
      <c r="HP77" s="19">
        <v>12.6</v>
      </c>
      <c r="HQ77" s="19">
        <v>11.6</v>
      </c>
      <c r="HR77" s="19">
        <v>10.9</v>
      </c>
      <c r="HS77" s="19">
        <v>10.5</v>
      </c>
      <c r="HT77" s="19">
        <v>9.8</v>
      </c>
      <c r="HU77" s="19">
        <v>8.9</v>
      </c>
      <c r="HV77" s="19">
        <v>7.9</v>
      </c>
      <c r="HW77" s="19">
        <v>7.2</v>
      </c>
      <c r="HX77" s="19">
        <v>6.4</v>
      </c>
      <c r="HY77" s="19">
        <v>5.3</v>
      </c>
      <c r="HZ77" s="19">
        <v>4.3</v>
      </c>
      <c r="IA77" s="19">
        <v>3.3</v>
      </c>
      <c r="IB77" s="19">
        <v>11.6</v>
      </c>
    </row>
    <row r="78">
      <c r="A78" s="2" t="s">
        <v>554</v>
      </c>
      <c r="B78" s="2" t="s">
        <v>279</v>
      </c>
      <c r="C78" s="2" t="s">
        <v>280</v>
      </c>
      <c r="D78" s="2" t="s">
        <v>281</v>
      </c>
      <c r="E78" s="2" t="s">
        <v>282</v>
      </c>
      <c r="F78" s="2" t="s">
        <v>466</v>
      </c>
      <c r="G78" s="2" t="s">
        <v>466</v>
      </c>
      <c r="H78" s="2" t="s">
        <v>466</v>
      </c>
      <c r="I78" s="2" t="s">
        <v>467</v>
      </c>
      <c r="J78" s="2" t="s">
        <v>256</v>
      </c>
      <c r="K78" s="2" t="s">
        <v>312</v>
      </c>
      <c r="L78" s="3">
        <v>21.5</v>
      </c>
      <c r="M78" s="3">
        <v>22.58</v>
      </c>
      <c r="N78" s="3">
        <v>42.99</v>
      </c>
      <c r="O78" s="2" t="s">
        <v>230</v>
      </c>
      <c r="P78" s="2" t="s">
        <v>231</v>
      </c>
      <c r="Q78" s="2" t="s">
        <v>232</v>
      </c>
      <c r="R78" s="2" t="s">
        <v>233</v>
      </c>
      <c r="S78" s="2" t="s">
        <v>545</v>
      </c>
      <c r="T78" s="2" t="s">
        <v>469</v>
      </c>
      <c r="U78" s="2" t="s">
        <v>233</v>
      </c>
      <c r="V78" s="2" t="s">
        <v>236</v>
      </c>
      <c r="W78" s="2" t="s">
        <v>237</v>
      </c>
      <c r="X78" s="2" t="s">
        <v>233</v>
      </c>
      <c r="Y78" s="2" t="s">
        <v>238</v>
      </c>
      <c r="Z78" s="4">
        <v>322</v>
      </c>
      <c r="AA78" s="4">
        <f>=ROUNDDOWN(21.4666666666667,0)</f>
      </c>
      <c r="AB78" s="5">
        <v>15</v>
      </c>
      <c r="AC78" s="2" t="s">
        <v>139</v>
      </c>
      <c r="AD78" s="4">
        <v>60</v>
      </c>
      <c r="AE78" s="4">
        <v>250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233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233</v>
      </c>
      <c r="AW78" s="8" t="s">
        <v>233</v>
      </c>
      <c r="AX78" s="4" t="s">
        <v>233</v>
      </c>
      <c r="AY78" s="8" t="s">
        <v>233</v>
      </c>
      <c r="AZ78" s="7" t="s">
        <v>233</v>
      </c>
      <c r="BA78" s="7" t="s">
        <v>233</v>
      </c>
      <c r="BB78" s="7"/>
      <c r="BC78" s="4" t="s">
        <v>233</v>
      </c>
      <c r="BD78" s="8" t="s">
        <v>233</v>
      </c>
      <c r="BE78" s="4" t="s">
        <v>233</v>
      </c>
      <c r="BF78" s="8" t="s">
        <v>233</v>
      </c>
      <c r="BG78" s="7" t="s">
        <v>233</v>
      </c>
      <c r="BH78" s="7" t="s">
        <v>233</v>
      </c>
      <c r="BI78" s="7"/>
      <c r="BJ78" s="4">
        <v>54</v>
      </c>
      <c r="BK78" s="8">
        <v>1221.06</v>
      </c>
      <c r="BL78" s="2" t="s">
        <v>555</v>
      </c>
      <c r="BM78" s="7"/>
      <c r="BN78" s="7"/>
      <c r="BO78" s="4"/>
      <c r="BP78" s="8"/>
      <c r="BQ78" s="4"/>
      <c r="BR78" s="8"/>
      <c r="BS78" s="7"/>
      <c r="BT78" s="7"/>
      <c r="BU78" s="2" t="s">
        <v>471</v>
      </c>
      <c r="BV78" s="2" t="s">
        <v>233</v>
      </c>
      <c r="BW78" s="2" t="s">
        <v>233</v>
      </c>
      <c r="BX78" s="2" t="s">
        <v>241</v>
      </c>
      <c r="BY78" s="2" t="s">
        <v>242</v>
      </c>
      <c r="BZ78" s="2" t="s">
        <v>230</v>
      </c>
      <c r="CA78" s="2" t="s">
        <v>243</v>
      </c>
      <c r="CB78" s="2" t="s">
        <v>556</v>
      </c>
      <c r="CC78" s="2" t="s">
        <v>245</v>
      </c>
      <c r="CD78" s="2" t="s">
        <v>233</v>
      </c>
      <c r="CE78" s="4">
        <v>321</v>
      </c>
      <c r="CF78" s="4"/>
      <c r="CG78" s="4"/>
      <c r="CH78" s="4"/>
      <c r="CI78" s="4"/>
      <c r="CJ78" s="4"/>
      <c r="CK78" s="4">
        <v>1</v>
      </c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>
        <v>60</v>
      </c>
      <c r="DB78" s="4"/>
      <c r="DC78" s="4"/>
      <c r="DD78" s="4"/>
      <c r="DE78" s="4"/>
      <c r="DF78" s="4"/>
      <c r="DG78" s="4"/>
      <c r="DH78" s="4"/>
      <c r="DI78" s="4">
        <v>190</v>
      </c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>
        <v>338</v>
      </c>
      <c r="GD78" s="4">
        <v>321</v>
      </c>
      <c r="GE78" s="4">
        <v>369</v>
      </c>
      <c r="GF78" s="4">
        <v>356</v>
      </c>
      <c r="GG78" s="4">
        <v>518</v>
      </c>
      <c r="GH78" s="4">
        <v>489</v>
      </c>
      <c r="GI78" s="4">
        <v>465</v>
      </c>
      <c r="GJ78" s="4">
        <v>452</v>
      </c>
      <c r="GK78" s="4">
        <v>442</v>
      </c>
      <c r="GL78" s="4">
        <v>426</v>
      </c>
      <c r="GM78" s="4">
        <v>413</v>
      </c>
      <c r="GN78" s="4">
        <v>398</v>
      </c>
      <c r="GO78" s="4">
        <v>383</v>
      </c>
      <c r="GP78" s="4">
        <v>368</v>
      </c>
      <c r="GQ78" s="4">
        <v>353</v>
      </c>
      <c r="GR78" s="4">
        <v>338</v>
      </c>
      <c r="GS78" s="4">
        <v>323</v>
      </c>
      <c r="GT78" s="4">
        <v>308</v>
      </c>
      <c r="GU78" s="4">
        <v>293</v>
      </c>
      <c r="GV78" s="4">
        <v>277</v>
      </c>
      <c r="GW78" s="4">
        <v>261</v>
      </c>
      <c r="GX78" s="4">
        <v>245</v>
      </c>
      <c r="GY78" s="4">
        <v>229</v>
      </c>
      <c r="GZ78" s="4">
        <v>215</v>
      </c>
      <c r="HA78" s="4">
        <v>201</v>
      </c>
      <c r="HB78" s="4">
        <v>188</v>
      </c>
      <c r="HC78" s="19">
        <v>18.8</v>
      </c>
      <c r="HD78" s="19">
        <v>16.1</v>
      </c>
      <c r="HE78" s="19">
        <v>15.4</v>
      </c>
      <c r="HF78" s="19">
        <v>14.8</v>
      </c>
      <c r="HG78" s="19">
        <v>27.3</v>
      </c>
      <c r="HH78" s="19">
        <v>30.6</v>
      </c>
      <c r="HI78" s="19">
        <v>35.8</v>
      </c>
      <c r="HJ78" s="19">
        <v>32.3</v>
      </c>
      <c r="HK78" s="19">
        <v>29.5</v>
      </c>
      <c r="HL78" s="19">
        <v>30.4</v>
      </c>
      <c r="HM78" s="19">
        <v>27.5</v>
      </c>
      <c r="HN78" s="19">
        <v>26.5</v>
      </c>
      <c r="HO78" s="19">
        <v>25.5</v>
      </c>
      <c r="HP78" s="19">
        <v>24.5</v>
      </c>
      <c r="HQ78" s="19">
        <v>23.5</v>
      </c>
      <c r="HR78" s="19">
        <v>22.5</v>
      </c>
      <c r="HS78" s="19">
        <v>20.2</v>
      </c>
      <c r="HT78" s="19">
        <v>19.3</v>
      </c>
      <c r="HU78" s="19">
        <v>18.3</v>
      </c>
      <c r="HV78" s="19">
        <v>17.3</v>
      </c>
      <c r="HW78" s="19">
        <v>17.4</v>
      </c>
      <c r="HX78" s="19">
        <v>17.5</v>
      </c>
      <c r="HY78" s="19">
        <v>16.4</v>
      </c>
      <c r="HZ78" s="19">
        <v>16.5</v>
      </c>
      <c r="IA78" s="19">
        <v>15.5</v>
      </c>
      <c r="IB78" s="19">
        <v>14.5</v>
      </c>
    </row>
    <row r="79">
      <c r="A79" s="2" t="s">
        <v>557</v>
      </c>
      <c r="B79" s="2" t="s">
        <v>279</v>
      </c>
      <c r="C79" s="2" t="s">
        <v>280</v>
      </c>
      <c r="D79" s="2" t="s">
        <v>281</v>
      </c>
      <c r="E79" s="2" t="s">
        <v>282</v>
      </c>
      <c r="F79" s="2" t="s">
        <v>466</v>
      </c>
      <c r="G79" s="2" t="s">
        <v>466</v>
      </c>
      <c r="H79" s="2" t="s">
        <v>466</v>
      </c>
      <c r="I79" s="2" t="s">
        <v>467</v>
      </c>
      <c r="J79" s="2" t="s">
        <v>228</v>
      </c>
      <c r="K79" s="2" t="s">
        <v>266</v>
      </c>
      <c r="L79" s="3">
        <v>13.44</v>
      </c>
      <c r="M79" s="3">
        <v>14.11</v>
      </c>
      <c r="N79" s="3">
        <v>27.99</v>
      </c>
      <c r="O79" s="2" t="s">
        <v>230</v>
      </c>
      <c r="P79" s="2" t="s">
        <v>231</v>
      </c>
      <c r="Q79" s="2" t="s">
        <v>232</v>
      </c>
      <c r="R79" s="2" t="s">
        <v>233</v>
      </c>
      <c r="S79" s="2" t="s">
        <v>558</v>
      </c>
      <c r="T79" s="2" t="s">
        <v>469</v>
      </c>
      <c r="U79" s="2" t="s">
        <v>233</v>
      </c>
      <c r="V79" s="2" t="s">
        <v>236</v>
      </c>
      <c r="W79" s="2" t="s">
        <v>237</v>
      </c>
      <c r="X79" s="2" t="s">
        <v>233</v>
      </c>
      <c r="Y79" s="2" t="s">
        <v>238</v>
      </c>
      <c r="Z79" s="4">
        <v>171</v>
      </c>
      <c r="AA79" s="4">
        <f>=ROUNDDOWN(42.75,0)</f>
      </c>
      <c r="AB79" s="5">
        <v>4</v>
      </c>
      <c r="AC79" s="2" t="s">
        <v>233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233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233</v>
      </c>
      <c r="AW79" s="8" t="s">
        <v>233</v>
      </c>
      <c r="AX79" s="4" t="s">
        <v>233</v>
      </c>
      <c r="AY79" s="8" t="s">
        <v>233</v>
      </c>
      <c r="AZ79" s="7" t="s">
        <v>233</v>
      </c>
      <c r="BA79" s="7" t="s">
        <v>233</v>
      </c>
      <c r="BB79" s="7"/>
      <c r="BC79" s="4" t="s">
        <v>233</v>
      </c>
      <c r="BD79" s="8" t="s">
        <v>233</v>
      </c>
      <c r="BE79" s="4" t="s">
        <v>233</v>
      </c>
      <c r="BF79" s="8" t="s">
        <v>233</v>
      </c>
      <c r="BG79" s="7" t="s">
        <v>233</v>
      </c>
      <c r="BH79" s="7" t="s">
        <v>233</v>
      </c>
      <c r="BI79" s="7"/>
      <c r="BJ79" s="4">
        <v>14</v>
      </c>
      <c r="BK79" s="8">
        <v>194.97</v>
      </c>
      <c r="BL79" s="2" t="s">
        <v>504</v>
      </c>
      <c r="BM79" s="7"/>
      <c r="BN79" s="7"/>
      <c r="BO79" s="4"/>
      <c r="BP79" s="8"/>
      <c r="BQ79" s="4"/>
      <c r="BR79" s="8"/>
      <c r="BS79" s="7"/>
      <c r="BT79" s="7"/>
      <c r="BU79" s="2" t="s">
        <v>471</v>
      </c>
      <c r="BV79" s="2" t="s">
        <v>233</v>
      </c>
      <c r="BW79" s="2" t="s">
        <v>233</v>
      </c>
      <c r="BX79" s="2" t="s">
        <v>241</v>
      </c>
      <c r="BY79" s="2" t="s">
        <v>242</v>
      </c>
      <c r="BZ79" s="2" t="s">
        <v>230</v>
      </c>
      <c r="CA79" s="2" t="s">
        <v>243</v>
      </c>
      <c r="CB79" s="2" t="s">
        <v>559</v>
      </c>
      <c r="CC79" s="2" t="s">
        <v>245</v>
      </c>
      <c r="CD79" s="2" t="s">
        <v>233</v>
      </c>
      <c r="CE79" s="4">
        <v>171</v>
      </c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>
        <v>184</v>
      </c>
      <c r="GD79" s="4">
        <v>169</v>
      </c>
      <c r="GE79" s="4">
        <v>164</v>
      </c>
      <c r="GF79" s="4">
        <v>158</v>
      </c>
      <c r="GG79" s="4">
        <v>146</v>
      </c>
      <c r="GH79" s="4">
        <v>134</v>
      </c>
      <c r="GI79" s="4">
        <v>124</v>
      </c>
      <c r="GJ79" s="4">
        <v>119</v>
      </c>
      <c r="GK79" s="4">
        <v>115</v>
      </c>
      <c r="GL79" s="4">
        <v>108</v>
      </c>
      <c r="GM79" s="4">
        <v>104</v>
      </c>
      <c r="GN79" s="4">
        <v>100</v>
      </c>
      <c r="GO79" s="4">
        <v>96</v>
      </c>
      <c r="GP79" s="4">
        <v>92</v>
      </c>
      <c r="GQ79" s="4">
        <v>88</v>
      </c>
      <c r="GR79" s="4">
        <v>84</v>
      </c>
      <c r="GS79" s="4">
        <v>80</v>
      </c>
      <c r="GT79" s="4">
        <v>76</v>
      </c>
      <c r="GU79" s="4">
        <v>72</v>
      </c>
      <c r="GV79" s="4">
        <v>67</v>
      </c>
      <c r="GW79" s="4">
        <v>62</v>
      </c>
      <c r="GX79" s="4">
        <v>57</v>
      </c>
      <c r="GY79" s="4">
        <v>52</v>
      </c>
      <c r="GZ79" s="4">
        <v>45</v>
      </c>
      <c r="HA79" s="4">
        <v>38</v>
      </c>
      <c r="HB79" s="4">
        <v>50</v>
      </c>
      <c r="HC79" s="19">
        <v>18.4</v>
      </c>
      <c r="HD79" s="19">
        <v>18.8</v>
      </c>
      <c r="HE79" s="19">
        <v>16.4</v>
      </c>
      <c r="HF79" s="19">
        <v>15.8</v>
      </c>
      <c r="HG79" s="19">
        <v>18.3</v>
      </c>
      <c r="HH79" s="19">
        <v>22.3</v>
      </c>
      <c r="HI79" s="19">
        <v>24.8</v>
      </c>
      <c r="HJ79" s="19">
        <v>23.8</v>
      </c>
      <c r="HK79" s="19">
        <v>23</v>
      </c>
      <c r="HL79" s="19">
        <v>27</v>
      </c>
      <c r="HM79" s="19">
        <v>26</v>
      </c>
      <c r="HN79" s="19">
        <v>25</v>
      </c>
      <c r="HO79" s="19">
        <v>24</v>
      </c>
      <c r="HP79" s="19">
        <v>23</v>
      </c>
      <c r="HQ79" s="19">
        <v>22</v>
      </c>
      <c r="HR79" s="19">
        <v>21</v>
      </c>
      <c r="HS79" s="19">
        <v>20</v>
      </c>
      <c r="HT79" s="19">
        <v>15.2</v>
      </c>
      <c r="HU79" s="19">
        <v>14.4</v>
      </c>
      <c r="HV79" s="19">
        <v>11.2</v>
      </c>
      <c r="HW79" s="19">
        <v>10.3</v>
      </c>
      <c r="HX79" s="19">
        <v>9.5</v>
      </c>
      <c r="HY79" s="19">
        <v>7.4</v>
      </c>
      <c r="HZ79" s="19">
        <v>6.4</v>
      </c>
      <c r="IA79" s="19">
        <v>6.3</v>
      </c>
      <c r="IB79" s="19">
        <v>8.3</v>
      </c>
    </row>
    <row r="80">
      <c r="A80" s="2" t="s">
        <v>560</v>
      </c>
      <c r="B80" s="2" t="s">
        <v>279</v>
      </c>
      <c r="C80" s="2" t="s">
        <v>280</v>
      </c>
      <c r="D80" s="2" t="s">
        <v>281</v>
      </c>
      <c r="E80" s="2" t="s">
        <v>282</v>
      </c>
      <c r="F80" s="2" t="s">
        <v>466</v>
      </c>
      <c r="G80" s="2" t="s">
        <v>466</v>
      </c>
      <c r="H80" s="2" t="s">
        <v>466</v>
      </c>
      <c r="I80" s="2" t="s">
        <v>467</v>
      </c>
      <c r="J80" s="2" t="s">
        <v>247</v>
      </c>
      <c r="K80" s="2" t="s">
        <v>266</v>
      </c>
      <c r="L80" s="3">
        <v>15.19</v>
      </c>
      <c r="M80" s="3">
        <v>15.95</v>
      </c>
      <c r="N80" s="3">
        <v>30.99</v>
      </c>
      <c r="O80" s="2" t="s">
        <v>230</v>
      </c>
      <c r="P80" s="2" t="s">
        <v>231</v>
      </c>
      <c r="Q80" s="2" t="s">
        <v>232</v>
      </c>
      <c r="R80" s="2" t="s">
        <v>233</v>
      </c>
      <c r="S80" s="2" t="s">
        <v>558</v>
      </c>
      <c r="T80" s="2" t="s">
        <v>469</v>
      </c>
      <c r="U80" s="2" t="s">
        <v>233</v>
      </c>
      <c r="V80" s="2" t="s">
        <v>236</v>
      </c>
      <c r="W80" s="2" t="s">
        <v>237</v>
      </c>
      <c r="X80" s="2" t="s">
        <v>233</v>
      </c>
      <c r="Y80" s="2" t="s">
        <v>238</v>
      </c>
      <c r="Z80" s="4">
        <v>329</v>
      </c>
      <c r="AA80" s="4">
        <f>=ROUNDDOWN(164.5,0)</f>
      </c>
      <c r="AB80" s="5">
        <v>2</v>
      </c>
      <c r="AC80" s="2" t="s">
        <v>233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233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233</v>
      </c>
      <c r="AW80" s="8" t="s">
        <v>233</v>
      </c>
      <c r="AX80" s="4" t="s">
        <v>233</v>
      </c>
      <c r="AY80" s="8" t="s">
        <v>233</v>
      </c>
      <c r="AZ80" s="7" t="s">
        <v>233</v>
      </c>
      <c r="BA80" s="7" t="s">
        <v>233</v>
      </c>
      <c r="BB80" s="7"/>
      <c r="BC80" s="4" t="s">
        <v>233</v>
      </c>
      <c r="BD80" s="8" t="s">
        <v>233</v>
      </c>
      <c r="BE80" s="4" t="s">
        <v>233</v>
      </c>
      <c r="BF80" s="8" t="s">
        <v>233</v>
      </c>
      <c r="BG80" s="7" t="s">
        <v>233</v>
      </c>
      <c r="BH80" s="7" t="s">
        <v>233</v>
      </c>
      <c r="BI80" s="7"/>
      <c r="BJ80" s="4">
        <v>10</v>
      </c>
      <c r="BK80" s="8">
        <v>163.04</v>
      </c>
      <c r="BL80" s="2" t="s">
        <v>507</v>
      </c>
      <c r="BM80" s="7"/>
      <c r="BN80" s="7"/>
      <c r="BO80" s="4"/>
      <c r="BP80" s="8"/>
      <c r="BQ80" s="4"/>
      <c r="BR80" s="8"/>
      <c r="BS80" s="7"/>
      <c r="BT80" s="7"/>
      <c r="BU80" s="2" t="s">
        <v>471</v>
      </c>
      <c r="BV80" s="2" t="s">
        <v>233</v>
      </c>
      <c r="BW80" s="2" t="s">
        <v>233</v>
      </c>
      <c r="BX80" s="2" t="s">
        <v>241</v>
      </c>
      <c r="BY80" s="2" t="s">
        <v>242</v>
      </c>
      <c r="BZ80" s="2" t="s">
        <v>230</v>
      </c>
      <c r="CA80" s="2" t="s">
        <v>243</v>
      </c>
      <c r="CB80" s="2" t="s">
        <v>523</v>
      </c>
      <c r="CC80" s="2" t="s">
        <v>245</v>
      </c>
      <c r="CD80" s="2" t="s">
        <v>233</v>
      </c>
      <c r="CE80" s="4">
        <v>329</v>
      </c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>
        <v>341</v>
      </c>
      <c r="GD80" s="4">
        <v>328</v>
      </c>
      <c r="GE80" s="4">
        <v>325</v>
      </c>
      <c r="GF80" s="4">
        <v>322</v>
      </c>
      <c r="GG80" s="4">
        <v>316</v>
      </c>
      <c r="GH80" s="4">
        <v>308</v>
      </c>
      <c r="GI80" s="4">
        <v>302</v>
      </c>
      <c r="GJ80" s="4">
        <v>299</v>
      </c>
      <c r="GK80" s="4">
        <v>296</v>
      </c>
      <c r="GL80" s="4">
        <v>292</v>
      </c>
      <c r="GM80" s="4">
        <v>290</v>
      </c>
      <c r="GN80" s="4">
        <v>288</v>
      </c>
      <c r="GO80" s="4">
        <v>286</v>
      </c>
      <c r="GP80" s="4">
        <v>284</v>
      </c>
      <c r="GQ80" s="4">
        <v>282</v>
      </c>
      <c r="GR80" s="4">
        <v>281</v>
      </c>
      <c r="GS80" s="4">
        <v>280</v>
      </c>
      <c r="GT80" s="4">
        <v>279</v>
      </c>
      <c r="GU80" s="4">
        <v>278</v>
      </c>
      <c r="GV80" s="4">
        <v>276</v>
      </c>
      <c r="GW80" s="4">
        <v>274</v>
      </c>
      <c r="GX80" s="4">
        <v>272</v>
      </c>
      <c r="GY80" s="4">
        <v>270</v>
      </c>
      <c r="GZ80" s="4">
        <v>268</v>
      </c>
      <c r="HA80" s="4">
        <v>266</v>
      </c>
      <c r="HB80" s="4">
        <v>264</v>
      </c>
      <c r="HC80" s="19">
        <v>56.8</v>
      </c>
      <c r="HD80" s="19">
        <v>65.6</v>
      </c>
      <c r="HE80" s="19">
        <v>54.2</v>
      </c>
      <c r="HF80" s="19">
        <v>53.7</v>
      </c>
      <c r="HG80" s="19">
        <v>63.2</v>
      </c>
      <c r="HH80" s="19">
        <v>77</v>
      </c>
      <c r="HI80" s="19">
        <v>100.7</v>
      </c>
      <c r="HJ80" s="19">
        <v>99.7</v>
      </c>
      <c r="HK80" s="19">
        <v>148</v>
      </c>
      <c r="HL80" s="19">
        <v>146</v>
      </c>
      <c r="HM80" s="19">
        <v>145</v>
      </c>
      <c r="HN80" s="19">
        <v>144</v>
      </c>
      <c r="HO80" s="19">
        <v>143</v>
      </c>
      <c r="HP80" s="19">
        <v>284</v>
      </c>
      <c r="HQ80" s="19">
        <v>282</v>
      </c>
      <c r="HR80" s="19">
        <v>281</v>
      </c>
      <c r="HS80" s="19">
        <v>140</v>
      </c>
      <c r="HT80" s="19">
        <v>139.5</v>
      </c>
      <c r="HU80" s="19">
        <v>139</v>
      </c>
      <c r="HV80" s="19">
        <v>138</v>
      </c>
      <c r="HW80" s="19">
        <v>137</v>
      </c>
      <c r="HX80" s="19">
        <v>136</v>
      </c>
      <c r="HY80" s="19">
        <v>135</v>
      </c>
      <c r="HZ80" s="19">
        <v>134</v>
      </c>
      <c r="IA80" s="19">
        <v>133</v>
      </c>
      <c r="IB80" s="19">
        <v>88</v>
      </c>
    </row>
    <row r="81">
      <c r="A81" s="2" t="s">
        <v>561</v>
      </c>
      <c r="B81" s="2" t="s">
        <v>279</v>
      </c>
      <c r="C81" s="2" t="s">
        <v>280</v>
      </c>
      <c r="D81" s="2" t="s">
        <v>281</v>
      </c>
      <c r="E81" s="2" t="s">
        <v>282</v>
      </c>
      <c r="F81" s="2" t="s">
        <v>466</v>
      </c>
      <c r="G81" s="2" t="s">
        <v>466</v>
      </c>
      <c r="H81" s="2" t="s">
        <v>466</v>
      </c>
      <c r="I81" s="2" t="s">
        <v>467</v>
      </c>
      <c r="J81" s="2" t="s">
        <v>252</v>
      </c>
      <c r="K81" s="2" t="s">
        <v>266</v>
      </c>
      <c r="L81" s="3">
        <v>16.5</v>
      </c>
      <c r="M81" s="3">
        <v>17.32</v>
      </c>
      <c r="N81" s="3">
        <v>32.99</v>
      </c>
      <c r="O81" s="2" t="s">
        <v>230</v>
      </c>
      <c r="P81" s="2" t="s">
        <v>231</v>
      </c>
      <c r="Q81" s="2" t="s">
        <v>232</v>
      </c>
      <c r="R81" s="2" t="s">
        <v>233</v>
      </c>
      <c r="S81" s="2" t="s">
        <v>558</v>
      </c>
      <c r="T81" s="2" t="s">
        <v>469</v>
      </c>
      <c r="U81" s="2" t="s">
        <v>233</v>
      </c>
      <c r="V81" s="2" t="s">
        <v>236</v>
      </c>
      <c r="W81" s="2" t="s">
        <v>237</v>
      </c>
      <c r="X81" s="2" t="s">
        <v>233</v>
      </c>
      <c r="Y81" s="2" t="s">
        <v>238</v>
      </c>
      <c r="Z81" s="4">
        <v>250</v>
      </c>
      <c r="AA81" s="4">
        <f>=ROUNDDOWN(41.6666666666667,0)</f>
      </c>
      <c r="AB81" s="5">
        <v>6</v>
      </c>
      <c r="AC81" s="2" t="s">
        <v>490</v>
      </c>
      <c r="AD81" s="4">
        <v>20</v>
      </c>
      <c r="AE81" s="4">
        <v>60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233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233</v>
      </c>
      <c r="AW81" s="8" t="s">
        <v>233</v>
      </c>
      <c r="AX81" s="4" t="s">
        <v>233</v>
      </c>
      <c r="AY81" s="8" t="s">
        <v>233</v>
      </c>
      <c r="AZ81" s="7" t="s">
        <v>233</v>
      </c>
      <c r="BA81" s="7" t="s">
        <v>233</v>
      </c>
      <c r="BB81" s="7"/>
      <c r="BC81" s="4" t="s">
        <v>233</v>
      </c>
      <c r="BD81" s="8" t="s">
        <v>233</v>
      </c>
      <c r="BE81" s="4" t="s">
        <v>233</v>
      </c>
      <c r="BF81" s="8" t="s">
        <v>233</v>
      </c>
      <c r="BG81" s="7" t="s">
        <v>233</v>
      </c>
      <c r="BH81" s="7" t="s">
        <v>233</v>
      </c>
      <c r="BI81" s="7"/>
      <c r="BJ81" s="4">
        <v>20</v>
      </c>
      <c r="BK81" s="8">
        <v>339.34</v>
      </c>
      <c r="BL81" s="2" t="s">
        <v>562</v>
      </c>
      <c r="BM81" s="7"/>
      <c r="BN81" s="7"/>
      <c r="BO81" s="4"/>
      <c r="BP81" s="8"/>
      <c r="BQ81" s="4"/>
      <c r="BR81" s="8"/>
      <c r="BS81" s="7"/>
      <c r="BT81" s="7"/>
      <c r="BU81" s="2" t="s">
        <v>471</v>
      </c>
      <c r="BV81" s="2" t="s">
        <v>233</v>
      </c>
      <c r="BW81" s="2" t="s">
        <v>233</v>
      </c>
      <c r="BX81" s="2" t="s">
        <v>241</v>
      </c>
      <c r="BY81" s="2" t="s">
        <v>242</v>
      </c>
      <c r="BZ81" s="2" t="s">
        <v>230</v>
      </c>
      <c r="CA81" s="2" t="s">
        <v>243</v>
      </c>
      <c r="CB81" s="2" t="s">
        <v>563</v>
      </c>
      <c r="CC81" s="2" t="s">
        <v>245</v>
      </c>
      <c r="CD81" s="2" t="s">
        <v>233</v>
      </c>
      <c r="CE81" s="4">
        <v>250</v>
      </c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>
        <v>20</v>
      </c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>
        <v>40</v>
      </c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>
        <v>251</v>
      </c>
      <c r="GD81" s="4">
        <v>246</v>
      </c>
      <c r="GE81" s="4">
        <v>239</v>
      </c>
      <c r="GF81" s="4">
        <v>231</v>
      </c>
      <c r="GG81" s="4">
        <v>214</v>
      </c>
      <c r="GH81" s="4">
        <v>197</v>
      </c>
      <c r="GI81" s="4">
        <v>203</v>
      </c>
      <c r="GJ81" s="4">
        <v>195</v>
      </c>
      <c r="GK81" s="4">
        <v>189</v>
      </c>
      <c r="GL81" s="4">
        <v>179</v>
      </c>
      <c r="GM81" s="4">
        <v>173</v>
      </c>
      <c r="GN81" s="4">
        <v>167</v>
      </c>
      <c r="GO81" s="4">
        <v>201</v>
      </c>
      <c r="GP81" s="4">
        <v>195</v>
      </c>
      <c r="GQ81" s="4">
        <v>189</v>
      </c>
      <c r="GR81" s="4">
        <v>182</v>
      </c>
      <c r="GS81" s="4">
        <v>175</v>
      </c>
      <c r="GT81" s="4">
        <v>168</v>
      </c>
      <c r="GU81" s="4">
        <v>161</v>
      </c>
      <c r="GV81" s="4">
        <v>155</v>
      </c>
      <c r="GW81" s="4">
        <v>149</v>
      </c>
      <c r="GX81" s="4">
        <v>143</v>
      </c>
      <c r="GY81" s="4">
        <v>137</v>
      </c>
      <c r="GZ81" s="4">
        <v>130</v>
      </c>
      <c r="HA81" s="4">
        <v>123</v>
      </c>
      <c r="HB81" s="4">
        <v>116</v>
      </c>
      <c r="HC81" s="19">
        <v>27.9</v>
      </c>
      <c r="HD81" s="19">
        <v>20.5</v>
      </c>
      <c r="HE81" s="19">
        <v>17.1</v>
      </c>
      <c r="HF81" s="19">
        <v>16.5</v>
      </c>
      <c r="HG81" s="19">
        <v>19.5</v>
      </c>
      <c r="HH81" s="19">
        <v>19.7</v>
      </c>
      <c r="HI81" s="19">
        <v>25.4</v>
      </c>
      <c r="HJ81" s="19">
        <v>27.9</v>
      </c>
      <c r="HK81" s="19">
        <v>27</v>
      </c>
      <c r="HL81" s="19">
        <v>29.8</v>
      </c>
      <c r="HM81" s="19">
        <v>28.8</v>
      </c>
      <c r="HN81" s="19">
        <v>27.8</v>
      </c>
      <c r="HO81" s="19">
        <v>33.5</v>
      </c>
      <c r="HP81" s="19">
        <v>27.9</v>
      </c>
      <c r="HQ81" s="19">
        <v>27</v>
      </c>
      <c r="HR81" s="19">
        <v>26</v>
      </c>
      <c r="HS81" s="19">
        <v>29.2</v>
      </c>
      <c r="HT81" s="19">
        <v>28</v>
      </c>
      <c r="HU81" s="19">
        <v>26.8</v>
      </c>
      <c r="HV81" s="19">
        <v>25.8</v>
      </c>
      <c r="HW81" s="19">
        <v>24.8</v>
      </c>
      <c r="HX81" s="19">
        <v>20.4</v>
      </c>
      <c r="HY81" s="19">
        <v>19.6</v>
      </c>
      <c r="HZ81" s="19">
        <v>18.6</v>
      </c>
      <c r="IA81" s="19">
        <v>17.6</v>
      </c>
      <c r="IB81" s="19">
        <v>16.6</v>
      </c>
    </row>
    <row r="82">
      <c r="A82" s="2" t="s">
        <v>564</v>
      </c>
      <c r="B82" s="2" t="s">
        <v>279</v>
      </c>
      <c r="C82" s="2" t="s">
        <v>280</v>
      </c>
      <c r="D82" s="2" t="s">
        <v>281</v>
      </c>
      <c r="E82" s="2" t="s">
        <v>282</v>
      </c>
      <c r="F82" s="2" t="s">
        <v>466</v>
      </c>
      <c r="G82" s="2" t="s">
        <v>466</v>
      </c>
      <c r="H82" s="2" t="s">
        <v>466</v>
      </c>
      <c r="I82" s="2" t="s">
        <v>467</v>
      </c>
      <c r="J82" s="2" t="s">
        <v>336</v>
      </c>
      <c r="K82" s="2" t="s">
        <v>266</v>
      </c>
      <c r="L82" s="3">
        <v>19</v>
      </c>
      <c r="M82" s="3">
        <v>19.95</v>
      </c>
      <c r="N82" s="3">
        <v>37.99</v>
      </c>
      <c r="O82" s="2" t="s">
        <v>230</v>
      </c>
      <c r="P82" s="2" t="s">
        <v>231</v>
      </c>
      <c r="Q82" s="2" t="s">
        <v>232</v>
      </c>
      <c r="R82" s="2" t="s">
        <v>233</v>
      </c>
      <c r="S82" s="2" t="s">
        <v>558</v>
      </c>
      <c r="T82" s="2" t="s">
        <v>469</v>
      </c>
      <c r="U82" s="2" t="s">
        <v>233</v>
      </c>
      <c r="V82" s="2" t="s">
        <v>236</v>
      </c>
      <c r="W82" s="2" t="s">
        <v>237</v>
      </c>
      <c r="X82" s="2" t="s">
        <v>233</v>
      </c>
      <c r="Y82" s="2" t="s">
        <v>238</v>
      </c>
      <c r="Z82" s="4">
        <v>327</v>
      </c>
      <c r="AA82" s="4">
        <f>=ROUNDDOWN(16.9430051813472,0)</f>
      </c>
      <c r="AB82" s="5">
        <v>19.3</v>
      </c>
      <c r="AC82" s="2" t="s">
        <v>490</v>
      </c>
      <c r="AD82" s="4">
        <v>250</v>
      </c>
      <c r="AE82" s="4">
        <v>350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233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233</v>
      </c>
      <c r="AW82" s="8" t="s">
        <v>233</v>
      </c>
      <c r="AX82" s="4" t="s">
        <v>233</v>
      </c>
      <c r="AY82" s="8" t="s">
        <v>233</v>
      </c>
      <c r="AZ82" s="7" t="s">
        <v>233</v>
      </c>
      <c r="BA82" s="7" t="s">
        <v>233</v>
      </c>
      <c r="BB82" s="7"/>
      <c r="BC82" s="4" t="s">
        <v>233</v>
      </c>
      <c r="BD82" s="8" t="s">
        <v>233</v>
      </c>
      <c r="BE82" s="4" t="s">
        <v>233</v>
      </c>
      <c r="BF82" s="8" t="s">
        <v>233</v>
      </c>
      <c r="BG82" s="7" t="s">
        <v>233</v>
      </c>
      <c r="BH82" s="7" t="s">
        <v>233</v>
      </c>
      <c r="BI82" s="7"/>
      <c r="BJ82" s="4">
        <v>63</v>
      </c>
      <c r="BK82" s="8">
        <v>1200.68</v>
      </c>
      <c r="BL82" s="2" t="s">
        <v>565</v>
      </c>
      <c r="BM82" s="7"/>
      <c r="BN82" s="7"/>
      <c r="BO82" s="4"/>
      <c r="BP82" s="8"/>
      <c r="BQ82" s="4"/>
      <c r="BR82" s="8"/>
      <c r="BS82" s="7"/>
      <c r="BT82" s="7"/>
      <c r="BU82" s="2" t="s">
        <v>471</v>
      </c>
      <c r="BV82" s="2" t="s">
        <v>233</v>
      </c>
      <c r="BW82" s="2" t="s">
        <v>233</v>
      </c>
      <c r="BX82" s="2" t="s">
        <v>241</v>
      </c>
      <c r="BY82" s="2" t="s">
        <v>242</v>
      </c>
      <c r="BZ82" s="2" t="s">
        <v>230</v>
      </c>
      <c r="CA82" s="2" t="s">
        <v>243</v>
      </c>
      <c r="CB82" s="2" t="s">
        <v>539</v>
      </c>
      <c r="CC82" s="2" t="s">
        <v>245</v>
      </c>
      <c r="CD82" s="2" t="s">
        <v>233</v>
      </c>
      <c r="CE82" s="4">
        <v>327</v>
      </c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>
        <v>250</v>
      </c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>
        <v>100</v>
      </c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>
        <v>347</v>
      </c>
      <c r="GD82" s="4">
        <v>330</v>
      </c>
      <c r="GE82" s="4">
        <v>303</v>
      </c>
      <c r="GF82" s="4">
        <v>280</v>
      </c>
      <c r="GG82" s="4">
        <v>231</v>
      </c>
      <c r="GH82" s="4">
        <v>180</v>
      </c>
      <c r="GI82" s="4">
        <v>388</v>
      </c>
      <c r="GJ82" s="4">
        <v>365</v>
      </c>
      <c r="GK82" s="4">
        <v>348</v>
      </c>
      <c r="GL82" s="4">
        <v>319</v>
      </c>
      <c r="GM82" s="4">
        <v>296</v>
      </c>
      <c r="GN82" s="4">
        <v>273</v>
      </c>
      <c r="GO82" s="4">
        <v>350</v>
      </c>
      <c r="GP82" s="4">
        <v>327</v>
      </c>
      <c r="GQ82" s="4">
        <v>304</v>
      </c>
      <c r="GR82" s="4">
        <v>281</v>
      </c>
      <c r="GS82" s="4">
        <v>258</v>
      </c>
      <c r="GT82" s="4">
        <v>235</v>
      </c>
      <c r="GU82" s="4">
        <v>212</v>
      </c>
      <c r="GV82" s="4">
        <v>193</v>
      </c>
      <c r="GW82" s="4">
        <v>174</v>
      </c>
      <c r="GX82" s="4">
        <v>155</v>
      </c>
      <c r="GY82" s="4">
        <v>136</v>
      </c>
      <c r="GZ82" s="4">
        <v>119</v>
      </c>
      <c r="HA82" s="4">
        <v>102</v>
      </c>
      <c r="HB82" s="4">
        <v>205</v>
      </c>
      <c r="HC82" s="19">
        <v>12</v>
      </c>
      <c r="HD82" s="19">
        <v>8.7</v>
      </c>
      <c r="HE82" s="19">
        <v>7.4</v>
      </c>
      <c r="HF82" s="19">
        <v>6.8</v>
      </c>
      <c r="HG82" s="19">
        <v>7</v>
      </c>
      <c r="HH82" s="19">
        <v>6.4</v>
      </c>
      <c r="HI82" s="19">
        <v>16.9</v>
      </c>
      <c r="HJ82" s="19">
        <v>15.9</v>
      </c>
      <c r="HK82" s="19">
        <v>14.5</v>
      </c>
      <c r="HL82" s="19">
        <v>13.9</v>
      </c>
      <c r="HM82" s="19">
        <v>12.9</v>
      </c>
      <c r="HN82" s="19">
        <v>11.9</v>
      </c>
      <c r="HO82" s="19">
        <v>15.2</v>
      </c>
      <c r="HP82" s="19">
        <v>14.2</v>
      </c>
      <c r="HQ82" s="19">
        <v>13.2</v>
      </c>
      <c r="HR82" s="19">
        <v>12.8</v>
      </c>
      <c r="HS82" s="19">
        <v>12.3</v>
      </c>
      <c r="HT82" s="19">
        <v>11.8</v>
      </c>
      <c r="HU82" s="19">
        <v>11.2</v>
      </c>
      <c r="HV82" s="19">
        <v>10.7</v>
      </c>
      <c r="HW82" s="19">
        <v>9.7</v>
      </c>
      <c r="HX82" s="19">
        <v>8.6</v>
      </c>
      <c r="HY82" s="19">
        <v>8</v>
      </c>
      <c r="HZ82" s="19">
        <v>7</v>
      </c>
      <c r="IA82" s="19">
        <v>5.7</v>
      </c>
      <c r="IB82" s="19">
        <v>11.4</v>
      </c>
    </row>
    <row r="83">
      <c r="A83" s="2" t="s">
        <v>566</v>
      </c>
      <c r="B83" s="2" t="s">
        <v>279</v>
      </c>
      <c r="C83" s="2" t="s">
        <v>280</v>
      </c>
      <c r="D83" s="2" t="s">
        <v>281</v>
      </c>
      <c r="E83" s="2" t="s">
        <v>282</v>
      </c>
      <c r="F83" s="2" t="s">
        <v>466</v>
      </c>
      <c r="G83" s="2" t="s">
        <v>466</v>
      </c>
      <c r="H83" s="2" t="s">
        <v>466</v>
      </c>
      <c r="I83" s="2" t="s">
        <v>467</v>
      </c>
      <c r="J83" s="2" t="s">
        <v>256</v>
      </c>
      <c r="K83" s="2" t="s">
        <v>266</v>
      </c>
      <c r="L83" s="3">
        <v>21.5</v>
      </c>
      <c r="M83" s="3">
        <v>22.58</v>
      </c>
      <c r="N83" s="3">
        <v>42.99</v>
      </c>
      <c r="O83" s="2" t="s">
        <v>230</v>
      </c>
      <c r="P83" s="2" t="s">
        <v>231</v>
      </c>
      <c r="Q83" s="2" t="s">
        <v>232</v>
      </c>
      <c r="R83" s="2" t="s">
        <v>233</v>
      </c>
      <c r="S83" s="2" t="s">
        <v>558</v>
      </c>
      <c r="T83" s="2" t="s">
        <v>469</v>
      </c>
      <c r="U83" s="2" t="s">
        <v>233</v>
      </c>
      <c r="V83" s="2" t="s">
        <v>236</v>
      </c>
      <c r="W83" s="2" t="s">
        <v>237</v>
      </c>
      <c r="X83" s="2" t="s">
        <v>233</v>
      </c>
      <c r="Y83" s="2" t="s">
        <v>238</v>
      </c>
      <c r="Z83" s="4">
        <v>150</v>
      </c>
      <c r="AA83" s="4">
        <f>=ROUNDDOWN(9.375,0)</f>
      </c>
      <c r="AB83" s="5">
        <v>16</v>
      </c>
      <c r="AC83" s="2" t="s">
        <v>490</v>
      </c>
      <c r="AD83" s="4">
        <v>310</v>
      </c>
      <c r="AE83" s="4">
        <v>410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233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233</v>
      </c>
      <c r="AW83" s="8" t="s">
        <v>233</v>
      </c>
      <c r="AX83" s="4" t="s">
        <v>233</v>
      </c>
      <c r="AY83" s="8" t="s">
        <v>233</v>
      </c>
      <c r="AZ83" s="7" t="s">
        <v>233</v>
      </c>
      <c r="BA83" s="7" t="s">
        <v>233</v>
      </c>
      <c r="BB83" s="7"/>
      <c r="BC83" s="4" t="s">
        <v>233</v>
      </c>
      <c r="BD83" s="8" t="s">
        <v>233</v>
      </c>
      <c r="BE83" s="4" t="s">
        <v>233</v>
      </c>
      <c r="BF83" s="8" t="s">
        <v>233</v>
      </c>
      <c r="BG83" s="7" t="s">
        <v>233</v>
      </c>
      <c r="BH83" s="7" t="s">
        <v>233</v>
      </c>
      <c r="BI83" s="7"/>
      <c r="BJ83" s="4">
        <v>57</v>
      </c>
      <c r="BK83" s="8">
        <v>1240.94</v>
      </c>
      <c r="BL83" s="2" t="s">
        <v>567</v>
      </c>
      <c r="BM83" s="7"/>
      <c r="BN83" s="7"/>
      <c r="BO83" s="4"/>
      <c r="BP83" s="8"/>
      <c r="BQ83" s="4"/>
      <c r="BR83" s="8"/>
      <c r="BS83" s="7"/>
      <c r="BT83" s="7"/>
      <c r="BU83" s="2" t="s">
        <v>471</v>
      </c>
      <c r="BV83" s="2" t="s">
        <v>233</v>
      </c>
      <c r="BW83" s="2" t="s">
        <v>233</v>
      </c>
      <c r="BX83" s="2" t="s">
        <v>241</v>
      </c>
      <c r="BY83" s="2" t="s">
        <v>242</v>
      </c>
      <c r="BZ83" s="2" t="s">
        <v>230</v>
      </c>
      <c r="CA83" s="2" t="s">
        <v>243</v>
      </c>
      <c r="CB83" s="2" t="s">
        <v>568</v>
      </c>
      <c r="CC83" s="2" t="s">
        <v>245</v>
      </c>
      <c r="CD83" s="2" t="s">
        <v>233</v>
      </c>
      <c r="CE83" s="4">
        <v>150</v>
      </c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>
        <v>310</v>
      </c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>
        <v>100</v>
      </c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>
        <v>184</v>
      </c>
      <c r="GD83" s="4">
        <v>139</v>
      </c>
      <c r="GE83" s="4">
        <v>121</v>
      </c>
      <c r="GF83" s="4">
        <v>103</v>
      </c>
      <c r="GG83" s="4">
        <v>67</v>
      </c>
      <c r="GH83" s="4">
        <v>30</v>
      </c>
      <c r="GI83" s="4">
        <v>310</v>
      </c>
      <c r="GJ83" s="4">
        <v>291</v>
      </c>
      <c r="GK83" s="4">
        <v>278</v>
      </c>
      <c r="GL83" s="4">
        <v>257</v>
      </c>
      <c r="GM83" s="4">
        <v>241</v>
      </c>
      <c r="GN83" s="4">
        <v>225</v>
      </c>
      <c r="GO83" s="4">
        <v>309</v>
      </c>
      <c r="GP83" s="4">
        <v>293</v>
      </c>
      <c r="GQ83" s="4">
        <v>277</v>
      </c>
      <c r="GR83" s="4">
        <v>261</v>
      </c>
      <c r="GS83" s="4">
        <v>245</v>
      </c>
      <c r="GT83" s="4">
        <v>229</v>
      </c>
      <c r="GU83" s="4">
        <v>213</v>
      </c>
      <c r="GV83" s="4">
        <v>195</v>
      </c>
      <c r="GW83" s="4">
        <v>177</v>
      </c>
      <c r="GX83" s="4">
        <v>159</v>
      </c>
      <c r="GY83" s="4">
        <v>141</v>
      </c>
      <c r="GZ83" s="4">
        <v>126</v>
      </c>
      <c r="HA83" s="4">
        <v>111</v>
      </c>
      <c r="HB83" s="4">
        <v>159</v>
      </c>
      <c r="HC83" s="19">
        <v>6.3</v>
      </c>
      <c r="HD83" s="19">
        <v>5.1</v>
      </c>
      <c r="HE83" s="19">
        <v>4</v>
      </c>
      <c r="HF83" s="19">
        <v>3.4</v>
      </c>
      <c r="HG83" s="19">
        <v>2.7</v>
      </c>
      <c r="HH83" s="19">
        <v>1.4</v>
      </c>
      <c r="HI83" s="19">
        <v>18.2</v>
      </c>
      <c r="HJ83" s="19">
        <v>18.2</v>
      </c>
      <c r="HK83" s="19">
        <v>16.4</v>
      </c>
      <c r="HL83" s="19">
        <v>16.1</v>
      </c>
      <c r="HM83" s="19">
        <v>15.1</v>
      </c>
      <c r="HN83" s="19">
        <v>14.1</v>
      </c>
      <c r="HO83" s="19">
        <v>19.3</v>
      </c>
      <c r="HP83" s="19">
        <v>18.3</v>
      </c>
      <c r="HQ83" s="19">
        <v>17.3</v>
      </c>
      <c r="HR83" s="19">
        <v>16.3</v>
      </c>
      <c r="HS83" s="19">
        <v>14.4</v>
      </c>
      <c r="HT83" s="19">
        <v>12.7</v>
      </c>
      <c r="HU83" s="19">
        <v>11.8</v>
      </c>
      <c r="HV83" s="19">
        <v>11.5</v>
      </c>
      <c r="HW83" s="19">
        <v>11.1</v>
      </c>
      <c r="HX83" s="19">
        <v>9.9</v>
      </c>
      <c r="HY83" s="19">
        <v>9.4</v>
      </c>
      <c r="HZ83" s="19">
        <v>8.4</v>
      </c>
      <c r="IA83" s="19">
        <v>7.4</v>
      </c>
      <c r="IB83" s="19">
        <v>10.6</v>
      </c>
    </row>
    <row r="84">
      <c r="A84" s="2" t="s">
        <v>569</v>
      </c>
      <c r="B84" s="2" t="s">
        <v>279</v>
      </c>
      <c r="C84" s="2" t="s">
        <v>280</v>
      </c>
      <c r="D84" s="2" t="s">
        <v>281</v>
      </c>
      <c r="E84" s="2" t="s">
        <v>282</v>
      </c>
      <c r="F84" s="2" t="s">
        <v>466</v>
      </c>
      <c r="G84" s="2" t="s">
        <v>466</v>
      </c>
      <c r="H84" s="2" t="s">
        <v>466</v>
      </c>
      <c r="I84" s="2" t="s">
        <v>467</v>
      </c>
      <c r="J84" s="2" t="s">
        <v>285</v>
      </c>
      <c r="K84" s="2" t="s">
        <v>266</v>
      </c>
      <c r="L84" s="3">
        <v>21.5</v>
      </c>
      <c r="M84" s="3">
        <v>22.58</v>
      </c>
      <c r="N84" s="3">
        <v>42.99</v>
      </c>
      <c r="O84" s="2" t="s">
        <v>230</v>
      </c>
      <c r="P84" s="2" t="s">
        <v>231</v>
      </c>
      <c r="Q84" s="2" t="s">
        <v>232</v>
      </c>
      <c r="R84" s="2" t="s">
        <v>233</v>
      </c>
      <c r="S84" s="2" t="s">
        <v>558</v>
      </c>
      <c r="T84" s="2" t="s">
        <v>469</v>
      </c>
      <c r="U84" s="2" t="s">
        <v>233</v>
      </c>
      <c r="V84" s="2" t="s">
        <v>236</v>
      </c>
      <c r="W84" s="2" t="s">
        <v>237</v>
      </c>
      <c r="X84" s="2" t="s">
        <v>233</v>
      </c>
      <c r="Y84" s="2" t="s">
        <v>238</v>
      </c>
      <c r="Z84" s="4">
        <v>83</v>
      </c>
      <c r="AA84" s="4">
        <f>=ROUNDDOWN(34.5833333333333,0)</f>
      </c>
      <c r="AB84" s="5">
        <v>2.4</v>
      </c>
      <c r="AC84" s="2" t="s">
        <v>233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233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233</v>
      </c>
      <c r="AW84" s="8" t="s">
        <v>233</v>
      </c>
      <c r="AX84" s="4" t="s">
        <v>233</v>
      </c>
      <c r="AY84" s="8" t="s">
        <v>233</v>
      </c>
      <c r="AZ84" s="7" t="s">
        <v>233</v>
      </c>
      <c r="BA84" s="7" t="s">
        <v>233</v>
      </c>
      <c r="BB84" s="7"/>
      <c r="BC84" s="4" t="s">
        <v>233</v>
      </c>
      <c r="BD84" s="8" t="s">
        <v>233</v>
      </c>
      <c r="BE84" s="4" t="s">
        <v>233</v>
      </c>
      <c r="BF84" s="8" t="s">
        <v>233</v>
      </c>
      <c r="BG84" s="7" t="s">
        <v>233</v>
      </c>
      <c r="BH84" s="7" t="s">
        <v>233</v>
      </c>
      <c r="BI84" s="7"/>
      <c r="BJ84" s="4">
        <v>10</v>
      </c>
      <c r="BK84" s="8">
        <v>223.49</v>
      </c>
      <c r="BL84" s="2" t="s">
        <v>570</v>
      </c>
      <c r="BM84" s="7"/>
      <c r="BN84" s="7"/>
      <c r="BO84" s="4"/>
      <c r="BP84" s="8"/>
      <c r="BQ84" s="4"/>
      <c r="BR84" s="8"/>
      <c r="BS84" s="7"/>
      <c r="BT84" s="7"/>
      <c r="BU84" s="2" t="s">
        <v>471</v>
      </c>
      <c r="BV84" s="2" t="s">
        <v>233</v>
      </c>
      <c r="BW84" s="2" t="s">
        <v>233</v>
      </c>
      <c r="BX84" s="2" t="s">
        <v>241</v>
      </c>
      <c r="BY84" s="2" t="s">
        <v>242</v>
      </c>
      <c r="BZ84" s="2" t="s">
        <v>230</v>
      </c>
      <c r="CA84" s="2" t="s">
        <v>243</v>
      </c>
      <c r="CB84" s="2" t="s">
        <v>571</v>
      </c>
      <c r="CC84" s="2" t="s">
        <v>245</v>
      </c>
      <c r="CD84" s="2" t="s">
        <v>233</v>
      </c>
      <c r="CE84" s="4">
        <v>83</v>
      </c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>
        <v>86</v>
      </c>
      <c r="GD84" s="4">
        <v>83</v>
      </c>
      <c r="GE84" s="4">
        <v>81</v>
      </c>
      <c r="GF84" s="4">
        <v>79</v>
      </c>
      <c r="GG84" s="4">
        <v>74</v>
      </c>
      <c r="GH84" s="4">
        <v>70</v>
      </c>
      <c r="GI84" s="4">
        <v>67</v>
      </c>
      <c r="GJ84" s="4">
        <v>65</v>
      </c>
      <c r="GK84" s="4">
        <v>64</v>
      </c>
      <c r="GL84" s="4">
        <v>62</v>
      </c>
      <c r="GM84" s="4">
        <v>60</v>
      </c>
      <c r="GN84" s="4">
        <v>58</v>
      </c>
      <c r="GO84" s="4">
        <v>56</v>
      </c>
      <c r="GP84" s="4">
        <v>54</v>
      </c>
      <c r="GQ84" s="4">
        <v>52</v>
      </c>
      <c r="GR84" s="4">
        <v>50</v>
      </c>
      <c r="GS84" s="4">
        <v>48</v>
      </c>
      <c r="GT84" s="4">
        <v>46</v>
      </c>
      <c r="GU84" s="4">
        <v>44</v>
      </c>
      <c r="GV84" s="4">
        <v>42</v>
      </c>
      <c r="GW84" s="4">
        <v>40</v>
      </c>
      <c r="GX84" s="4">
        <v>38</v>
      </c>
      <c r="GY84" s="4">
        <v>36</v>
      </c>
      <c r="GZ84" s="4">
        <v>34</v>
      </c>
      <c r="HA84" s="4">
        <v>32</v>
      </c>
      <c r="HB84" s="4">
        <v>30</v>
      </c>
      <c r="HC84" s="19">
        <v>28.7</v>
      </c>
      <c r="HD84" s="19">
        <v>27.7</v>
      </c>
      <c r="HE84" s="19">
        <v>20.3</v>
      </c>
      <c r="HF84" s="19">
        <v>19.8</v>
      </c>
      <c r="HG84" s="19">
        <v>37</v>
      </c>
      <c r="HH84" s="19">
        <v>35</v>
      </c>
      <c r="HI84" s="19">
        <v>33.5</v>
      </c>
      <c r="HJ84" s="19">
        <v>32.5</v>
      </c>
      <c r="HK84" s="19">
        <v>32</v>
      </c>
      <c r="HL84" s="19">
        <v>31</v>
      </c>
      <c r="HM84" s="19">
        <v>30</v>
      </c>
      <c r="HN84" s="19">
        <v>29</v>
      </c>
      <c r="HO84" s="19">
        <v>28</v>
      </c>
      <c r="HP84" s="19">
        <v>27</v>
      </c>
      <c r="HQ84" s="19">
        <v>26</v>
      </c>
      <c r="HR84" s="19">
        <v>25</v>
      </c>
      <c r="HS84" s="19">
        <v>24</v>
      </c>
      <c r="HT84" s="19">
        <v>23</v>
      </c>
      <c r="HU84" s="19">
        <v>22</v>
      </c>
      <c r="HV84" s="19">
        <v>21</v>
      </c>
      <c r="HW84" s="19">
        <v>20</v>
      </c>
      <c r="HX84" s="19">
        <v>19</v>
      </c>
      <c r="HY84" s="19">
        <v>18</v>
      </c>
      <c r="HZ84" s="19">
        <v>17</v>
      </c>
      <c r="IA84" s="19">
        <v>16</v>
      </c>
      <c r="IB84" s="19">
        <v>15</v>
      </c>
    </row>
    <row r="85">
      <c r="A85" s="2" t="s">
        <v>572</v>
      </c>
      <c r="B85" s="2" t="s">
        <v>222</v>
      </c>
      <c r="C85" s="2" t="s">
        <v>223</v>
      </c>
      <c r="D85" s="2" t="s">
        <v>224</v>
      </c>
      <c r="E85" s="2" t="s">
        <v>225</v>
      </c>
      <c r="F85" s="2" t="s">
        <v>573</v>
      </c>
      <c r="G85" s="2" t="s">
        <v>573</v>
      </c>
      <c r="H85" s="2" t="s">
        <v>573</v>
      </c>
      <c r="I85" s="2" t="s">
        <v>574</v>
      </c>
      <c r="J85" s="2" t="s">
        <v>228</v>
      </c>
      <c r="K85" s="2" t="s">
        <v>266</v>
      </c>
      <c r="L85" s="3">
        <v>73.14</v>
      </c>
      <c r="M85" s="3">
        <v>76.8</v>
      </c>
      <c r="N85" s="3">
        <v>139.99</v>
      </c>
      <c r="O85" s="2" t="s">
        <v>230</v>
      </c>
      <c r="P85" s="2" t="s">
        <v>231</v>
      </c>
      <c r="Q85" s="2" t="s">
        <v>232</v>
      </c>
      <c r="R85" s="2" t="s">
        <v>233</v>
      </c>
      <c r="S85" s="2" t="s">
        <v>575</v>
      </c>
      <c r="T85" s="2" t="s">
        <v>235</v>
      </c>
      <c r="U85" s="2" t="s">
        <v>233</v>
      </c>
      <c r="V85" s="2" t="s">
        <v>236</v>
      </c>
      <c r="W85" s="2" t="s">
        <v>237</v>
      </c>
      <c r="X85" s="2" t="s">
        <v>233</v>
      </c>
      <c r="Y85" s="2" t="s">
        <v>238</v>
      </c>
      <c r="Z85" s="4">
        <v>234</v>
      </c>
      <c r="AA85" s="4">
        <f>=ROUNDDOWN(46.8,0)</f>
      </c>
      <c r="AB85" s="5">
        <v>5</v>
      </c>
      <c r="AC85" s="2" t="s">
        <v>233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233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233</v>
      </c>
      <c r="AW85" s="8" t="s">
        <v>233</v>
      </c>
      <c r="AX85" s="4" t="s">
        <v>233</v>
      </c>
      <c r="AY85" s="8" t="s">
        <v>233</v>
      </c>
      <c r="AZ85" s="7" t="s">
        <v>233</v>
      </c>
      <c r="BA85" s="7" t="s">
        <v>233</v>
      </c>
      <c r="BB85" s="7"/>
      <c r="BC85" s="4" t="s">
        <v>233</v>
      </c>
      <c r="BD85" s="8" t="s">
        <v>233</v>
      </c>
      <c r="BE85" s="4" t="s">
        <v>233</v>
      </c>
      <c r="BF85" s="8" t="s">
        <v>233</v>
      </c>
      <c r="BG85" s="7" t="s">
        <v>233</v>
      </c>
      <c r="BH85" s="7" t="s">
        <v>233</v>
      </c>
      <c r="BI85" s="7"/>
      <c r="BJ85" s="4">
        <v>9</v>
      </c>
      <c r="BK85" s="8">
        <v>697.32</v>
      </c>
      <c r="BL85" s="2" t="s">
        <v>570</v>
      </c>
      <c r="BM85" s="7"/>
      <c r="BN85" s="7"/>
      <c r="BO85" s="4"/>
      <c r="BP85" s="8"/>
      <c r="BQ85" s="4"/>
      <c r="BR85" s="8"/>
      <c r="BS85" s="7"/>
      <c r="BT85" s="7"/>
      <c r="BU85" s="2" t="s">
        <v>576</v>
      </c>
      <c r="BV85" s="2" t="s">
        <v>233</v>
      </c>
      <c r="BW85" s="2" t="s">
        <v>233</v>
      </c>
      <c r="BX85" s="2" t="s">
        <v>241</v>
      </c>
      <c r="BY85" s="2" t="s">
        <v>242</v>
      </c>
      <c r="BZ85" s="2" t="s">
        <v>230</v>
      </c>
      <c r="CA85" s="2" t="s">
        <v>577</v>
      </c>
      <c r="CB85" s="2" t="s">
        <v>578</v>
      </c>
      <c r="CC85" s="2" t="s">
        <v>245</v>
      </c>
      <c r="CD85" s="2" t="s">
        <v>233</v>
      </c>
      <c r="CE85" s="4">
        <v>234</v>
      </c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>
        <v>235</v>
      </c>
      <c r="GD85" s="4">
        <v>228</v>
      </c>
      <c r="GE85" s="4">
        <v>218</v>
      </c>
      <c r="GF85" s="4">
        <v>209</v>
      </c>
      <c r="GG85" s="4">
        <v>194</v>
      </c>
      <c r="GH85" s="4">
        <v>186</v>
      </c>
      <c r="GI85" s="4">
        <v>177</v>
      </c>
      <c r="GJ85" s="4">
        <v>172</v>
      </c>
      <c r="GK85" s="4">
        <v>169</v>
      </c>
      <c r="GL85" s="4">
        <v>165</v>
      </c>
      <c r="GM85" s="4">
        <v>162</v>
      </c>
      <c r="GN85" s="4">
        <v>158</v>
      </c>
      <c r="GO85" s="4">
        <v>154</v>
      </c>
      <c r="GP85" s="4">
        <v>150</v>
      </c>
      <c r="GQ85" s="4">
        <v>147</v>
      </c>
      <c r="GR85" s="4">
        <v>142</v>
      </c>
      <c r="GS85" s="4">
        <v>137</v>
      </c>
      <c r="GT85" s="4">
        <v>131</v>
      </c>
      <c r="GU85" s="4">
        <v>126</v>
      </c>
      <c r="GV85" s="4">
        <v>121</v>
      </c>
      <c r="GW85" s="4">
        <v>116</v>
      </c>
      <c r="GX85" s="4">
        <v>111</v>
      </c>
      <c r="GY85" s="4">
        <v>106</v>
      </c>
      <c r="GZ85" s="4">
        <v>101</v>
      </c>
      <c r="HA85" s="4">
        <v>96</v>
      </c>
      <c r="HB85" s="4">
        <v>91</v>
      </c>
      <c r="HC85" s="19">
        <v>23.5</v>
      </c>
      <c r="HD85" s="19">
        <v>22.8</v>
      </c>
      <c r="HE85" s="19">
        <v>21.8</v>
      </c>
      <c r="HF85" s="19">
        <v>23.2</v>
      </c>
      <c r="HG85" s="19">
        <v>32.3</v>
      </c>
      <c r="HH85" s="19">
        <v>37.2</v>
      </c>
      <c r="HI85" s="19">
        <v>44.3</v>
      </c>
      <c r="HJ85" s="19">
        <v>43</v>
      </c>
      <c r="HK85" s="19">
        <v>42.3</v>
      </c>
      <c r="HL85" s="19">
        <v>41.3</v>
      </c>
      <c r="HM85" s="19">
        <v>40.5</v>
      </c>
      <c r="HN85" s="19">
        <v>39.5</v>
      </c>
      <c r="HO85" s="19">
        <v>38.5</v>
      </c>
      <c r="HP85" s="19">
        <v>30</v>
      </c>
      <c r="HQ85" s="19">
        <v>29.4</v>
      </c>
      <c r="HR85" s="19">
        <v>28.4</v>
      </c>
      <c r="HS85" s="19">
        <v>27.4</v>
      </c>
      <c r="HT85" s="19">
        <v>26.2</v>
      </c>
      <c r="HU85" s="19">
        <v>25.2</v>
      </c>
      <c r="HV85" s="19">
        <v>24.2</v>
      </c>
      <c r="HW85" s="19">
        <v>23.2</v>
      </c>
      <c r="HX85" s="19">
        <v>22.2</v>
      </c>
      <c r="HY85" s="19">
        <v>21.2</v>
      </c>
      <c r="HZ85" s="19">
        <v>20.2</v>
      </c>
      <c r="IA85" s="19">
        <v>19.2</v>
      </c>
      <c r="IB85" s="19">
        <v>18.2</v>
      </c>
    </row>
    <row r="86">
      <c r="A86" s="2" t="s">
        <v>579</v>
      </c>
      <c r="B86" s="2" t="s">
        <v>222</v>
      </c>
      <c r="C86" s="2" t="s">
        <v>223</v>
      </c>
      <c r="D86" s="2" t="s">
        <v>224</v>
      </c>
      <c r="E86" s="2" t="s">
        <v>225</v>
      </c>
      <c r="F86" s="2" t="s">
        <v>573</v>
      </c>
      <c r="G86" s="2" t="s">
        <v>573</v>
      </c>
      <c r="H86" s="2" t="s">
        <v>573</v>
      </c>
      <c r="I86" s="2" t="s">
        <v>574</v>
      </c>
      <c r="J86" s="2" t="s">
        <v>252</v>
      </c>
      <c r="K86" s="2" t="s">
        <v>266</v>
      </c>
      <c r="L86" s="3">
        <v>92.64</v>
      </c>
      <c r="M86" s="3">
        <v>97.27</v>
      </c>
      <c r="N86" s="3">
        <v>179.99</v>
      </c>
      <c r="O86" s="2" t="s">
        <v>230</v>
      </c>
      <c r="P86" s="2" t="s">
        <v>231</v>
      </c>
      <c r="Q86" s="2" t="s">
        <v>232</v>
      </c>
      <c r="R86" s="2" t="s">
        <v>233</v>
      </c>
      <c r="S86" s="2" t="s">
        <v>575</v>
      </c>
      <c r="T86" s="2" t="s">
        <v>235</v>
      </c>
      <c r="U86" s="2" t="s">
        <v>233</v>
      </c>
      <c r="V86" s="2" t="s">
        <v>236</v>
      </c>
      <c r="W86" s="2" t="s">
        <v>237</v>
      </c>
      <c r="X86" s="2" t="s">
        <v>233</v>
      </c>
      <c r="Y86" s="2" t="s">
        <v>238</v>
      </c>
      <c r="Z86" s="4">
        <v>192</v>
      </c>
      <c r="AA86" s="4">
        <f>=ROUNDDOWN(32,0)</f>
      </c>
      <c r="AB86" s="5">
        <v>6</v>
      </c>
      <c r="AC86" s="2" t="s">
        <v>233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233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233</v>
      </c>
      <c r="AW86" s="8" t="s">
        <v>233</v>
      </c>
      <c r="AX86" s="4" t="s">
        <v>233</v>
      </c>
      <c r="AY86" s="8" t="s">
        <v>233</v>
      </c>
      <c r="AZ86" s="7" t="s">
        <v>233</v>
      </c>
      <c r="BA86" s="7" t="s">
        <v>233</v>
      </c>
      <c r="BB86" s="7"/>
      <c r="BC86" s="4" t="s">
        <v>233</v>
      </c>
      <c r="BD86" s="8" t="s">
        <v>233</v>
      </c>
      <c r="BE86" s="4" t="s">
        <v>233</v>
      </c>
      <c r="BF86" s="8" t="s">
        <v>233</v>
      </c>
      <c r="BG86" s="7" t="s">
        <v>233</v>
      </c>
      <c r="BH86" s="7" t="s">
        <v>233</v>
      </c>
      <c r="BI86" s="7"/>
      <c r="BJ86" s="4">
        <v>22</v>
      </c>
      <c r="BK86" s="8">
        <v>2146.4</v>
      </c>
      <c r="BL86" s="2" t="s">
        <v>580</v>
      </c>
      <c r="BM86" s="7"/>
      <c r="BN86" s="7"/>
      <c r="BO86" s="4"/>
      <c r="BP86" s="8"/>
      <c r="BQ86" s="4"/>
      <c r="BR86" s="8"/>
      <c r="BS86" s="7"/>
      <c r="BT86" s="7"/>
      <c r="BU86" s="2" t="s">
        <v>576</v>
      </c>
      <c r="BV86" s="2" t="s">
        <v>233</v>
      </c>
      <c r="BW86" s="2" t="s">
        <v>233</v>
      </c>
      <c r="BX86" s="2" t="s">
        <v>241</v>
      </c>
      <c r="BY86" s="2" t="s">
        <v>242</v>
      </c>
      <c r="BZ86" s="2" t="s">
        <v>230</v>
      </c>
      <c r="CA86" s="2" t="s">
        <v>577</v>
      </c>
      <c r="CB86" s="2" t="s">
        <v>581</v>
      </c>
      <c r="CC86" s="2" t="s">
        <v>245</v>
      </c>
      <c r="CD86" s="2" t="s">
        <v>233</v>
      </c>
      <c r="CE86" s="4">
        <v>120</v>
      </c>
      <c r="CF86" s="4">
        <v>72</v>
      </c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>
        <v>198</v>
      </c>
      <c r="GD86" s="4">
        <v>189</v>
      </c>
      <c r="GE86" s="4">
        <v>180</v>
      </c>
      <c r="GF86" s="4">
        <v>172</v>
      </c>
      <c r="GG86" s="4">
        <v>158</v>
      </c>
      <c r="GH86" s="4">
        <v>148</v>
      </c>
      <c r="GI86" s="4">
        <v>137</v>
      </c>
      <c r="GJ86" s="4">
        <v>131</v>
      </c>
      <c r="GK86" s="4">
        <v>127</v>
      </c>
      <c r="GL86" s="4">
        <v>123</v>
      </c>
      <c r="GM86" s="4">
        <v>119</v>
      </c>
      <c r="GN86" s="4">
        <v>115</v>
      </c>
      <c r="GO86" s="4">
        <v>111</v>
      </c>
      <c r="GP86" s="4">
        <v>107</v>
      </c>
      <c r="GQ86" s="4">
        <v>103</v>
      </c>
      <c r="GR86" s="4">
        <v>98</v>
      </c>
      <c r="GS86" s="4">
        <v>93</v>
      </c>
      <c r="GT86" s="4">
        <v>87</v>
      </c>
      <c r="GU86" s="4">
        <v>82</v>
      </c>
      <c r="GV86" s="4">
        <v>77</v>
      </c>
      <c r="GW86" s="4">
        <v>72</v>
      </c>
      <c r="GX86" s="4">
        <v>67</v>
      </c>
      <c r="GY86" s="4">
        <v>62</v>
      </c>
      <c r="GZ86" s="4">
        <v>57</v>
      </c>
      <c r="HA86" s="4">
        <v>52</v>
      </c>
      <c r="HB86" s="4">
        <v>47</v>
      </c>
      <c r="HC86" s="19">
        <v>19.8</v>
      </c>
      <c r="HD86" s="19">
        <v>18.9</v>
      </c>
      <c r="HE86" s="19">
        <v>16.4</v>
      </c>
      <c r="HF86" s="19">
        <v>17.2</v>
      </c>
      <c r="HG86" s="19">
        <v>19.8</v>
      </c>
      <c r="HH86" s="19">
        <v>24.7</v>
      </c>
      <c r="HI86" s="19">
        <v>34.3</v>
      </c>
      <c r="HJ86" s="19">
        <v>32.8</v>
      </c>
      <c r="HK86" s="19">
        <v>31.8</v>
      </c>
      <c r="HL86" s="19">
        <v>30.8</v>
      </c>
      <c r="HM86" s="19">
        <v>29.8</v>
      </c>
      <c r="HN86" s="19">
        <v>28.8</v>
      </c>
      <c r="HO86" s="19">
        <v>27.8</v>
      </c>
      <c r="HP86" s="19">
        <v>21.4</v>
      </c>
      <c r="HQ86" s="19">
        <v>20.6</v>
      </c>
      <c r="HR86" s="19">
        <v>19.6</v>
      </c>
      <c r="HS86" s="19">
        <v>18.6</v>
      </c>
      <c r="HT86" s="19">
        <v>17.4</v>
      </c>
      <c r="HU86" s="19">
        <v>16.4</v>
      </c>
      <c r="HV86" s="19">
        <v>15.4</v>
      </c>
      <c r="HW86" s="19">
        <v>14.4</v>
      </c>
      <c r="HX86" s="19">
        <v>13.4</v>
      </c>
      <c r="HY86" s="19">
        <v>12.4</v>
      </c>
      <c r="HZ86" s="19">
        <v>11.4</v>
      </c>
      <c r="IA86" s="19">
        <v>10.4</v>
      </c>
      <c r="IB86" s="19">
        <v>9.4</v>
      </c>
    </row>
    <row r="87">
      <c r="A87" s="2" t="s">
        <v>582</v>
      </c>
      <c r="B87" s="2" t="s">
        <v>222</v>
      </c>
      <c r="C87" s="2" t="s">
        <v>223</v>
      </c>
      <c r="D87" s="2" t="s">
        <v>224</v>
      </c>
      <c r="E87" s="2" t="s">
        <v>225</v>
      </c>
      <c r="F87" s="2" t="s">
        <v>573</v>
      </c>
      <c r="G87" s="2" t="s">
        <v>573</v>
      </c>
      <c r="H87" s="2" t="s">
        <v>573</v>
      </c>
      <c r="I87" s="2" t="s">
        <v>574</v>
      </c>
      <c r="J87" s="2" t="s">
        <v>285</v>
      </c>
      <c r="K87" s="2" t="s">
        <v>266</v>
      </c>
      <c r="L87" s="3">
        <v>126.77</v>
      </c>
      <c r="M87" s="3">
        <v>133.11</v>
      </c>
      <c r="N87" s="3">
        <v>249.99</v>
      </c>
      <c r="O87" s="2" t="s">
        <v>230</v>
      </c>
      <c r="P87" s="2" t="s">
        <v>231</v>
      </c>
      <c r="Q87" s="2" t="s">
        <v>232</v>
      </c>
      <c r="R87" s="2" t="s">
        <v>233</v>
      </c>
      <c r="S87" s="2" t="s">
        <v>575</v>
      </c>
      <c r="T87" s="2" t="s">
        <v>235</v>
      </c>
      <c r="U87" s="2" t="s">
        <v>233</v>
      </c>
      <c r="V87" s="2" t="s">
        <v>236</v>
      </c>
      <c r="W87" s="2" t="s">
        <v>237</v>
      </c>
      <c r="X87" s="2" t="s">
        <v>233</v>
      </c>
      <c r="Y87" s="2" t="s">
        <v>238</v>
      </c>
      <c r="Z87" s="4">
        <v>135</v>
      </c>
      <c r="AA87" s="4">
        <f>=ROUNDDOWN(45,0)</f>
      </c>
      <c r="AB87" s="5">
        <v>3</v>
      </c>
      <c r="AC87" s="2" t="s">
        <v>233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233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233</v>
      </c>
      <c r="AW87" s="8" t="s">
        <v>233</v>
      </c>
      <c r="AX87" s="4" t="s">
        <v>233</v>
      </c>
      <c r="AY87" s="8" t="s">
        <v>233</v>
      </c>
      <c r="AZ87" s="7" t="s">
        <v>233</v>
      </c>
      <c r="BA87" s="7" t="s">
        <v>233</v>
      </c>
      <c r="BB87" s="7"/>
      <c r="BC87" s="4" t="s">
        <v>233</v>
      </c>
      <c r="BD87" s="8" t="s">
        <v>233</v>
      </c>
      <c r="BE87" s="4" t="s">
        <v>233</v>
      </c>
      <c r="BF87" s="8" t="s">
        <v>233</v>
      </c>
      <c r="BG87" s="7" t="s">
        <v>233</v>
      </c>
      <c r="BH87" s="7" t="s">
        <v>233</v>
      </c>
      <c r="BI87" s="7"/>
      <c r="BJ87" s="4">
        <v>6</v>
      </c>
      <c r="BK87" s="8">
        <v>830.37</v>
      </c>
      <c r="BL87" s="2" t="s">
        <v>509</v>
      </c>
      <c r="BM87" s="7"/>
      <c r="BN87" s="7"/>
      <c r="BO87" s="4"/>
      <c r="BP87" s="8"/>
      <c r="BQ87" s="4"/>
      <c r="BR87" s="8"/>
      <c r="BS87" s="7"/>
      <c r="BT87" s="7"/>
      <c r="BU87" s="2" t="s">
        <v>576</v>
      </c>
      <c r="BV87" s="2" t="s">
        <v>233</v>
      </c>
      <c r="BW87" s="2" t="s">
        <v>233</v>
      </c>
      <c r="BX87" s="2" t="s">
        <v>241</v>
      </c>
      <c r="BY87" s="2" t="s">
        <v>242</v>
      </c>
      <c r="BZ87" s="2" t="s">
        <v>230</v>
      </c>
      <c r="CA87" s="2" t="s">
        <v>577</v>
      </c>
      <c r="CB87" s="2" t="s">
        <v>583</v>
      </c>
      <c r="CC87" s="2" t="s">
        <v>245</v>
      </c>
      <c r="CD87" s="2" t="s">
        <v>233</v>
      </c>
      <c r="CE87" s="4">
        <v>135</v>
      </c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>
        <v>140</v>
      </c>
      <c r="GD87" s="4">
        <v>134</v>
      </c>
      <c r="GE87" s="4">
        <v>128</v>
      </c>
      <c r="GF87" s="4">
        <v>123</v>
      </c>
      <c r="GG87" s="4">
        <v>114</v>
      </c>
      <c r="GH87" s="4">
        <v>109</v>
      </c>
      <c r="GI87" s="4">
        <v>104</v>
      </c>
      <c r="GJ87" s="4">
        <v>101</v>
      </c>
      <c r="GK87" s="4">
        <v>99</v>
      </c>
      <c r="GL87" s="4">
        <v>97</v>
      </c>
      <c r="GM87" s="4">
        <v>95</v>
      </c>
      <c r="GN87" s="4">
        <v>93</v>
      </c>
      <c r="GO87" s="4">
        <v>91</v>
      </c>
      <c r="GP87" s="4">
        <v>89</v>
      </c>
      <c r="GQ87" s="4">
        <v>87</v>
      </c>
      <c r="GR87" s="4">
        <v>84</v>
      </c>
      <c r="GS87" s="4">
        <v>81</v>
      </c>
      <c r="GT87" s="4">
        <v>78</v>
      </c>
      <c r="GU87" s="4">
        <v>75</v>
      </c>
      <c r="GV87" s="4">
        <v>72</v>
      </c>
      <c r="GW87" s="4">
        <v>69</v>
      </c>
      <c r="GX87" s="4">
        <v>66</v>
      </c>
      <c r="GY87" s="4">
        <v>63</v>
      </c>
      <c r="GZ87" s="4">
        <v>60</v>
      </c>
      <c r="HA87" s="4">
        <v>57</v>
      </c>
      <c r="HB87" s="4">
        <v>54</v>
      </c>
      <c r="HC87" s="19">
        <v>23.3</v>
      </c>
      <c r="HD87" s="19">
        <v>22.3</v>
      </c>
      <c r="HE87" s="19">
        <v>21.3</v>
      </c>
      <c r="HF87" s="19">
        <v>20.5</v>
      </c>
      <c r="HG87" s="19">
        <v>28.5</v>
      </c>
      <c r="HH87" s="19">
        <v>36.3</v>
      </c>
      <c r="HI87" s="19">
        <v>52</v>
      </c>
      <c r="HJ87" s="19">
        <v>50.5</v>
      </c>
      <c r="HK87" s="19">
        <v>49.5</v>
      </c>
      <c r="HL87" s="19">
        <v>48.5</v>
      </c>
      <c r="HM87" s="19">
        <v>47.5</v>
      </c>
      <c r="HN87" s="19">
        <v>46.5</v>
      </c>
      <c r="HO87" s="19">
        <v>45.5</v>
      </c>
      <c r="HP87" s="19">
        <v>29.7</v>
      </c>
      <c r="HQ87" s="19">
        <v>29</v>
      </c>
      <c r="HR87" s="19">
        <v>28</v>
      </c>
      <c r="HS87" s="19">
        <v>27</v>
      </c>
      <c r="HT87" s="19">
        <v>26</v>
      </c>
      <c r="HU87" s="19">
        <v>25</v>
      </c>
      <c r="HV87" s="19">
        <v>24</v>
      </c>
      <c r="HW87" s="19">
        <v>23</v>
      </c>
      <c r="HX87" s="19">
        <v>22</v>
      </c>
      <c r="HY87" s="19">
        <v>21</v>
      </c>
      <c r="HZ87" s="19">
        <v>20</v>
      </c>
      <c r="IA87" s="19">
        <v>19</v>
      </c>
      <c r="IB87" s="19">
        <v>27</v>
      </c>
    </row>
    <row r="88">
      <c r="A88" s="2" t="s">
        <v>584</v>
      </c>
      <c r="B88" s="2" t="s">
        <v>279</v>
      </c>
      <c r="C88" s="2" t="s">
        <v>280</v>
      </c>
      <c r="D88" s="2" t="s">
        <v>281</v>
      </c>
      <c r="E88" s="2" t="s">
        <v>282</v>
      </c>
      <c r="F88" s="2" t="s">
        <v>585</v>
      </c>
      <c r="G88" s="2" t="s">
        <v>585</v>
      </c>
      <c r="H88" s="2" t="s">
        <v>585</v>
      </c>
      <c r="I88" s="2" t="s">
        <v>433</v>
      </c>
      <c r="J88" s="2" t="s">
        <v>336</v>
      </c>
      <c r="K88" s="2" t="s">
        <v>229</v>
      </c>
      <c r="L88" s="3">
        <v>40.25</v>
      </c>
      <c r="M88" s="3">
        <v>42.26</v>
      </c>
      <c r="N88" s="3">
        <v>89.99</v>
      </c>
      <c r="O88" s="2" t="s">
        <v>230</v>
      </c>
      <c r="P88" s="2" t="s">
        <v>586</v>
      </c>
      <c r="Q88" s="2" t="s">
        <v>232</v>
      </c>
      <c r="R88" s="2" t="s">
        <v>233</v>
      </c>
      <c r="S88" s="2" t="s">
        <v>587</v>
      </c>
      <c r="T88" s="2" t="s">
        <v>348</v>
      </c>
      <c r="U88" s="2" t="s">
        <v>287</v>
      </c>
      <c r="V88" s="2" t="s">
        <v>236</v>
      </c>
      <c r="W88" s="2" t="s">
        <v>288</v>
      </c>
      <c r="X88" s="2" t="s">
        <v>237</v>
      </c>
      <c r="Y88" s="2" t="s">
        <v>436</v>
      </c>
      <c r="Z88" s="4">
        <v>192</v>
      </c>
      <c r="AA88" s="4">
        <f>=ROUNDDOWN(7.38461538461539,0)</f>
      </c>
      <c r="AB88" s="5">
        <v>26</v>
      </c>
      <c r="AC88" s="2" t="s">
        <v>140</v>
      </c>
      <c r="AD88" s="4">
        <v>122</v>
      </c>
      <c r="AE88" s="4">
        <v>1376</v>
      </c>
      <c r="AF88" s="6">
        <v>65</v>
      </c>
      <c r="AG88" s="6"/>
      <c r="AH88" s="7">
        <v>0</v>
      </c>
      <c r="AI88" s="4"/>
      <c r="AJ88" s="4">
        <f>=ROUNDDOWN({0},0)</f>
      </c>
      <c r="AK88" s="5"/>
      <c r="AL88" s="2" t="s">
        <v>233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233</v>
      </c>
      <c r="AW88" s="8" t="s">
        <v>233</v>
      </c>
      <c r="AX88" s="4" t="s">
        <v>233</v>
      </c>
      <c r="AY88" s="8" t="s">
        <v>233</v>
      </c>
      <c r="AZ88" s="7" t="s">
        <v>233</v>
      </c>
      <c r="BA88" s="7" t="s">
        <v>233</v>
      </c>
      <c r="BB88" s="7"/>
      <c r="BC88" s="4" t="s">
        <v>233</v>
      </c>
      <c r="BD88" s="8" t="s">
        <v>233</v>
      </c>
      <c r="BE88" s="4" t="s">
        <v>233</v>
      </c>
      <c r="BF88" s="8" t="s">
        <v>233</v>
      </c>
      <c r="BG88" s="7" t="s">
        <v>233</v>
      </c>
      <c r="BH88" s="7" t="s">
        <v>233</v>
      </c>
      <c r="BI88" s="7"/>
      <c r="BJ88" s="4"/>
      <c r="BK88" s="8"/>
      <c r="BL88" s="2" t="s">
        <v>233</v>
      </c>
      <c r="BM88" s="7"/>
      <c r="BN88" s="7"/>
      <c r="BO88" s="4"/>
      <c r="BP88" s="8"/>
      <c r="BQ88" s="4"/>
      <c r="BR88" s="8"/>
      <c r="BS88" s="7"/>
      <c r="BT88" s="7"/>
      <c r="BU88" s="2" t="s">
        <v>588</v>
      </c>
      <c r="BV88" s="2" t="s">
        <v>233</v>
      </c>
      <c r="BW88" s="2" t="s">
        <v>233</v>
      </c>
      <c r="BX88" s="2" t="s">
        <v>241</v>
      </c>
      <c r="BY88" s="2" t="s">
        <v>242</v>
      </c>
      <c r="BZ88" s="2" t="s">
        <v>230</v>
      </c>
      <c r="CA88" s="2" t="s">
        <v>439</v>
      </c>
      <c r="CB88" s="2" t="s">
        <v>589</v>
      </c>
      <c r="CC88" s="2" t="s">
        <v>245</v>
      </c>
      <c r="CD88" s="2" t="s">
        <v>233</v>
      </c>
      <c r="CE88" s="4">
        <v>192</v>
      </c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>
        <v>122</v>
      </c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>
        <v>360</v>
      </c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>
        <v>280</v>
      </c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>
        <v>614</v>
      </c>
      <c r="GC88" s="4">
        <v>199</v>
      </c>
      <c r="GD88" s="4">
        <v>161</v>
      </c>
      <c r="GE88" s="4">
        <v>244</v>
      </c>
      <c r="GF88" s="4">
        <v>179</v>
      </c>
      <c r="GG88" s="4">
        <v>62</v>
      </c>
      <c r="GH88" s="4">
        <v>360</v>
      </c>
      <c r="GI88" s="4">
        <v>282</v>
      </c>
      <c r="GJ88" s="4">
        <v>243</v>
      </c>
      <c r="GK88" s="4">
        <v>217</v>
      </c>
      <c r="GL88" s="4">
        <v>181</v>
      </c>
      <c r="GM88" s="4">
        <v>440</v>
      </c>
      <c r="GN88" s="4">
        <v>419</v>
      </c>
      <c r="GO88" s="4">
        <v>398</v>
      </c>
      <c r="GP88" s="4">
        <v>377</v>
      </c>
      <c r="GQ88" s="4">
        <v>356</v>
      </c>
      <c r="GR88" s="4">
        <v>335</v>
      </c>
      <c r="GS88" s="4">
        <v>314</v>
      </c>
      <c r="GT88" s="4">
        <v>293</v>
      </c>
      <c r="GU88" s="4">
        <v>272</v>
      </c>
      <c r="GV88" s="4">
        <v>249</v>
      </c>
      <c r="GW88" s="4">
        <v>840</v>
      </c>
      <c r="GX88" s="4">
        <v>817</v>
      </c>
      <c r="GY88" s="4">
        <v>794</v>
      </c>
      <c r="GZ88" s="4">
        <v>768</v>
      </c>
      <c r="HA88" s="4">
        <v>742</v>
      </c>
      <c r="HB88" s="4">
        <v>716</v>
      </c>
      <c r="HC88" s="19">
        <v>3.1</v>
      </c>
      <c r="HD88" s="19">
        <v>2.1</v>
      </c>
      <c r="HE88" s="19">
        <v>2.8</v>
      </c>
      <c r="HF88" s="19">
        <v>2.2</v>
      </c>
      <c r="HG88" s="19">
        <v>1.1</v>
      </c>
      <c r="HH88" s="19">
        <v>8</v>
      </c>
      <c r="HI88" s="19">
        <v>9.4</v>
      </c>
      <c r="HJ88" s="19">
        <v>9.3</v>
      </c>
      <c r="HK88" s="19">
        <v>8.7</v>
      </c>
      <c r="HL88" s="19">
        <v>8.6</v>
      </c>
      <c r="HM88" s="19">
        <v>21</v>
      </c>
      <c r="HN88" s="19">
        <v>20</v>
      </c>
      <c r="HO88" s="19">
        <v>19</v>
      </c>
      <c r="HP88" s="19">
        <v>18</v>
      </c>
      <c r="HQ88" s="19">
        <v>17</v>
      </c>
      <c r="HR88" s="19">
        <v>15.2</v>
      </c>
      <c r="HS88" s="19">
        <v>14.3</v>
      </c>
      <c r="HT88" s="19">
        <v>13.3</v>
      </c>
      <c r="HU88" s="19">
        <v>11.8</v>
      </c>
      <c r="HV88" s="19">
        <v>10.4</v>
      </c>
      <c r="HW88" s="19">
        <v>35</v>
      </c>
      <c r="HX88" s="19">
        <v>32.7</v>
      </c>
      <c r="HY88" s="19">
        <v>30.5</v>
      </c>
      <c r="HZ88" s="19">
        <v>29.5</v>
      </c>
      <c r="IA88" s="19">
        <v>28.5</v>
      </c>
      <c r="IB88" s="19">
        <v>27.5</v>
      </c>
    </row>
    <row r="89">
      <c r="A89" s="2" t="s">
        <v>590</v>
      </c>
      <c r="B89" s="2" t="s">
        <v>279</v>
      </c>
      <c r="C89" s="2" t="s">
        <v>280</v>
      </c>
      <c r="D89" s="2" t="s">
        <v>281</v>
      </c>
      <c r="E89" s="2" t="s">
        <v>282</v>
      </c>
      <c r="F89" s="2" t="s">
        <v>585</v>
      </c>
      <c r="G89" s="2" t="s">
        <v>585</v>
      </c>
      <c r="H89" s="2" t="s">
        <v>585</v>
      </c>
      <c r="I89" s="2" t="s">
        <v>433</v>
      </c>
      <c r="J89" s="2" t="s">
        <v>256</v>
      </c>
      <c r="K89" s="2" t="s">
        <v>229</v>
      </c>
      <c r="L89" s="3">
        <v>45.5</v>
      </c>
      <c r="M89" s="3">
        <v>47.78</v>
      </c>
      <c r="N89" s="3">
        <v>99.99</v>
      </c>
      <c r="O89" s="2" t="s">
        <v>230</v>
      </c>
      <c r="P89" s="2" t="s">
        <v>231</v>
      </c>
      <c r="Q89" s="2" t="s">
        <v>232</v>
      </c>
      <c r="R89" s="2" t="s">
        <v>233</v>
      </c>
      <c r="S89" s="2" t="s">
        <v>587</v>
      </c>
      <c r="T89" s="2" t="s">
        <v>348</v>
      </c>
      <c r="U89" s="2" t="s">
        <v>287</v>
      </c>
      <c r="V89" s="2" t="s">
        <v>236</v>
      </c>
      <c r="W89" s="2" t="s">
        <v>288</v>
      </c>
      <c r="X89" s="2" t="s">
        <v>237</v>
      </c>
      <c r="Y89" s="2" t="s">
        <v>436</v>
      </c>
      <c r="Z89" s="4">
        <v>137</v>
      </c>
      <c r="AA89" s="4">
        <f>=ROUNDDOWN(11.8103448275862,0)</f>
      </c>
      <c r="AB89" s="5">
        <v>11.6</v>
      </c>
      <c r="AC89" s="2" t="s">
        <v>140</v>
      </c>
      <c r="AD89" s="4">
        <v>60</v>
      </c>
      <c r="AE89" s="4">
        <v>300</v>
      </c>
      <c r="AF89" s="6">
        <v>65</v>
      </c>
      <c r="AG89" s="6"/>
      <c r="AH89" s="7">
        <v>0</v>
      </c>
      <c r="AI89" s="4"/>
      <c r="AJ89" s="4">
        <f>=ROUNDDOWN({0},0)</f>
      </c>
      <c r="AK89" s="5"/>
      <c r="AL89" s="2" t="s">
        <v>233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233</v>
      </c>
      <c r="AW89" s="8" t="s">
        <v>233</v>
      </c>
      <c r="AX89" s="4" t="s">
        <v>233</v>
      </c>
      <c r="AY89" s="8" t="s">
        <v>233</v>
      </c>
      <c r="AZ89" s="7" t="s">
        <v>233</v>
      </c>
      <c r="BA89" s="7" t="s">
        <v>233</v>
      </c>
      <c r="BB89" s="7"/>
      <c r="BC89" s="4" t="s">
        <v>233</v>
      </c>
      <c r="BD89" s="8" t="s">
        <v>233</v>
      </c>
      <c r="BE89" s="4" t="s">
        <v>233</v>
      </c>
      <c r="BF89" s="8" t="s">
        <v>233</v>
      </c>
      <c r="BG89" s="7" t="s">
        <v>233</v>
      </c>
      <c r="BH89" s="7" t="s">
        <v>233</v>
      </c>
      <c r="BI89" s="7"/>
      <c r="BJ89" s="4"/>
      <c r="BK89" s="8"/>
      <c r="BL89" s="2" t="s">
        <v>233</v>
      </c>
      <c r="BM89" s="7"/>
      <c r="BN89" s="7"/>
      <c r="BO89" s="4"/>
      <c r="BP89" s="8"/>
      <c r="BQ89" s="4"/>
      <c r="BR89" s="8"/>
      <c r="BS89" s="7"/>
      <c r="BT89" s="7"/>
      <c r="BU89" s="2" t="s">
        <v>588</v>
      </c>
      <c r="BV89" s="2" t="s">
        <v>233</v>
      </c>
      <c r="BW89" s="2" t="s">
        <v>233</v>
      </c>
      <c r="BX89" s="2" t="s">
        <v>241</v>
      </c>
      <c r="BY89" s="2" t="s">
        <v>242</v>
      </c>
      <c r="BZ89" s="2" t="s">
        <v>230</v>
      </c>
      <c r="CA89" s="2" t="s">
        <v>439</v>
      </c>
      <c r="CB89" s="2" t="s">
        <v>591</v>
      </c>
      <c r="CC89" s="2" t="s">
        <v>245</v>
      </c>
      <c r="CD89" s="2" t="s">
        <v>233</v>
      </c>
      <c r="CE89" s="4">
        <v>137</v>
      </c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>
        <v>60</v>
      </c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>
        <v>140</v>
      </c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>
        <v>100</v>
      </c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>
        <v>140</v>
      </c>
      <c r="GD89" s="4">
        <v>125</v>
      </c>
      <c r="GE89" s="4">
        <v>168</v>
      </c>
      <c r="GF89" s="4">
        <v>145</v>
      </c>
      <c r="GG89" s="4">
        <v>106</v>
      </c>
      <c r="GH89" s="4">
        <v>213</v>
      </c>
      <c r="GI89" s="4">
        <v>185</v>
      </c>
      <c r="GJ89" s="4">
        <v>172</v>
      </c>
      <c r="GK89" s="4">
        <v>161</v>
      </c>
      <c r="GL89" s="4">
        <v>146</v>
      </c>
      <c r="GM89" s="4">
        <v>237</v>
      </c>
      <c r="GN89" s="4">
        <v>228</v>
      </c>
      <c r="GO89" s="4">
        <v>219</v>
      </c>
      <c r="GP89" s="4">
        <v>210</v>
      </c>
      <c r="GQ89" s="4">
        <v>201</v>
      </c>
      <c r="GR89" s="4">
        <v>192</v>
      </c>
      <c r="GS89" s="4">
        <v>183</v>
      </c>
      <c r="GT89" s="4">
        <v>174</v>
      </c>
      <c r="GU89" s="4">
        <v>165</v>
      </c>
      <c r="GV89" s="4">
        <v>155</v>
      </c>
      <c r="GW89" s="4">
        <v>145</v>
      </c>
      <c r="GX89" s="4">
        <v>135</v>
      </c>
      <c r="GY89" s="4">
        <v>125</v>
      </c>
      <c r="GZ89" s="4">
        <v>113</v>
      </c>
      <c r="HA89" s="4">
        <v>101</v>
      </c>
      <c r="HB89" s="4">
        <v>89</v>
      </c>
      <c r="HC89" s="19">
        <v>5.8</v>
      </c>
      <c r="HD89" s="19">
        <v>4.5</v>
      </c>
      <c r="HE89" s="19">
        <v>5.4</v>
      </c>
      <c r="HF89" s="19">
        <v>5.2</v>
      </c>
      <c r="HG89" s="19">
        <v>5</v>
      </c>
      <c r="HH89" s="19">
        <v>12.5</v>
      </c>
      <c r="HI89" s="19">
        <v>15.4</v>
      </c>
      <c r="HJ89" s="19">
        <v>15.6</v>
      </c>
      <c r="HK89" s="19">
        <v>16.1</v>
      </c>
      <c r="HL89" s="19">
        <v>16.2</v>
      </c>
      <c r="HM89" s="19">
        <v>26.3</v>
      </c>
      <c r="HN89" s="19">
        <v>25.3</v>
      </c>
      <c r="HO89" s="19">
        <v>24.3</v>
      </c>
      <c r="HP89" s="19">
        <v>23.3</v>
      </c>
      <c r="HQ89" s="19">
        <v>22.3</v>
      </c>
      <c r="HR89" s="19">
        <v>21.3</v>
      </c>
      <c r="HS89" s="19">
        <v>18.3</v>
      </c>
      <c r="HT89" s="19">
        <v>17.4</v>
      </c>
      <c r="HU89" s="19">
        <v>16.5</v>
      </c>
      <c r="HV89" s="19">
        <v>15.5</v>
      </c>
      <c r="HW89" s="19">
        <v>13.2</v>
      </c>
      <c r="HX89" s="19">
        <v>11.3</v>
      </c>
      <c r="HY89" s="19">
        <v>10.4</v>
      </c>
      <c r="HZ89" s="19">
        <v>9.4</v>
      </c>
      <c r="IA89" s="19">
        <v>8.4</v>
      </c>
      <c r="IB89" s="19">
        <v>7.4</v>
      </c>
    </row>
    <row r="90">
      <c r="A90" s="2" t="s">
        <v>592</v>
      </c>
      <c r="B90" s="2" t="s">
        <v>279</v>
      </c>
      <c r="C90" s="2" t="s">
        <v>280</v>
      </c>
      <c r="D90" s="2" t="s">
        <v>281</v>
      </c>
      <c r="E90" s="2" t="s">
        <v>282</v>
      </c>
      <c r="F90" s="2" t="s">
        <v>585</v>
      </c>
      <c r="G90" s="2" t="s">
        <v>585</v>
      </c>
      <c r="H90" s="2" t="s">
        <v>585</v>
      </c>
      <c r="I90" s="2" t="s">
        <v>433</v>
      </c>
      <c r="J90" s="2" t="s">
        <v>336</v>
      </c>
      <c r="K90" s="2" t="s">
        <v>593</v>
      </c>
      <c r="L90" s="3">
        <v>40.25</v>
      </c>
      <c r="M90" s="3">
        <v>42.26</v>
      </c>
      <c r="N90" s="3">
        <v>89.99</v>
      </c>
      <c r="O90" s="2" t="s">
        <v>230</v>
      </c>
      <c r="P90" s="2" t="s">
        <v>586</v>
      </c>
      <c r="Q90" s="2" t="s">
        <v>232</v>
      </c>
      <c r="R90" s="2" t="s">
        <v>233</v>
      </c>
      <c r="S90" s="2" t="s">
        <v>594</v>
      </c>
      <c r="T90" s="2" t="s">
        <v>348</v>
      </c>
      <c r="U90" s="2" t="s">
        <v>287</v>
      </c>
      <c r="V90" s="2" t="s">
        <v>236</v>
      </c>
      <c r="W90" s="2" t="s">
        <v>288</v>
      </c>
      <c r="X90" s="2" t="s">
        <v>237</v>
      </c>
      <c r="Y90" s="2" t="s">
        <v>436</v>
      </c>
      <c r="Z90" s="4">
        <v>174</v>
      </c>
      <c r="AA90" s="4">
        <f>=ROUNDDOWN(8.48780487804878,0)</f>
      </c>
      <c r="AB90" s="5">
        <v>20.5</v>
      </c>
      <c r="AC90" s="2" t="s">
        <v>140</v>
      </c>
      <c r="AD90" s="4">
        <v>170</v>
      </c>
      <c r="AE90" s="4">
        <v>800</v>
      </c>
      <c r="AF90" s="6">
        <v>65</v>
      </c>
      <c r="AG90" s="6"/>
      <c r="AH90" s="7">
        <v>0</v>
      </c>
      <c r="AI90" s="4"/>
      <c r="AJ90" s="4">
        <f>=ROUNDDOWN({0},0)</f>
      </c>
      <c r="AK90" s="5"/>
      <c r="AL90" s="2" t="s">
        <v>233</v>
      </c>
      <c r="AM90" s="4"/>
      <c r="AN90" s="4"/>
      <c r="AO90" s="7"/>
      <c r="AP90" s="4"/>
      <c r="AQ90" s="8"/>
      <c r="AR90" s="4"/>
      <c r="AS90" s="8"/>
      <c r="AT90" s="7"/>
      <c r="AU90" s="7"/>
      <c r="AV90" s="4"/>
      <c r="AW90" s="8"/>
      <c r="AX90" s="4"/>
      <c r="AY90" s="8"/>
      <c r="AZ90" s="7"/>
      <c r="BA90" s="7"/>
      <c r="BB90" s="7"/>
      <c r="BC90" s="4" t="s">
        <v>233</v>
      </c>
      <c r="BD90" s="8" t="s">
        <v>233</v>
      </c>
      <c r="BE90" s="4" t="s">
        <v>233</v>
      </c>
      <c r="BF90" s="8" t="s">
        <v>233</v>
      </c>
      <c r="BG90" s="7" t="s">
        <v>233</v>
      </c>
      <c r="BH90" s="7" t="s">
        <v>233</v>
      </c>
      <c r="BI90" s="7"/>
      <c r="BJ90" s="4"/>
      <c r="BK90" s="8"/>
      <c r="BL90" s="2" t="s">
        <v>233</v>
      </c>
      <c r="BM90" s="7"/>
      <c r="BN90" s="7"/>
      <c r="BO90" s="4"/>
      <c r="BP90" s="8"/>
      <c r="BQ90" s="4"/>
      <c r="BR90" s="8"/>
      <c r="BS90" s="7"/>
      <c r="BT90" s="7"/>
      <c r="BU90" s="2" t="s">
        <v>588</v>
      </c>
      <c r="BV90" s="2" t="s">
        <v>233</v>
      </c>
      <c r="BW90" s="2" t="s">
        <v>233</v>
      </c>
      <c r="BX90" s="2" t="s">
        <v>241</v>
      </c>
      <c r="BY90" s="2" t="s">
        <v>242</v>
      </c>
      <c r="BZ90" s="2" t="s">
        <v>230</v>
      </c>
      <c r="CA90" s="2" t="s">
        <v>439</v>
      </c>
      <c r="CB90" s="2" t="s">
        <v>595</v>
      </c>
      <c r="CC90" s="2" t="s">
        <v>245</v>
      </c>
      <c r="CD90" s="2" t="s">
        <v>233</v>
      </c>
      <c r="CE90" s="4">
        <v>174</v>
      </c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>
        <v>170</v>
      </c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>
        <v>370</v>
      </c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>
        <v>120</v>
      </c>
      <c r="EU90" s="4"/>
      <c r="EV90" s="4"/>
      <c r="EW90" s="4"/>
      <c r="EX90" s="4"/>
      <c r="EY90" s="4"/>
      <c r="EZ90" s="4"/>
      <c r="FA90" s="4"/>
      <c r="FB90" s="4"/>
      <c r="FC90" s="4"/>
      <c r="FD90" s="4">
        <v>140</v>
      </c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>
        <v>180</v>
      </c>
      <c r="GD90" s="4">
        <v>145</v>
      </c>
      <c r="GE90" s="4">
        <v>284</v>
      </c>
      <c r="GF90" s="4">
        <v>233</v>
      </c>
      <c r="GG90" s="4">
        <v>142</v>
      </c>
      <c r="GH90" s="4">
        <v>441</v>
      </c>
      <c r="GI90" s="4">
        <v>380</v>
      </c>
      <c r="GJ90" s="4">
        <v>349</v>
      </c>
      <c r="GK90" s="4">
        <v>328</v>
      </c>
      <c r="GL90" s="4">
        <v>299</v>
      </c>
      <c r="GM90" s="4">
        <v>402</v>
      </c>
      <c r="GN90" s="4">
        <v>385</v>
      </c>
      <c r="GO90" s="4">
        <v>508</v>
      </c>
      <c r="GP90" s="4">
        <v>491</v>
      </c>
      <c r="GQ90" s="4">
        <v>474</v>
      </c>
      <c r="GR90" s="4">
        <v>457</v>
      </c>
      <c r="GS90" s="4">
        <v>440</v>
      </c>
      <c r="GT90" s="4">
        <v>423</v>
      </c>
      <c r="GU90" s="4">
        <v>406</v>
      </c>
      <c r="GV90" s="4">
        <v>387</v>
      </c>
      <c r="GW90" s="4">
        <v>368</v>
      </c>
      <c r="GX90" s="4">
        <v>349</v>
      </c>
      <c r="GY90" s="4">
        <v>330</v>
      </c>
      <c r="GZ90" s="4">
        <v>309</v>
      </c>
      <c r="HA90" s="4">
        <v>288</v>
      </c>
      <c r="HB90" s="4">
        <v>267</v>
      </c>
      <c r="HC90" s="19">
        <v>3.5</v>
      </c>
      <c r="HD90" s="19">
        <v>2.4</v>
      </c>
      <c r="HE90" s="19">
        <v>4.2</v>
      </c>
      <c r="HF90" s="19">
        <v>3.6</v>
      </c>
      <c r="HG90" s="19">
        <v>3.1</v>
      </c>
      <c r="HH90" s="19">
        <v>12.3</v>
      </c>
      <c r="HI90" s="19">
        <v>15.8</v>
      </c>
      <c r="HJ90" s="19">
        <v>16.6</v>
      </c>
      <c r="HK90" s="19">
        <v>16.4</v>
      </c>
      <c r="HL90" s="19">
        <v>17.6</v>
      </c>
      <c r="HM90" s="19">
        <v>23.6</v>
      </c>
      <c r="HN90" s="19">
        <v>22.6</v>
      </c>
      <c r="HO90" s="19">
        <v>29.9</v>
      </c>
      <c r="HP90" s="19">
        <v>28.9</v>
      </c>
      <c r="HQ90" s="19">
        <v>27.9</v>
      </c>
      <c r="HR90" s="19">
        <v>25.4</v>
      </c>
      <c r="HS90" s="19">
        <v>24.4</v>
      </c>
      <c r="HT90" s="19">
        <v>23.5</v>
      </c>
      <c r="HU90" s="19">
        <v>21.4</v>
      </c>
      <c r="HV90" s="19">
        <v>19.4</v>
      </c>
      <c r="HW90" s="19">
        <v>18.4</v>
      </c>
      <c r="HX90" s="19">
        <v>17.5</v>
      </c>
      <c r="HY90" s="19">
        <v>15.7</v>
      </c>
      <c r="HZ90" s="19">
        <v>14.7</v>
      </c>
      <c r="IA90" s="19">
        <v>13.7</v>
      </c>
      <c r="IB90" s="19">
        <v>12.7</v>
      </c>
    </row>
    <row r="91">
      <c r="A91" s="2" t="s">
        <v>596</v>
      </c>
      <c r="B91" s="2" t="s">
        <v>279</v>
      </c>
      <c r="C91" s="2" t="s">
        <v>280</v>
      </c>
      <c r="D91" s="2" t="s">
        <v>281</v>
      </c>
      <c r="E91" s="2" t="s">
        <v>282</v>
      </c>
      <c r="F91" s="2" t="s">
        <v>585</v>
      </c>
      <c r="G91" s="2" t="s">
        <v>585</v>
      </c>
      <c r="H91" s="2" t="s">
        <v>585</v>
      </c>
      <c r="I91" s="2" t="s">
        <v>433</v>
      </c>
      <c r="J91" s="2" t="s">
        <v>336</v>
      </c>
      <c r="K91" s="2" t="s">
        <v>266</v>
      </c>
      <c r="L91" s="3">
        <v>40.25</v>
      </c>
      <c r="M91" s="3">
        <v>42.26</v>
      </c>
      <c r="N91" s="3">
        <v>89.99</v>
      </c>
      <c r="O91" s="2" t="s">
        <v>230</v>
      </c>
      <c r="P91" s="2" t="s">
        <v>597</v>
      </c>
      <c r="Q91" s="2" t="s">
        <v>232</v>
      </c>
      <c r="R91" s="2" t="s">
        <v>233</v>
      </c>
      <c r="S91" s="2" t="s">
        <v>598</v>
      </c>
      <c r="T91" s="2" t="s">
        <v>348</v>
      </c>
      <c r="U91" s="2" t="s">
        <v>287</v>
      </c>
      <c r="V91" s="2" t="s">
        <v>236</v>
      </c>
      <c r="W91" s="2" t="s">
        <v>288</v>
      </c>
      <c r="X91" s="2" t="s">
        <v>237</v>
      </c>
      <c r="Y91" s="2" t="s">
        <v>436</v>
      </c>
      <c r="Z91" s="4">
        <v>173</v>
      </c>
      <c r="AA91" s="4">
        <f>=ROUNDDOWN(5.58064516129032,0)</f>
      </c>
      <c r="AB91" s="5">
        <v>31</v>
      </c>
      <c r="AC91" s="2" t="s">
        <v>140</v>
      </c>
      <c r="AD91" s="4">
        <v>160</v>
      </c>
      <c r="AE91" s="4">
        <v>1260</v>
      </c>
      <c r="AF91" s="6">
        <v>65</v>
      </c>
      <c r="AG91" s="6"/>
      <c r="AH91" s="7">
        <v>0</v>
      </c>
      <c r="AI91" s="4"/>
      <c r="AJ91" s="4">
        <f>=ROUNDDOWN({0},0)</f>
      </c>
      <c r="AK91" s="5"/>
      <c r="AL91" s="2" t="s">
        <v>233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233</v>
      </c>
      <c r="AW91" s="8" t="s">
        <v>233</v>
      </c>
      <c r="AX91" s="4" t="s">
        <v>233</v>
      </c>
      <c r="AY91" s="8" t="s">
        <v>233</v>
      </c>
      <c r="AZ91" s="7" t="s">
        <v>233</v>
      </c>
      <c r="BA91" s="7" t="s">
        <v>233</v>
      </c>
      <c r="BB91" s="7"/>
      <c r="BC91" s="4" t="s">
        <v>233</v>
      </c>
      <c r="BD91" s="8" t="s">
        <v>233</v>
      </c>
      <c r="BE91" s="4" t="s">
        <v>233</v>
      </c>
      <c r="BF91" s="8" t="s">
        <v>233</v>
      </c>
      <c r="BG91" s="7" t="s">
        <v>233</v>
      </c>
      <c r="BH91" s="7" t="s">
        <v>233</v>
      </c>
      <c r="BI91" s="7"/>
      <c r="BJ91" s="4">
        <v>2</v>
      </c>
      <c r="BK91" s="8">
        <v>102.64</v>
      </c>
      <c r="BL91" s="2" t="s">
        <v>599</v>
      </c>
      <c r="BM91" s="7"/>
      <c r="BN91" s="7"/>
      <c r="BO91" s="4"/>
      <c r="BP91" s="8"/>
      <c r="BQ91" s="4"/>
      <c r="BR91" s="8"/>
      <c r="BS91" s="7"/>
      <c r="BT91" s="7"/>
      <c r="BU91" s="2" t="s">
        <v>588</v>
      </c>
      <c r="BV91" s="2" t="s">
        <v>233</v>
      </c>
      <c r="BW91" s="2" t="s">
        <v>233</v>
      </c>
      <c r="BX91" s="2" t="s">
        <v>241</v>
      </c>
      <c r="BY91" s="2" t="s">
        <v>242</v>
      </c>
      <c r="BZ91" s="2" t="s">
        <v>230</v>
      </c>
      <c r="CA91" s="2" t="s">
        <v>439</v>
      </c>
      <c r="CB91" s="2" t="s">
        <v>600</v>
      </c>
      <c r="CC91" s="2" t="s">
        <v>245</v>
      </c>
      <c r="CD91" s="2" t="s">
        <v>233</v>
      </c>
      <c r="CE91" s="4">
        <v>173</v>
      </c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>
        <v>160</v>
      </c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>
        <v>600</v>
      </c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>
        <v>300</v>
      </c>
      <c r="EU91" s="4"/>
      <c r="EV91" s="4"/>
      <c r="EW91" s="4"/>
      <c r="EX91" s="4"/>
      <c r="EY91" s="4"/>
      <c r="EZ91" s="4"/>
      <c r="FA91" s="4"/>
      <c r="FB91" s="4"/>
      <c r="FC91" s="4"/>
      <c r="FD91" s="4">
        <v>200</v>
      </c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>
        <v>178</v>
      </c>
      <c r="GD91" s="4">
        <v>137</v>
      </c>
      <c r="GE91" s="4">
        <v>252</v>
      </c>
      <c r="GF91" s="4">
        <v>177</v>
      </c>
      <c r="GG91" s="4">
        <v>42</v>
      </c>
      <c r="GH91" s="4">
        <v>600</v>
      </c>
      <c r="GI91" s="4">
        <v>509</v>
      </c>
      <c r="GJ91" s="4">
        <v>463</v>
      </c>
      <c r="GK91" s="4">
        <v>432</v>
      </c>
      <c r="GL91" s="4">
        <v>389</v>
      </c>
      <c r="GM91" s="4">
        <v>664</v>
      </c>
      <c r="GN91" s="4">
        <v>639</v>
      </c>
      <c r="GO91" s="4">
        <v>814</v>
      </c>
      <c r="GP91" s="4">
        <v>789</v>
      </c>
      <c r="GQ91" s="4">
        <v>764</v>
      </c>
      <c r="GR91" s="4">
        <v>739</v>
      </c>
      <c r="GS91" s="4">
        <v>714</v>
      </c>
      <c r="GT91" s="4">
        <v>689</v>
      </c>
      <c r="GU91" s="4">
        <v>664</v>
      </c>
      <c r="GV91" s="4">
        <v>636</v>
      </c>
      <c r="GW91" s="4">
        <v>608</v>
      </c>
      <c r="GX91" s="4">
        <v>580</v>
      </c>
      <c r="GY91" s="4">
        <v>552</v>
      </c>
      <c r="GZ91" s="4">
        <v>521</v>
      </c>
      <c r="HA91" s="4">
        <v>490</v>
      </c>
      <c r="HB91" s="4">
        <v>459</v>
      </c>
      <c r="HC91" s="19">
        <v>2.4</v>
      </c>
      <c r="HD91" s="19">
        <v>1.5</v>
      </c>
      <c r="HE91" s="19">
        <v>2.5</v>
      </c>
      <c r="HF91" s="19">
        <v>1.9</v>
      </c>
      <c r="HG91" s="19">
        <v>0.6</v>
      </c>
      <c r="HH91" s="19">
        <v>11.3</v>
      </c>
      <c r="HI91" s="19">
        <v>14.1</v>
      </c>
      <c r="HJ91" s="19">
        <v>14.9</v>
      </c>
      <c r="HK91" s="19">
        <v>14.4</v>
      </c>
      <c r="HL91" s="19">
        <v>15.6</v>
      </c>
      <c r="HM91" s="19">
        <v>26.6</v>
      </c>
      <c r="HN91" s="19">
        <v>25.6</v>
      </c>
      <c r="HO91" s="19">
        <v>32.6</v>
      </c>
      <c r="HP91" s="19">
        <v>31.6</v>
      </c>
      <c r="HQ91" s="19">
        <v>30.6</v>
      </c>
      <c r="HR91" s="19">
        <v>28.4</v>
      </c>
      <c r="HS91" s="19">
        <v>27.5</v>
      </c>
      <c r="HT91" s="19">
        <v>25.5</v>
      </c>
      <c r="HU91" s="19">
        <v>23.7</v>
      </c>
      <c r="HV91" s="19">
        <v>21.9</v>
      </c>
      <c r="HW91" s="19">
        <v>20.3</v>
      </c>
      <c r="HX91" s="19">
        <v>19.3</v>
      </c>
      <c r="HY91" s="19">
        <v>17.8</v>
      </c>
      <c r="HZ91" s="19">
        <v>16.8</v>
      </c>
      <c r="IA91" s="19">
        <v>15.8</v>
      </c>
      <c r="IB91" s="19">
        <v>14.8</v>
      </c>
    </row>
    <row r="92">
      <c r="A92" s="2" t="s">
        <v>601</v>
      </c>
      <c r="B92" s="2" t="s">
        <v>279</v>
      </c>
      <c r="C92" s="2" t="s">
        <v>280</v>
      </c>
      <c r="D92" s="2" t="s">
        <v>281</v>
      </c>
      <c r="E92" s="2" t="s">
        <v>282</v>
      </c>
      <c r="F92" s="2" t="s">
        <v>585</v>
      </c>
      <c r="G92" s="2" t="s">
        <v>585</v>
      </c>
      <c r="H92" s="2" t="s">
        <v>585</v>
      </c>
      <c r="I92" s="2" t="s">
        <v>433</v>
      </c>
      <c r="J92" s="2" t="s">
        <v>256</v>
      </c>
      <c r="K92" s="2" t="s">
        <v>266</v>
      </c>
      <c r="L92" s="3">
        <v>45.5</v>
      </c>
      <c r="M92" s="3">
        <v>47.78</v>
      </c>
      <c r="N92" s="3">
        <v>99.99</v>
      </c>
      <c r="O92" s="2" t="s">
        <v>230</v>
      </c>
      <c r="P92" s="2" t="s">
        <v>586</v>
      </c>
      <c r="Q92" s="2" t="s">
        <v>232</v>
      </c>
      <c r="R92" s="2" t="s">
        <v>233</v>
      </c>
      <c r="S92" s="2" t="s">
        <v>598</v>
      </c>
      <c r="T92" s="2" t="s">
        <v>348</v>
      </c>
      <c r="U92" s="2" t="s">
        <v>287</v>
      </c>
      <c r="V92" s="2" t="s">
        <v>236</v>
      </c>
      <c r="W92" s="2" t="s">
        <v>288</v>
      </c>
      <c r="X92" s="2" t="s">
        <v>237</v>
      </c>
      <c r="Y92" s="2" t="s">
        <v>436</v>
      </c>
      <c r="Z92" s="4">
        <v>221</v>
      </c>
      <c r="AA92" s="4">
        <f>=ROUNDDOWN(8.5,0)</f>
      </c>
      <c r="AB92" s="5">
        <v>26</v>
      </c>
      <c r="AC92" s="2" t="s">
        <v>140</v>
      </c>
      <c r="AD92" s="4">
        <v>48</v>
      </c>
      <c r="AE92" s="4">
        <v>668</v>
      </c>
      <c r="AF92" s="6">
        <v>65</v>
      </c>
      <c r="AG92" s="6"/>
      <c r="AH92" s="7">
        <v>0</v>
      </c>
      <c r="AI92" s="4"/>
      <c r="AJ92" s="4">
        <f>=ROUNDDOWN({0},0)</f>
      </c>
      <c r="AK92" s="5"/>
      <c r="AL92" s="2" t="s">
        <v>233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233</v>
      </c>
      <c r="AW92" s="8" t="s">
        <v>233</v>
      </c>
      <c r="AX92" s="4" t="s">
        <v>233</v>
      </c>
      <c r="AY92" s="8" t="s">
        <v>233</v>
      </c>
      <c r="AZ92" s="7" t="s">
        <v>233</v>
      </c>
      <c r="BA92" s="7" t="s">
        <v>233</v>
      </c>
      <c r="BB92" s="7"/>
      <c r="BC92" s="4" t="s">
        <v>233</v>
      </c>
      <c r="BD92" s="8" t="s">
        <v>233</v>
      </c>
      <c r="BE92" s="4" t="s">
        <v>233</v>
      </c>
      <c r="BF92" s="8" t="s">
        <v>233</v>
      </c>
      <c r="BG92" s="7" t="s">
        <v>233</v>
      </c>
      <c r="BH92" s="7" t="s">
        <v>233</v>
      </c>
      <c r="BI92" s="7"/>
      <c r="BJ92" s="4">
        <v>2</v>
      </c>
      <c r="BK92" s="8">
        <v>116.03</v>
      </c>
      <c r="BL92" s="2" t="s">
        <v>599</v>
      </c>
      <c r="BM92" s="7"/>
      <c r="BN92" s="7"/>
      <c r="BO92" s="4"/>
      <c r="BP92" s="8"/>
      <c r="BQ92" s="4"/>
      <c r="BR92" s="8"/>
      <c r="BS92" s="7"/>
      <c r="BT92" s="7"/>
      <c r="BU92" s="2" t="s">
        <v>588</v>
      </c>
      <c r="BV92" s="2" t="s">
        <v>233</v>
      </c>
      <c r="BW92" s="2" t="s">
        <v>233</v>
      </c>
      <c r="BX92" s="2" t="s">
        <v>241</v>
      </c>
      <c r="BY92" s="2" t="s">
        <v>242</v>
      </c>
      <c r="BZ92" s="2" t="s">
        <v>230</v>
      </c>
      <c r="CA92" s="2" t="s">
        <v>439</v>
      </c>
      <c r="CB92" s="2" t="s">
        <v>461</v>
      </c>
      <c r="CC92" s="2" t="s">
        <v>245</v>
      </c>
      <c r="CD92" s="2" t="s">
        <v>233</v>
      </c>
      <c r="CE92" s="4">
        <v>221</v>
      </c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>
        <v>48</v>
      </c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>
        <v>320</v>
      </c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>
        <v>150</v>
      </c>
      <c r="EU92" s="4"/>
      <c r="EV92" s="4"/>
      <c r="EW92" s="4"/>
      <c r="EX92" s="4"/>
      <c r="EY92" s="4"/>
      <c r="EZ92" s="4"/>
      <c r="FA92" s="4"/>
      <c r="FB92" s="4"/>
      <c r="FC92" s="4"/>
      <c r="FD92" s="4">
        <v>150</v>
      </c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>
        <v>237</v>
      </c>
      <c r="GD92" s="4">
        <v>176</v>
      </c>
      <c r="GE92" s="4">
        <v>185</v>
      </c>
      <c r="GF92" s="4">
        <v>133</v>
      </c>
      <c r="GG92" s="4">
        <v>47</v>
      </c>
      <c r="GH92" s="4">
        <v>320</v>
      </c>
      <c r="GI92" s="4">
        <v>256</v>
      </c>
      <c r="GJ92" s="4">
        <v>225</v>
      </c>
      <c r="GK92" s="4">
        <v>199</v>
      </c>
      <c r="GL92" s="4">
        <v>163</v>
      </c>
      <c r="GM92" s="4">
        <v>292</v>
      </c>
      <c r="GN92" s="4">
        <v>271</v>
      </c>
      <c r="GO92" s="4">
        <v>400</v>
      </c>
      <c r="GP92" s="4">
        <v>379</v>
      </c>
      <c r="GQ92" s="4">
        <v>358</v>
      </c>
      <c r="GR92" s="4">
        <v>337</v>
      </c>
      <c r="GS92" s="4">
        <v>316</v>
      </c>
      <c r="GT92" s="4">
        <v>295</v>
      </c>
      <c r="GU92" s="4">
        <v>274</v>
      </c>
      <c r="GV92" s="4">
        <v>250</v>
      </c>
      <c r="GW92" s="4">
        <v>226</v>
      </c>
      <c r="GX92" s="4">
        <v>202</v>
      </c>
      <c r="GY92" s="4">
        <v>178</v>
      </c>
      <c r="GZ92" s="4">
        <v>308</v>
      </c>
      <c r="HA92" s="4">
        <v>280</v>
      </c>
      <c r="HB92" s="4">
        <v>252</v>
      </c>
      <c r="HC92" s="19">
        <v>4</v>
      </c>
      <c r="HD92" s="19">
        <v>2.8</v>
      </c>
      <c r="HE92" s="19">
        <v>2.7</v>
      </c>
      <c r="HF92" s="19">
        <v>2.1</v>
      </c>
      <c r="HG92" s="19">
        <v>1</v>
      </c>
      <c r="HH92" s="19">
        <v>8.2</v>
      </c>
      <c r="HI92" s="19">
        <v>9.1</v>
      </c>
      <c r="HJ92" s="19">
        <v>8.7</v>
      </c>
      <c r="HK92" s="19">
        <v>8</v>
      </c>
      <c r="HL92" s="19">
        <v>7.8</v>
      </c>
      <c r="HM92" s="19">
        <v>13.9</v>
      </c>
      <c r="HN92" s="19">
        <v>12.9</v>
      </c>
      <c r="HO92" s="19">
        <v>19</v>
      </c>
      <c r="HP92" s="19">
        <v>18</v>
      </c>
      <c r="HQ92" s="19">
        <v>17</v>
      </c>
      <c r="HR92" s="19">
        <v>15.3</v>
      </c>
      <c r="HS92" s="19">
        <v>14.4</v>
      </c>
      <c r="HT92" s="19">
        <v>12.8</v>
      </c>
      <c r="HU92" s="19">
        <v>11.4</v>
      </c>
      <c r="HV92" s="19">
        <v>10</v>
      </c>
      <c r="HW92" s="19">
        <v>8.7</v>
      </c>
      <c r="HX92" s="19">
        <v>7.5</v>
      </c>
      <c r="HY92" s="19">
        <v>6.4</v>
      </c>
      <c r="HZ92" s="19">
        <v>11</v>
      </c>
      <c r="IA92" s="19">
        <v>10</v>
      </c>
      <c r="IB92" s="19">
        <v>9</v>
      </c>
    </row>
    <row r="93">
      <c r="A93" s="2" t="s">
        <v>602</v>
      </c>
      <c r="B93" s="2" t="s">
        <v>222</v>
      </c>
      <c r="C93" s="2" t="s">
        <v>260</v>
      </c>
      <c r="D93" s="2" t="s">
        <v>261</v>
      </c>
      <c r="E93" s="2" t="s">
        <v>603</v>
      </c>
      <c r="F93" s="2" t="s">
        <v>604</v>
      </c>
      <c r="G93" s="2" t="s">
        <v>604</v>
      </c>
      <c r="H93" s="2" t="s">
        <v>604</v>
      </c>
      <c r="I93" s="2" t="s">
        <v>605</v>
      </c>
      <c r="J93" s="2" t="s">
        <v>275</v>
      </c>
      <c r="K93" s="2" t="s">
        <v>606</v>
      </c>
      <c r="L93" s="3">
        <v>95.23</v>
      </c>
      <c r="M93" s="3">
        <v>99.99</v>
      </c>
      <c r="N93" s="3">
        <v>199.99</v>
      </c>
      <c r="O93" s="2" t="s">
        <v>230</v>
      </c>
      <c r="P93" s="2" t="s">
        <v>231</v>
      </c>
      <c r="Q93" s="2" t="s">
        <v>232</v>
      </c>
      <c r="R93" s="2" t="s">
        <v>233</v>
      </c>
      <c r="S93" s="2" t="s">
        <v>607</v>
      </c>
      <c r="T93" s="2" t="s">
        <v>348</v>
      </c>
      <c r="U93" s="2" t="s">
        <v>608</v>
      </c>
      <c r="V93" s="2" t="s">
        <v>609</v>
      </c>
      <c r="W93" s="2" t="s">
        <v>288</v>
      </c>
      <c r="X93" s="2" t="s">
        <v>237</v>
      </c>
      <c r="Y93" s="2" t="s">
        <v>610</v>
      </c>
      <c r="Z93" s="4">
        <v>104</v>
      </c>
      <c r="AA93" s="4">
        <f>=ROUNDDOWN(34.6666666666667,0)</f>
      </c>
      <c r="AB93" s="5">
        <v>3</v>
      </c>
      <c r="AC93" s="2" t="s">
        <v>169</v>
      </c>
      <c r="AD93" s="4">
        <v>70</v>
      </c>
      <c r="AE93" s="4">
        <v>70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233</v>
      </c>
      <c r="AM93" s="4"/>
      <c r="AN93" s="4"/>
      <c r="AO93" s="7"/>
      <c r="AP93" s="4"/>
      <c r="AQ93" s="8"/>
      <c r="AR93" s="4"/>
      <c r="AS93" s="8"/>
      <c r="AT93" s="7"/>
      <c r="AU93" s="7"/>
      <c r="AV93" s="4"/>
      <c r="AW93" s="8"/>
      <c r="AX93" s="4"/>
      <c r="AY93" s="8"/>
      <c r="AZ93" s="7"/>
      <c r="BA93" s="7"/>
      <c r="BB93" s="7"/>
      <c r="BC93" s="4"/>
      <c r="BD93" s="8"/>
      <c r="BE93" s="4"/>
      <c r="BF93" s="8"/>
      <c r="BG93" s="7"/>
      <c r="BH93" s="7"/>
      <c r="BI93" s="7"/>
      <c r="BJ93" s="4">
        <v>4</v>
      </c>
      <c r="BK93" s="8">
        <v>448.58</v>
      </c>
      <c r="BL93" s="2" t="s">
        <v>611</v>
      </c>
      <c r="BM93" s="7"/>
      <c r="BN93" s="7"/>
      <c r="BO93" s="4"/>
      <c r="BP93" s="8"/>
      <c r="BQ93" s="4"/>
      <c r="BR93" s="8"/>
      <c r="BS93" s="7"/>
      <c r="BT93" s="7"/>
      <c r="BU93" s="2" t="s">
        <v>612</v>
      </c>
      <c r="BV93" s="2" t="s">
        <v>233</v>
      </c>
      <c r="BW93" s="2" t="s">
        <v>233</v>
      </c>
      <c r="BX93" s="2" t="s">
        <v>293</v>
      </c>
      <c r="BY93" s="2" t="s">
        <v>242</v>
      </c>
      <c r="BZ93" s="2" t="s">
        <v>230</v>
      </c>
      <c r="CA93" s="2" t="s">
        <v>613</v>
      </c>
      <c r="CB93" s="2" t="s">
        <v>614</v>
      </c>
      <c r="CC93" s="2" t="s">
        <v>245</v>
      </c>
      <c r="CD93" s="2" t="s">
        <v>233</v>
      </c>
      <c r="CE93" s="4">
        <v>104</v>
      </c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>
        <v>70</v>
      </c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>
        <v>106</v>
      </c>
      <c r="GD93" s="4">
        <v>101</v>
      </c>
      <c r="GE93" s="4">
        <v>93</v>
      </c>
      <c r="GF93" s="4">
        <v>85</v>
      </c>
      <c r="GG93" s="4">
        <v>69</v>
      </c>
      <c r="GH93" s="4">
        <v>62</v>
      </c>
      <c r="GI93" s="4">
        <v>56</v>
      </c>
      <c r="GJ93" s="4">
        <v>122</v>
      </c>
      <c r="GK93" s="4">
        <v>120</v>
      </c>
      <c r="GL93" s="4">
        <v>117</v>
      </c>
      <c r="GM93" s="4">
        <v>115</v>
      </c>
      <c r="GN93" s="4">
        <v>113</v>
      </c>
      <c r="GO93" s="4">
        <v>111</v>
      </c>
      <c r="GP93" s="4">
        <v>109</v>
      </c>
      <c r="GQ93" s="4">
        <v>107</v>
      </c>
      <c r="GR93" s="4">
        <v>104</v>
      </c>
      <c r="GS93" s="4">
        <v>101</v>
      </c>
      <c r="GT93" s="4">
        <v>97</v>
      </c>
      <c r="GU93" s="4">
        <v>94</v>
      </c>
      <c r="GV93" s="4">
        <v>90</v>
      </c>
      <c r="GW93" s="4">
        <v>86</v>
      </c>
      <c r="GX93" s="4">
        <v>82</v>
      </c>
      <c r="GY93" s="4">
        <v>78</v>
      </c>
      <c r="GZ93" s="4">
        <v>74</v>
      </c>
      <c r="HA93" s="4">
        <v>70</v>
      </c>
      <c r="HB93" s="4">
        <v>66</v>
      </c>
      <c r="HC93" s="19">
        <v>11.8</v>
      </c>
      <c r="HD93" s="19">
        <v>10.1</v>
      </c>
      <c r="HE93" s="19">
        <v>10.3</v>
      </c>
      <c r="HF93" s="19">
        <v>10.6</v>
      </c>
      <c r="HG93" s="19">
        <v>13.8</v>
      </c>
      <c r="HH93" s="19">
        <v>15.5</v>
      </c>
      <c r="HI93" s="19">
        <v>18.7</v>
      </c>
      <c r="HJ93" s="19">
        <v>61</v>
      </c>
      <c r="HK93" s="19">
        <v>60</v>
      </c>
      <c r="HL93" s="19">
        <v>58.5</v>
      </c>
      <c r="HM93" s="19">
        <v>57.5</v>
      </c>
      <c r="HN93" s="19">
        <v>56.5</v>
      </c>
      <c r="HO93" s="19">
        <v>55.5</v>
      </c>
      <c r="HP93" s="19">
        <v>36.3</v>
      </c>
      <c r="HQ93" s="19">
        <v>35.7</v>
      </c>
      <c r="HR93" s="19">
        <v>26</v>
      </c>
      <c r="HS93" s="19">
        <v>25.3</v>
      </c>
      <c r="HT93" s="19">
        <v>24.3</v>
      </c>
      <c r="HU93" s="19">
        <v>23.5</v>
      </c>
      <c r="HV93" s="19">
        <v>22.5</v>
      </c>
      <c r="HW93" s="19">
        <v>21.5</v>
      </c>
      <c r="HX93" s="19">
        <v>20.5</v>
      </c>
      <c r="HY93" s="19">
        <v>19.5</v>
      </c>
      <c r="HZ93" s="19">
        <v>18.5</v>
      </c>
      <c r="IA93" s="19">
        <v>17.5</v>
      </c>
      <c r="IB93" s="19">
        <v>22</v>
      </c>
    </row>
    <row r="94">
      <c r="A94" s="2" t="s">
        <v>615</v>
      </c>
      <c r="B94" s="2" t="s">
        <v>279</v>
      </c>
      <c r="C94" s="2" t="s">
        <v>616</v>
      </c>
      <c r="D94" s="2" t="s">
        <v>281</v>
      </c>
      <c r="E94" s="2" t="s">
        <v>282</v>
      </c>
      <c r="F94" s="2" t="s">
        <v>617</v>
      </c>
      <c r="G94" s="2" t="s">
        <v>617</v>
      </c>
      <c r="H94" s="2" t="s">
        <v>617</v>
      </c>
      <c r="I94" s="2" t="s">
        <v>618</v>
      </c>
      <c r="J94" s="2" t="s">
        <v>285</v>
      </c>
      <c r="K94" s="2" t="s">
        <v>229</v>
      </c>
      <c r="L94" s="3">
        <v>33.08</v>
      </c>
      <c r="M94" s="3">
        <v>34.73</v>
      </c>
      <c r="N94" s="3">
        <v>69.99</v>
      </c>
      <c r="O94" s="2" t="s">
        <v>230</v>
      </c>
      <c r="P94" s="2" t="s">
        <v>231</v>
      </c>
      <c r="Q94" s="2" t="s">
        <v>232</v>
      </c>
      <c r="R94" s="2" t="s">
        <v>233</v>
      </c>
      <c r="S94" s="2" t="s">
        <v>619</v>
      </c>
      <c r="T94" s="2" t="s">
        <v>268</v>
      </c>
      <c r="U94" s="2" t="s">
        <v>287</v>
      </c>
      <c r="V94" s="2" t="s">
        <v>236</v>
      </c>
      <c r="W94" s="2" t="s">
        <v>237</v>
      </c>
      <c r="X94" s="2" t="s">
        <v>620</v>
      </c>
      <c r="Y94" s="2" t="s">
        <v>621</v>
      </c>
      <c r="Z94" s="4">
        <v>168</v>
      </c>
      <c r="AA94" s="4">
        <f>=ROUNDDOWN(15.2727272727273,0)</f>
      </c>
      <c r="AB94" s="5">
        <v>11</v>
      </c>
      <c r="AC94" s="2" t="s">
        <v>622</v>
      </c>
      <c r="AD94" s="4">
        <v>1450</v>
      </c>
      <c r="AE94" s="4">
        <v>1769</v>
      </c>
      <c r="AF94" s="6">
        <v>65</v>
      </c>
      <c r="AG94" s="6"/>
      <c r="AH94" s="7">
        <v>0</v>
      </c>
      <c r="AI94" s="4"/>
      <c r="AJ94" s="4">
        <f>=ROUNDDOWN({0},0)</f>
      </c>
      <c r="AK94" s="5"/>
      <c r="AL94" s="2" t="s">
        <v>233</v>
      </c>
      <c r="AM94" s="4"/>
      <c r="AN94" s="4"/>
      <c r="AO94" s="7"/>
      <c r="AP94" s="4"/>
      <c r="AQ94" s="8"/>
      <c r="AR94" s="4"/>
      <c r="AS94" s="8"/>
      <c r="AT94" s="7"/>
      <c r="AU94" s="7"/>
      <c r="AV94" s="4"/>
      <c r="AW94" s="8"/>
      <c r="AX94" s="4"/>
      <c r="AY94" s="8"/>
      <c r="AZ94" s="7"/>
      <c r="BA94" s="7"/>
      <c r="BB94" s="7"/>
      <c r="BC94" s="4" t="s">
        <v>233</v>
      </c>
      <c r="BD94" s="8" t="s">
        <v>233</v>
      </c>
      <c r="BE94" s="4" t="s">
        <v>233</v>
      </c>
      <c r="BF94" s="8" t="s">
        <v>233</v>
      </c>
      <c r="BG94" s="7" t="s">
        <v>233</v>
      </c>
      <c r="BH94" s="7" t="s">
        <v>233</v>
      </c>
      <c r="BI94" s="7"/>
      <c r="BJ94" s="4"/>
      <c r="BK94" s="8"/>
      <c r="BL94" s="2" t="s">
        <v>233</v>
      </c>
      <c r="BM94" s="7"/>
      <c r="BN94" s="7"/>
      <c r="BO94" s="4"/>
      <c r="BP94" s="8"/>
      <c r="BQ94" s="4"/>
      <c r="BR94" s="8"/>
      <c r="BS94" s="7"/>
      <c r="BT94" s="7"/>
      <c r="BU94" s="2" t="s">
        <v>623</v>
      </c>
      <c r="BV94" s="2" t="s">
        <v>233</v>
      </c>
      <c r="BW94" s="2" t="s">
        <v>233</v>
      </c>
      <c r="BX94" s="2" t="s">
        <v>624</v>
      </c>
      <c r="BY94" s="2" t="s">
        <v>242</v>
      </c>
      <c r="BZ94" s="2" t="s">
        <v>230</v>
      </c>
      <c r="CA94" s="2" t="s">
        <v>625</v>
      </c>
      <c r="CB94" s="2" t="s">
        <v>626</v>
      </c>
      <c r="CC94" s="2" t="s">
        <v>245</v>
      </c>
      <c r="CD94" s="2" t="s">
        <v>233</v>
      </c>
      <c r="CE94" s="4">
        <v>168</v>
      </c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>
        <v>1450</v>
      </c>
      <c r="CY94" s="4"/>
      <c r="CZ94" s="4"/>
      <c r="DA94" s="4"/>
      <c r="DB94" s="4"/>
      <c r="DC94" s="4"/>
      <c r="DD94" s="4">
        <v>225</v>
      </c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>
        <v>64</v>
      </c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>
        <v>30</v>
      </c>
      <c r="FX94" s="4"/>
      <c r="FY94" s="4"/>
      <c r="FZ94" s="4"/>
      <c r="GA94" s="4"/>
      <c r="GB94" s="4"/>
      <c r="GC94" s="4">
        <v>110</v>
      </c>
      <c r="GD94" s="4">
        <v>144</v>
      </c>
      <c r="GE94" s="4">
        <v>128</v>
      </c>
      <c r="GF94" s="4">
        <v>340</v>
      </c>
      <c r="GG94" s="4">
        <v>316</v>
      </c>
      <c r="GH94" s="4">
        <v>292</v>
      </c>
      <c r="GI94" s="4">
        <v>271</v>
      </c>
      <c r="GJ94" s="4">
        <v>258</v>
      </c>
      <c r="GK94" s="4">
        <v>247</v>
      </c>
      <c r="GL94" s="4">
        <v>237</v>
      </c>
      <c r="GM94" s="4">
        <v>227</v>
      </c>
      <c r="GN94" s="4">
        <v>281</v>
      </c>
      <c r="GO94" s="4">
        <v>271</v>
      </c>
      <c r="GP94" s="4">
        <v>261</v>
      </c>
      <c r="GQ94" s="4">
        <v>252</v>
      </c>
      <c r="GR94" s="4">
        <v>243</v>
      </c>
      <c r="GS94" s="4">
        <v>234</v>
      </c>
      <c r="GT94" s="4">
        <v>225</v>
      </c>
      <c r="GU94" s="4">
        <v>246</v>
      </c>
      <c r="GV94" s="4">
        <v>237</v>
      </c>
      <c r="GW94" s="4">
        <v>228</v>
      </c>
      <c r="GX94" s="4">
        <v>219</v>
      </c>
      <c r="GY94" s="4">
        <v>210</v>
      </c>
      <c r="GZ94" s="4">
        <v>200</v>
      </c>
      <c r="HA94" s="4">
        <v>190</v>
      </c>
      <c r="HB94" s="4">
        <v>180</v>
      </c>
      <c r="HC94" s="19">
        <v>5.8</v>
      </c>
      <c r="HD94" s="19">
        <v>7.6</v>
      </c>
      <c r="HE94" s="19">
        <v>6.4</v>
      </c>
      <c r="HF94" s="19">
        <v>17</v>
      </c>
      <c r="HG94" s="19">
        <v>18.6</v>
      </c>
      <c r="HH94" s="19">
        <v>20.9</v>
      </c>
      <c r="HI94" s="19">
        <v>24.6</v>
      </c>
      <c r="HJ94" s="19">
        <v>25.8</v>
      </c>
      <c r="HK94" s="19">
        <v>24.7</v>
      </c>
      <c r="HL94" s="19">
        <v>23.7</v>
      </c>
      <c r="HM94" s="19">
        <v>22.7</v>
      </c>
      <c r="HN94" s="19">
        <v>28.1</v>
      </c>
      <c r="HO94" s="19">
        <v>30.1</v>
      </c>
      <c r="HP94" s="19">
        <v>29</v>
      </c>
      <c r="HQ94" s="19">
        <v>28</v>
      </c>
      <c r="HR94" s="19">
        <v>27</v>
      </c>
      <c r="HS94" s="19">
        <v>26</v>
      </c>
      <c r="HT94" s="19">
        <v>25</v>
      </c>
      <c r="HU94" s="19">
        <v>27.3</v>
      </c>
      <c r="HV94" s="19">
        <v>26.3</v>
      </c>
      <c r="HW94" s="19">
        <v>22.8</v>
      </c>
      <c r="HX94" s="19">
        <v>21.9</v>
      </c>
      <c r="HY94" s="19">
        <v>21</v>
      </c>
      <c r="HZ94" s="19">
        <v>20</v>
      </c>
      <c r="IA94" s="19">
        <v>19</v>
      </c>
      <c r="IB94" s="19">
        <v>18</v>
      </c>
    </row>
    <row r="95">
      <c r="A95" s="2" t="s">
        <v>627</v>
      </c>
      <c r="B95" s="2" t="s">
        <v>279</v>
      </c>
      <c r="C95" s="2" t="s">
        <v>280</v>
      </c>
      <c r="D95" s="2" t="s">
        <v>281</v>
      </c>
      <c r="E95" s="2" t="s">
        <v>282</v>
      </c>
      <c r="F95" s="2" t="s">
        <v>617</v>
      </c>
      <c r="G95" s="2" t="s">
        <v>617</v>
      </c>
      <c r="H95" s="2" t="s">
        <v>617</v>
      </c>
      <c r="I95" s="2" t="s">
        <v>628</v>
      </c>
      <c r="J95" s="2" t="s">
        <v>285</v>
      </c>
      <c r="K95" s="2" t="s">
        <v>629</v>
      </c>
      <c r="L95" s="3">
        <v>63</v>
      </c>
      <c r="M95" s="3">
        <v>66.15</v>
      </c>
      <c r="N95" s="3">
        <v>124.99</v>
      </c>
      <c r="O95" s="2" t="s">
        <v>230</v>
      </c>
      <c r="P95" s="2" t="s">
        <v>231</v>
      </c>
      <c r="Q95" s="2" t="s">
        <v>232</v>
      </c>
      <c r="R95" s="2" t="s">
        <v>233</v>
      </c>
      <c r="S95" s="2" t="s">
        <v>630</v>
      </c>
      <c r="T95" s="2" t="s">
        <v>348</v>
      </c>
      <c r="U95" s="2" t="s">
        <v>233</v>
      </c>
      <c r="V95" s="2" t="s">
        <v>236</v>
      </c>
      <c r="W95" s="2" t="s">
        <v>237</v>
      </c>
      <c r="X95" s="2" t="s">
        <v>233</v>
      </c>
      <c r="Y95" s="2" t="s">
        <v>238</v>
      </c>
      <c r="Z95" s="4">
        <v>97</v>
      </c>
      <c r="AA95" s="4">
        <f>=ROUNDDOWN(48.5,0)</f>
      </c>
      <c r="AB95" s="5">
        <v>2</v>
      </c>
      <c r="AC95" s="2" t="s">
        <v>166</v>
      </c>
      <c r="AD95" s="4">
        <v>30</v>
      </c>
      <c r="AE95" s="4">
        <v>30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233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233</v>
      </c>
      <c r="AW95" s="8" t="s">
        <v>233</v>
      </c>
      <c r="AX95" s="4" t="s">
        <v>233</v>
      </c>
      <c r="AY95" s="8" t="s">
        <v>233</v>
      </c>
      <c r="AZ95" s="7" t="s">
        <v>233</v>
      </c>
      <c r="BA95" s="7" t="s">
        <v>233</v>
      </c>
      <c r="BB95" s="7"/>
      <c r="BC95" s="4" t="s">
        <v>233</v>
      </c>
      <c r="BD95" s="8" t="s">
        <v>233</v>
      </c>
      <c r="BE95" s="4" t="s">
        <v>233</v>
      </c>
      <c r="BF95" s="8" t="s">
        <v>233</v>
      </c>
      <c r="BG95" s="7" t="s">
        <v>233</v>
      </c>
      <c r="BH95" s="7" t="s">
        <v>233</v>
      </c>
      <c r="BI95" s="7"/>
      <c r="BJ95" s="4">
        <v>15</v>
      </c>
      <c r="BK95" s="8">
        <v>1058.16</v>
      </c>
      <c r="BL95" s="2" t="s">
        <v>631</v>
      </c>
      <c r="BM95" s="7"/>
      <c r="BN95" s="7"/>
      <c r="BO95" s="4"/>
      <c r="BP95" s="8"/>
      <c r="BQ95" s="4"/>
      <c r="BR95" s="8"/>
      <c r="BS95" s="7"/>
      <c r="BT95" s="7"/>
      <c r="BU95" s="2" t="s">
        <v>632</v>
      </c>
      <c r="BV95" s="2" t="s">
        <v>233</v>
      </c>
      <c r="BW95" s="2" t="s">
        <v>233</v>
      </c>
      <c r="BX95" s="2" t="s">
        <v>241</v>
      </c>
      <c r="BY95" s="2" t="s">
        <v>242</v>
      </c>
      <c r="BZ95" s="2" t="s">
        <v>230</v>
      </c>
      <c r="CA95" s="2" t="s">
        <v>243</v>
      </c>
      <c r="CB95" s="2" t="s">
        <v>526</v>
      </c>
      <c r="CC95" s="2" t="s">
        <v>245</v>
      </c>
      <c r="CD95" s="2" t="s">
        <v>233</v>
      </c>
      <c r="CE95" s="4">
        <v>62</v>
      </c>
      <c r="CF95" s="4">
        <v>35</v>
      </c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>
        <v>30</v>
      </c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>
        <v>99</v>
      </c>
      <c r="GD95" s="4">
        <v>94</v>
      </c>
      <c r="GE95" s="4">
        <v>91</v>
      </c>
      <c r="GF95" s="4">
        <v>86</v>
      </c>
      <c r="GG95" s="4">
        <v>78</v>
      </c>
      <c r="GH95" s="4">
        <v>74</v>
      </c>
      <c r="GI95" s="4">
        <v>70</v>
      </c>
      <c r="GJ95" s="4">
        <v>98</v>
      </c>
      <c r="GK95" s="4">
        <v>96</v>
      </c>
      <c r="GL95" s="4">
        <v>94</v>
      </c>
      <c r="GM95" s="4">
        <v>92</v>
      </c>
      <c r="GN95" s="4">
        <v>90</v>
      </c>
      <c r="GO95" s="4">
        <v>88</v>
      </c>
      <c r="GP95" s="4">
        <v>86</v>
      </c>
      <c r="GQ95" s="4">
        <v>84</v>
      </c>
      <c r="GR95" s="4">
        <v>81</v>
      </c>
      <c r="GS95" s="4">
        <v>78</v>
      </c>
      <c r="GT95" s="4">
        <v>75</v>
      </c>
      <c r="GU95" s="4">
        <v>72</v>
      </c>
      <c r="GV95" s="4">
        <v>70</v>
      </c>
      <c r="GW95" s="4">
        <v>68</v>
      </c>
      <c r="GX95" s="4">
        <v>66</v>
      </c>
      <c r="GY95" s="4">
        <v>64</v>
      </c>
      <c r="GZ95" s="4">
        <v>62</v>
      </c>
      <c r="HA95" s="4">
        <v>60</v>
      </c>
      <c r="HB95" s="4">
        <v>58</v>
      </c>
      <c r="HC95" s="19">
        <v>19.8</v>
      </c>
      <c r="HD95" s="19">
        <v>18.8</v>
      </c>
      <c r="HE95" s="19">
        <v>18.2</v>
      </c>
      <c r="HF95" s="19">
        <v>21.5</v>
      </c>
      <c r="HG95" s="19">
        <v>26</v>
      </c>
      <c r="HH95" s="19">
        <v>37</v>
      </c>
      <c r="HI95" s="19">
        <v>35</v>
      </c>
      <c r="HJ95" s="19">
        <v>49</v>
      </c>
      <c r="HK95" s="19">
        <v>48</v>
      </c>
      <c r="HL95" s="19">
        <v>47</v>
      </c>
      <c r="HM95" s="19">
        <v>46</v>
      </c>
      <c r="HN95" s="19">
        <v>45</v>
      </c>
      <c r="HO95" s="19">
        <v>44</v>
      </c>
      <c r="HP95" s="19">
        <v>28.7</v>
      </c>
      <c r="HQ95" s="19">
        <v>28</v>
      </c>
      <c r="HR95" s="19">
        <v>27</v>
      </c>
      <c r="HS95" s="19">
        <v>39</v>
      </c>
      <c r="HT95" s="19">
        <v>37.5</v>
      </c>
      <c r="HU95" s="19">
        <v>36</v>
      </c>
      <c r="HV95" s="19">
        <v>35</v>
      </c>
      <c r="HW95" s="19">
        <v>34</v>
      </c>
      <c r="HX95" s="19">
        <v>33</v>
      </c>
      <c r="HY95" s="19">
        <v>32</v>
      </c>
      <c r="HZ95" s="19">
        <v>31</v>
      </c>
      <c r="IA95" s="19">
        <v>30</v>
      </c>
      <c r="IB95" s="19">
        <v>29</v>
      </c>
    </row>
    <row r="96">
      <c r="A96" s="2" t="s">
        <v>633</v>
      </c>
      <c r="B96" s="2" t="s">
        <v>279</v>
      </c>
      <c r="C96" s="2" t="s">
        <v>280</v>
      </c>
      <c r="D96" s="2" t="s">
        <v>281</v>
      </c>
      <c r="E96" s="2" t="s">
        <v>282</v>
      </c>
      <c r="F96" s="2" t="s">
        <v>617</v>
      </c>
      <c r="G96" s="2" t="s">
        <v>617</v>
      </c>
      <c r="H96" s="2" t="s">
        <v>617</v>
      </c>
      <c r="I96" s="2" t="s">
        <v>628</v>
      </c>
      <c r="J96" s="2" t="s">
        <v>634</v>
      </c>
      <c r="K96" s="2" t="s">
        <v>629</v>
      </c>
      <c r="L96" s="3">
        <v>72.03</v>
      </c>
      <c r="M96" s="3">
        <v>75.63</v>
      </c>
      <c r="N96" s="3">
        <v>139.99</v>
      </c>
      <c r="O96" s="2" t="s">
        <v>230</v>
      </c>
      <c r="P96" s="2" t="s">
        <v>231</v>
      </c>
      <c r="Q96" s="2" t="s">
        <v>232</v>
      </c>
      <c r="R96" s="2" t="s">
        <v>233</v>
      </c>
      <c r="S96" s="2" t="s">
        <v>630</v>
      </c>
      <c r="T96" s="2" t="s">
        <v>348</v>
      </c>
      <c r="U96" s="2" t="s">
        <v>635</v>
      </c>
      <c r="V96" s="2" t="s">
        <v>236</v>
      </c>
      <c r="W96" s="2" t="s">
        <v>237</v>
      </c>
      <c r="X96" s="2" t="s">
        <v>620</v>
      </c>
      <c r="Y96" s="2" t="s">
        <v>636</v>
      </c>
      <c r="Z96" s="4">
        <v>118</v>
      </c>
      <c r="AA96" s="4">
        <f>=ROUNDDOWN(29.5,0)</f>
      </c>
      <c r="AB96" s="5">
        <v>4</v>
      </c>
      <c r="AC96" s="2" t="s">
        <v>637</v>
      </c>
      <c r="AD96" s="4">
        <v>110</v>
      </c>
      <c r="AE96" s="4">
        <v>110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233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233</v>
      </c>
      <c r="AW96" s="8" t="s">
        <v>233</v>
      </c>
      <c r="AX96" s="4" t="s">
        <v>233</v>
      </c>
      <c r="AY96" s="8" t="s">
        <v>233</v>
      </c>
      <c r="AZ96" s="7" t="s">
        <v>233</v>
      </c>
      <c r="BA96" s="7" t="s">
        <v>233</v>
      </c>
      <c r="BB96" s="7"/>
      <c r="BC96" s="4" t="s">
        <v>233</v>
      </c>
      <c r="BD96" s="8" t="s">
        <v>233</v>
      </c>
      <c r="BE96" s="4" t="s">
        <v>233</v>
      </c>
      <c r="BF96" s="8" t="s">
        <v>233</v>
      </c>
      <c r="BG96" s="7" t="s">
        <v>233</v>
      </c>
      <c r="BH96" s="7" t="s">
        <v>233</v>
      </c>
      <c r="BI96" s="7"/>
      <c r="BJ96" s="4">
        <v>14</v>
      </c>
      <c r="BK96" s="8">
        <v>1147.03</v>
      </c>
      <c r="BL96" s="2" t="s">
        <v>638</v>
      </c>
      <c r="BM96" s="7"/>
      <c r="BN96" s="7"/>
      <c r="BO96" s="4"/>
      <c r="BP96" s="8"/>
      <c r="BQ96" s="4"/>
      <c r="BR96" s="8"/>
      <c r="BS96" s="7"/>
      <c r="BT96" s="7"/>
      <c r="BU96" s="2" t="s">
        <v>632</v>
      </c>
      <c r="BV96" s="2" t="s">
        <v>233</v>
      </c>
      <c r="BW96" s="2" t="s">
        <v>233</v>
      </c>
      <c r="BX96" s="2" t="s">
        <v>241</v>
      </c>
      <c r="BY96" s="2" t="s">
        <v>242</v>
      </c>
      <c r="BZ96" s="2" t="s">
        <v>230</v>
      </c>
      <c r="CA96" s="2" t="s">
        <v>639</v>
      </c>
      <c r="CB96" s="2" t="s">
        <v>640</v>
      </c>
      <c r="CC96" s="2" t="s">
        <v>245</v>
      </c>
      <c r="CD96" s="2" t="s">
        <v>233</v>
      </c>
      <c r="CE96" s="4">
        <v>70</v>
      </c>
      <c r="CF96" s="4">
        <v>48</v>
      </c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>
        <v>110</v>
      </c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>
        <v>122</v>
      </c>
      <c r="GD96" s="4">
        <v>114</v>
      </c>
      <c r="GE96" s="4">
        <v>108</v>
      </c>
      <c r="GF96" s="4">
        <v>98</v>
      </c>
      <c r="GG96" s="4">
        <v>82</v>
      </c>
      <c r="GH96" s="4">
        <v>184</v>
      </c>
      <c r="GI96" s="4">
        <v>176</v>
      </c>
      <c r="GJ96" s="4">
        <v>171</v>
      </c>
      <c r="GK96" s="4">
        <v>166</v>
      </c>
      <c r="GL96" s="4">
        <v>162</v>
      </c>
      <c r="GM96" s="4">
        <v>158</v>
      </c>
      <c r="GN96" s="4">
        <v>154</v>
      </c>
      <c r="GO96" s="4">
        <v>150</v>
      </c>
      <c r="GP96" s="4">
        <v>146</v>
      </c>
      <c r="GQ96" s="4">
        <v>142</v>
      </c>
      <c r="GR96" s="4">
        <v>137</v>
      </c>
      <c r="GS96" s="4">
        <v>132</v>
      </c>
      <c r="GT96" s="4">
        <v>127</v>
      </c>
      <c r="GU96" s="4">
        <v>122</v>
      </c>
      <c r="GV96" s="4">
        <v>118</v>
      </c>
      <c r="GW96" s="4">
        <v>114</v>
      </c>
      <c r="GX96" s="4">
        <v>110</v>
      </c>
      <c r="GY96" s="4">
        <v>106</v>
      </c>
      <c r="GZ96" s="4">
        <v>102</v>
      </c>
      <c r="HA96" s="4">
        <v>98</v>
      </c>
      <c r="HB96" s="4">
        <v>94</v>
      </c>
      <c r="HC96" s="19">
        <v>12.2</v>
      </c>
      <c r="HD96" s="19">
        <v>11.4</v>
      </c>
      <c r="HE96" s="19">
        <v>10.8</v>
      </c>
      <c r="HF96" s="19">
        <v>10.9</v>
      </c>
      <c r="HG96" s="19">
        <v>13.7</v>
      </c>
      <c r="HH96" s="19">
        <v>30.7</v>
      </c>
      <c r="HI96" s="19">
        <v>44</v>
      </c>
      <c r="HJ96" s="19">
        <v>42.8</v>
      </c>
      <c r="HK96" s="19">
        <v>41.5</v>
      </c>
      <c r="HL96" s="19">
        <v>40.5</v>
      </c>
      <c r="HM96" s="19">
        <v>39.5</v>
      </c>
      <c r="HN96" s="19">
        <v>38.5</v>
      </c>
      <c r="HO96" s="19">
        <v>37.5</v>
      </c>
      <c r="HP96" s="19">
        <v>29.2</v>
      </c>
      <c r="HQ96" s="19">
        <v>28.4</v>
      </c>
      <c r="HR96" s="19">
        <v>27.4</v>
      </c>
      <c r="HS96" s="19">
        <v>33</v>
      </c>
      <c r="HT96" s="19">
        <v>31.8</v>
      </c>
      <c r="HU96" s="19">
        <v>30.5</v>
      </c>
      <c r="HV96" s="19">
        <v>29.5</v>
      </c>
      <c r="HW96" s="19">
        <v>28.5</v>
      </c>
      <c r="HX96" s="19">
        <v>27.5</v>
      </c>
      <c r="HY96" s="19">
        <v>26.5</v>
      </c>
      <c r="HZ96" s="19">
        <v>25.5</v>
      </c>
      <c r="IA96" s="19">
        <v>24.5</v>
      </c>
      <c r="IB96" s="19">
        <v>23.5</v>
      </c>
    </row>
    <row r="97">
      <c r="A97" s="2" t="s">
        <v>641</v>
      </c>
      <c r="B97" s="2" t="s">
        <v>279</v>
      </c>
      <c r="C97" s="2" t="s">
        <v>280</v>
      </c>
      <c r="D97" s="2" t="s">
        <v>281</v>
      </c>
      <c r="E97" s="2" t="s">
        <v>282</v>
      </c>
      <c r="F97" s="2" t="s">
        <v>617</v>
      </c>
      <c r="G97" s="2" t="s">
        <v>617</v>
      </c>
      <c r="H97" s="2" t="s">
        <v>617</v>
      </c>
      <c r="I97" s="2" t="s">
        <v>628</v>
      </c>
      <c r="J97" s="2" t="s">
        <v>285</v>
      </c>
      <c r="K97" s="2" t="s">
        <v>642</v>
      </c>
      <c r="L97" s="3">
        <v>63</v>
      </c>
      <c r="M97" s="3">
        <v>66.15</v>
      </c>
      <c r="N97" s="3">
        <v>124.99</v>
      </c>
      <c r="O97" s="2" t="s">
        <v>230</v>
      </c>
      <c r="P97" s="2" t="s">
        <v>231</v>
      </c>
      <c r="Q97" s="2" t="s">
        <v>232</v>
      </c>
      <c r="R97" s="2" t="s">
        <v>233</v>
      </c>
      <c r="S97" s="2" t="s">
        <v>643</v>
      </c>
      <c r="T97" s="2" t="s">
        <v>348</v>
      </c>
      <c r="U97" s="2" t="s">
        <v>233</v>
      </c>
      <c r="V97" s="2" t="s">
        <v>236</v>
      </c>
      <c r="W97" s="2" t="s">
        <v>237</v>
      </c>
      <c r="X97" s="2" t="s">
        <v>233</v>
      </c>
      <c r="Y97" s="2" t="s">
        <v>644</v>
      </c>
      <c r="Z97" s="4">
        <v>98</v>
      </c>
      <c r="AA97" s="4">
        <f>=ROUNDDOWN(32.6666666666667,0)</f>
      </c>
      <c r="AB97" s="5">
        <v>3</v>
      </c>
      <c r="AC97" s="2" t="s">
        <v>637</v>
      </c>
      <c r="AD97" s="4">
        <v>40</v>
      </c>
      <c r="AE97" s="4">
        <v>40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233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233</v>
      </c>
      <c r="AW97" s="8" t="s">
        <v>233</v>
      </c>
      <c r="AX97" s="4" t="s">
        <v>233</v>
      </c>
      <c r="AY97" s="8" t="s">
        <v>233</v>
      </c>
      <c r="AZ97" s="7" t="s">
        <v>233</v>
      </c>
      <c r="BA97" s="7" t="s">
        <v>233</v>
      </c>
      <c r="BB97" s="7"/>
      <c r="BC97" s="4" t="s">
        <v>233</v>
      </c>
      <c r="BD97" s="8" t="s">
        <v>233</v>
      </c>
      <c r="BE97" s="4" t="s">
        <v>233</v>
      </c>
      <c r="BF97" s="8" t="s">
        <v>233</v>
      </c>
      <c r="BG97" s="7" t="s">
        <v>233</v>
      </c>
      <c r="BH97" s="7" t="s">
        <v>233</v>
      </c>
      <c r="BI97" s="7"/>
      <c r="BJ97" s="4">
        <v>9</v>
      </c>
      <c r="BK97" s="8">
        <v>657.66</v>
      </c>
      <c r="BL97" s="2" t="s">
        <v>631</v>
      </c>
      <c r="BM97" s="7"/>
      <c r="BN97" s="7"/>
      <c r="BO97" s="4"/>
      <c r="BP97" s="8"/>
      <c r="BQ97" s="4"/>
      <c r="BR97" s="8"/>
      <c r="BS97" s="7"/>
      <c r="BT97" s="7"/>
      <c r="BU97" s="2" t="s">
        <v>632</v>
      </c>
      <c r="BV97" s="2" t="s">
        <v>233</v>
      </c>
      <c r="BW97" s="2" t="s">
        <v>233</v>
      </c>
      <c r="BX97" s="2" t="s">
        <v>241</v>
      </c>
      <c r="BY97" s="2" t="s">
        <v>242</v>
      </c>
      <c r="BZ97" s="2" t="s">
        <v>230</v>
      </c>
      <c r="CA97" s="2" t="s">
        <v>498</v>
      </c>
      <c r="CB97" s="2" t="s">
        <v>645</v>
      </c>
      <c r="CC97" s="2" t="s">
        <v>245</v>
      </c>
      <c r="CD97" s="2" t="s">
        <v>233</v>
      </c>
      <c r="CE97" s="4">
        <v>58</v>
      </c>
      <c r="CF97" s="4">
        <v>40</v>
      </c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>
        <v>40</v>
      </c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>
        <v>100</v>
      </c>
      <c r="GD97" s="4">
        <v>94</v>
      </c>
      <c r="GE97" s="4">
        <v>90</v>
      </c>
      <c r="GF97" s="4">
        <v>82</v>
      </c>
      <c r="GG97" s="4">
        <v>70</v>
      </c>
      <c r="GH97" s="4">
        <v>104</v>
      </c>
      <c r="GI97" s="4">
        <v>98</v>
      </c>
      <c r="GJ97" s="4">
        <v>94</v>
      </c>
      <c r="GK97" s="4">
        <v>90</v>
      </c>
      <c r="GL97" s="4">
        <v>87</v>
      </c>
      <c r="GM97" s="4">
        <v>84</v>
      </c>
      <c r="GN97" s="4">
        <v>81</v>
      </c>
      <c r="GO97" s="4">
        <v>78</v>
      </c>
      <c r="GP97" s="4">
        <v>75</v>
      </c>
      <c r="GQ97" s="4">
        <v>72</v>
      </c>
      <c r="GR97" s="4">
        <v>68</v>
      </c>
      <c r="GS97" s="4">
        <v>64</v>
      </c>
      <c r="GT97" s="4">
        <v>60</v>
      </c>
      <c r="GU97" s="4">
        <v>56</v>
      </c>
      <c r="GV97" s="4">
        <v>53</v>
      </c>
      <c r="GW97" s="4">
        <v>50</v>
      </c>
      <c r="GX97" s="4">
        <v>47</v>
      </c>
      <c r="GY97" s="4">
        <v>44</v>
      </c>
      <c r="GZ97" s="4">
        <v>41</v>
      </c>
      <c r="HA97" s="4">
        <v>38</v>
      </c>
      <c r="HB97" s="4">
        <v>35</v>
      </c>
      <c r="HC97" s="19">
        <v>12.5</v>
      </c>
      <c r="HD97" s="19">
        <v>11.8</v>
      </c>
      <c r="HE97" s="19">
        <v>11.3</v>
      </c>
      <c r="HF97" s="19">
        <v>11.7</v>
      </c>
      <c r="HG97" s="19">
        <v>14</v>
      </c>
      <c r="HH97" s="19">
        <v>26</v>
      </c>
      <c r="HI97" s="19">
        <v>24.5</v>
      </c>
      <c r="HJ97" s="19">
        <v>31.3</v>
      </c>
      <c r="HK97" s="19">
        <v>30</v>
      </c>
      <c r="HL97" s="19">
        <v>29</v>
      </c>
      <c r="HM97" s="19">
        <v>28</v>
      </c>
      <c r="HN97" s="19">
        <v>27</v>
      </c>
      <c r="HO97" s="19">
        <v>19.5</v>
      </c>
      <c r="HP97" s="19">
        <v>18.8</v>
      </c>
      <c r="HQ97" s="19">
        <v>18</v>
      </c>
      <c r="HR97" s="19">
        <v>17</v>
      </c>
      <c r="HS97" s="19">
        <v>16</v>
      </c>
      <c r="HT97" s="19">
        <v>20</v>
      </c>
      <c r="HU97" s="19">
        <v>18.7</v>
      </c>
      <c r="HV97" s="19">
        <v>17.7</v>
      </c>
      <c r="HW97" s="19">
        <v>16.7</v>
      </c>
      <c r="HX97" s="19">
        <v>15.7</v>
      </c>
      <c r="HY97" s="19">
        <v>14.7</v>
      </c>
      <c r="HZ97" s="19">
        <v>13.7</v>
      </c>
      <c r="IA97" s="19">
        <v>12.7</v>
      </c>
      <c r="IB97" s="19">
        <v>11.7</v>
      </c>
    </row>
    <row r="98">
      <c r="A98" s="2" t="s">
        <v>646</v>
      </c>
      <c r="B98" s="2" t="s">
        <v>279</v>
      </c>
      <c r="C98" s="2" t="s">
        <v>280</v>
      </c>
      <c r="D98" s="2" t="s">
        <v>281</v>
      </c>
      <c r="E98" s="2" t="s">
        <v>282</v>
      </c>
      <c r="F98" s="2" t="s">
        <v>617</v>
      </c>
      <c r="G98" s="2" t="s">
        <v>617</v>
      </c>
      <c r="H98" s="2" t="s">
        <v>617</v>
      </c>
      <c r="I98" s="2" t="s">
        <v>628</v>
      </c>
      <c r="J98" s="2" t="s">
        <v>634</v>
      </c>
      <c r="K98" s="2" t="s">
        <v>642</v>
      </c>
      <c r="L98" s="3">
        <v>72.03</v>
      </c>
      <c r="M98" s="3">
        <v>75.63</v>
      </c>
      <c r="N98" s="3">
        <v>139.99</v>
      </c>
      <c r="O98" s="2" t="s">
        <v>230</v>
      </c>
      <c r="P98" s="2" t="s">
        <v>231</v>
      </c>
      <c r="Q98" s="2" t="s">
        <v>232</v>
      </c>
      <c r="R98" s="2" t="s">
        <v>233</v>
      </c>
      <c r="S98" s="2" t="s">
        <v>643</v>
      </c>
      <c r="T98" s="2" t="s">
        <v>348</v>
      </c>
      <c r="U98" s="2" t="s">
        <v>635</v>
      </c>
      <c r="V98" s="2" t="s">
        <v>236</v>
      </c>
      <c r="W98" s="2" t="s">
        <v>237</v>
      </c>
      <c r="X98" s="2" t="s">
        <v>620</v>
      </c>
      <c r="Y98" s="2" t="s">
        <v>647</v>
      </c>
      <c r="Z98" s="4">
        <v>170</v>
      </c>
      <c r="AA98" s="4">
        <f>=ROUNDDOWN(28.3333333333333,0)</f>
      </c>
      <c r="AB98" s="5">
        <v>6</v>
      </c>
      <c r="AC98" s="2" t="s">
        <v>637</v>
      </c>
      <c r="AD98" s="4">
        <v>190</v>
      </c>
      <c r="AE98" s="4">
        <v>190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233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233</v>
      </c>
      <c r="AW98" s="8" t="s">
        <v>233</v>
      </c>
      <c r="AX98" s="4" t="s">
        <v>233</v>
      </c>
      <c r="AY98" s="8" t="s">
        <v>233</v>
      </c>
      <c r="AZ98" s="7" t="s">
        <v>233</v>
      </c>
      <c r="BA98" s="7" t="s">
        <v>233</v>
      </c>
      <c r="BB98" s="7"/>
      <c r="BC98" s="4" t="s">
        <v>233</v>
      </c>
      <c r="BD98" s="8" t="s">
        <v>233</v>
      </c>
      <c r="BE98" s="4" t="s">
        <v>233</v>
      </c>
      <c r="BF98" s="8" t="s">
        <v>233</v>
      </c>
      <c r="BG98" s="7" t="s">
        <v>233</v>
      </c>
      <c r="BH98" s="7" t="s">
        <v>233</v>
      </c>
      <c r="BI98" s="7"/>
      <c r="BJ98" s="4">
        <v>19</v>
      </c>
      <c r="BK98" s="8">
        <v>1568.26</v>
      </c>
      <c r="BL98" s="2" t="s">
        <v>648</v>
      </c>
      <c r="BM98" s="7"/>
      <c r="BN98" s="7"/>
      <c r="BO98" s="4"/>
      <c r="BP98" s="8"/>
      <c r="BQ98" s="4"/>
      <c r="BR98" s="8"/>
      <c r="BS98" s="7"/>
      <c r="BT98" s="7"/>
      <c r="BU98" s="2" t="s">
        <v>632</v>
      </c>
      <c r="BV98" s="2" t="s">
        <v>233</v>
      </c>
      <c r="BW98" s="2" t="s">
        <v>233</v>
      </c>
      <c r="BX98" s="2" t="s">
        <v>241</v>
      </c>
      <c r="BY98" s="2" t="s">
        <v>242</v>
      </c>
      <c r="BZ98" s="2" t="s">
        <v>230</v>
      </c>
      <c r="CA98" s="2" t="s">
        <v>647</v>
      </c>
      <c r="CB98" s="2" t="s">
        <v>649</v>
      </c>
      <c r="CC98" s="2" t="s">
        <v>245</v>
      </c>
      <c r="CD98" s="2" t="s">
        <v>233</v>
      </c>
      <c r="CE98" s="4">
        <v>107</v>
      </c>
      <c r="CF98" s="4">
        <v>63</v>
      </c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>
        <v>190</v>
      </c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>
        <v>173</v>
      </c>
      <c r="GD98" s="4">
        <v>162</v>
      </c>
      <c r="GE98" s="4">
        <v>154</v>
      </c>
      <c r="GF98" s="4">
        <v>139</v>
      </c>
      <c r="GG98" s="4">
        <v>116</v>
      </c>
      <c r="GH98" s="4">
        <v>294</v>
      </c>
      <c r="GI98" s="4">
        <v>283</v>
      </c>
      <c r="GJ98" s="4">
        <v>276</v>
      </c>
      <c r="GK98" s="4">
        <v>269</v>
      </c>
      <c r="GL98" s="4">
        <v>264</v>
      </c>
      <c r="GM98" s="4">
        <v>259</v>
      </c>
      <c r="GN98" s="4">
        <v>254</v>
      </c>
      <c r="GO98" s="4">
        <v>249</v>
      </c>
      <c r="GP98" s="4">
        <v>244</v>
      </c>
      <c r="GQ98" s="4">
        <v>239</v>
      </c>
      <c r="GR98" s="4">
        <v>232</v>
      </c>
      <c r="GS98" s="4">
        <v>225</v>
      </c>
      <c r="GT98" s="4">
        <v>218</v>
      </c>
      <c r="GU98" s="4">
        <v>211</v>
      </c>
      <c r="GV98" s="4">
        <v>205</v>
      </c>
      <c r="GW98" s="4">
        <v>199</v>
      </c>
      <c r="GX98" s="4">
        <v>193</v>
      </c>
      <c r="GY98" s="4">
        <v>187</v>
      </c>
      <c r="GZ98" s="4">
        <v>181</v>
      </c>
      <c r="HA98" s="4">
        <v>175</v>
      </c>
      <c r="HB98" s="4">
        <v>169</v>
      </c>
      <c r="HC98" s="19">
        <v>12.4</v>
      </c>
      <c r="HD98" s="19">
        <v>11.6</v>
      </c>
      <c r="HE98" s="19">
        <v>10.3</v>
      </c>
      <c r="HF98" s="19">
        <v>10.7</v>
      </c>
      <c r="HG98" s="19">
        <v>12.9</v>
      </c>
      <c r="HH98" s="19">
        <v>36.8</v>
      </c>
      <c r="HI98" s="19">
        <v>47.2</v>
      </c>
      <c r="HJ98" s="19">
        <v>46</v>
      </c>
      <c r="HK98" s="19">
        <v>53.8</v>
      </c>
      <c r="HL98" s="19">
        <v>52.8</v>
      </c>
      <c r="HM98" s="19">
        <v>51.8</v>
      </c>
      <c r="HN98" s="19">
        <v>42.3</v>
      </c>
      <c r="HO98" s="19">
        <v>41.5</v>
      </c>
      <c r="HP98" s="19">
        <v>40.7</v>
      </c>
      <c r="HQ98" s="19">
        <v>34.1</v>
      </c>
      <c r="HR98" s="19">
        <v>33.1</v>
      </c>
      <c r="HS98" s="19">
        <v>37.5</v>
      </c>
      <c r="HT98" s="19">
        <v>36.3</v>
      </c>
      <c r="HU98" s="19">
        <v>35.2</v>
      </c>
      <c r="HV98" s="19">
        <v>34.2</v>
      </c>
      <c r="HW98" s="19">
        <v>33.2</v>
      </c>
      <c r="HX98" s="19">
        <v>32.2</v>
      </c>
      <c r="HY98" s="19">
        <v>31.2</v>
      </c>
      <c r="HZ98" s="19">
        <v>30.2</v>
      </c>
      <c r="IA98" s="19">
        <v>29.2</v>
      </c>
      <c r="IB98" s="19">
        <v>28.2</v>
      </c>
    </row>
    <row r="99">
      <c r="A99" s="2" t="s">
        <v>650</v>
      </c>
      <c r="B99" s="2" t="s">
        <v>279</v>
      </c>
      <c r="C99" s="2" t="s">
        <v>616</v>
      </c>
      <c r="D99" s="2" t="s">
        <v>281</v>
      </c>
      <c r="E99" s="2" t="s">
        <v>282</v>
      </c>
      <c r="F99" s="2" t="s">
        <v>617</v>
      </c>
      <c r="G99" s="2" t="s">
        <v>617</v>
      </c>
      <c r="H99" s="2" t="s">
        <v>617</v>
      </c>
      <c r="I99" s="2" t="s">
        <v>618</v>
      </c>
      <c r="J99" s="2" t="s">
        <v>252</v>
      </c>
      <c r="K99" s="2" t="s">
        <v>651</v>
      </c>
      <c r="L99" s="3">
        <v>27.72</v>
      </c>
      <c r="M99" s="3">
        <v>29.11</v>
      </c>
      <c r="N99" s="3">
        <v>59.99</v>
      </c>
      <c r="O99" s="2" t="s">
        <v>230</v>
      </c>
      <c r="P99" s="2" t="s">
        <v>231</v>
      </c>
      <c r="Q99" s="2" t="s">
        <v>232</v>
      </c>
      <c r="R99" s="2" t="s">
        <v>233</v>
      </c>
      <c r="S99" s="2" t="s">
        <v>652</v>
      </c>
      <c r="T99" s="2" t="s">
        <v>268</v>
      </c>
      <c r="U99" s="2" t="s">
        <v>287</v>
      </c>
      <c r="V99" s="2" t="s">
        <v>236</v>
      </c>
      <c r="W99" s="2" t="s">
        <v>237</v>
      </c>
      <c r="X99" s="2" t="s">
        <v>620</v>
      </c>
      <c r="Y99" s="2" t="s">
        <v>653</v>
      </c>
      <c r="Z99" s="4">
        <v>150</v>
      </c>
      <c r="AA99" s="4">
        <f>=ROUNDDOWN(21.4285714285714,0)</f>
      </c>
      <c r="AB99" s="5">
        <v>7</v>
      </c>
      <c r="AC99" s="2" t="s">
        <v>142</v>
      </c>
      <c r="AD99" s="4">
        <v>200</v>
      </c>
      <c r="AE99" s="4">
        <v>200</v>
      </c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233</v>
      </c>
      <c r="AM99" s="4"/>
      <c r="AN99" s="4"/>
      <c r="AO99" s="7"/>
      <c r="AP99" s="4"/>
      <c r="AQ99" s="8"/>
      <c r="AR99" s="4"/>
      <c r="AS99" s="8"/>
      <c r="AT99" s="7"/>
      <c r="AU99" s="7"/>
      <c r="AV99" s="4"/>
      <c r="AW99" s="8"/>
      <c r="AX99" s="4"/>
      <c r="AY99" s="8"/>
      <c r="AZ99" s="7"/>
      <c r="BA99" s="7"/>
      <c r="BB99" s="7"/>
      <c r="BC99" s="4" t="s">
        <v>233</v>
      </c>
      <c r="BD99" s="8" t="s">
        <v>233</v>
      </c>
      <c r="BE99" s="4" t="s">
        <v>233</v>
      </c>
      <c r="BF99" s="8" t="s">
        <v>233</v>
      </c>
      <c r="BG99" s="7" t="s">
        <v>233</v>
      </c>
      <c r="BH99" s="7" t="s">
        <v>233</v>
      </c>
      <c r="BI99" s="7"/>
      <c r="BJ99" s="4"/>
      <c r="BK99" s="8"/>
      <c r="BL99" s="2" t="s">
        <v>233</v>
      </c>
      <c r="BM99" s="7"/>
      <c r="BN99" s="7"/>
      <c r="BO99" s="4"/>
      <c r="BP99" s="8"/>
      <c r="BQ99" s="4"/>
      <c r="BR99" s="8"/>
      <c r="BS99" s="7"/>
      <c r="BT99" s="7"/>
      <c r="BU99" s="2" t="s">
        <v>623</v>
      </c>
      <c r="BV99" s="2" t="s">
        <v>233</v>
      </c>
      <c r="BW99" s="2" t="s">
        <v>233</v>
      </c>
      <c r="BX99" s="2" t="s">
        <v>624</v>
      </c>
      <c r="BY99" s="2" t="s">
        <v>242</v>
      </c>
      <c r="BZ99" s="2" t="s">
        <v>230</v>
      </c>
      <c r="CA99" s="2" t="s">
        <v>654</v>
      </c>
      <c r="CB99" s="2" t="s">
        <v>655</v>
      </c>
      <c r="CC99" s="2" t="s">
        <v>245</v>
      </c>
      <c r="CD99" s="2" t="s">
        <v>233</v>
      </c>
      <c r="CE99" s="4">
        <v>150</v>
      </c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>
        <v>200</v>
      </c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>
        <v>151</v>
      </c>
      <c r="GD99" s="4">
        <v>142</v>
      </c>
      <c r="GE99" s="4">
        <v>131</v>
      </c>
      <c r="GF99" s="4">
        <v>323</v>
      </c>
      <c r="GG99" s="4">
        <v>308</v>
      </c>
      <c r="GH99" s="4">
        <v>293</v>
      </c>
      <c r="GI99" s="4">
        <v>280</v>
      </c>
      <c r="GJ99" s="4">
        <v>272</v>
      </c>
      <c r="GK99" s="4">
        <v>265</v>
      </c>
      <c r="GL99" s="4">
        <v>259</v>
      </c>
      <c r="GM99" s="4">
        <v>253</v>
      </c>
      <c r="GN99" s="4">
        <v>247</v>
      </c>
      <c r="GO99" s="4">
        <v>241</v>
      </c>
      <c r="GP99" s="4">
        <v>235</v>
      </c>
      <c r="GQ99" s="4">
        <v>229</v>
      </c>
      <c r="GR99" s="4">
        <v>223</v>
      </c>
      <c r="GS99" s="4">
        <v>217</v>
      </c>
      <c r="GT99" s="4">
        <v>211</v>
      </c>
      <c r="GU99" s="4">
        <v>204</v>
      </c>
      <c r="GV99" s="4">
        <v>197</v>
      </c>
      <c r="GW99" s="4">
        <v>190</v>
      </c>
      <c r="GX99" s="4">
        <v>183</v>
      </c>
      <c r="GY99" s="4">
        <v>176</v>
      </c>
      <c r="GZ99" s="4">
        <v>168</v>
      </c>
      <c r="HA99" s="4">
        <v>160</v>
      </c>
      <c r="HB99" s="4">
        <v>152</v>
      </c>
      <c r="HC99" s="19">
        <v>13.7</v>
      </c>
      <c r="HD99" s="19">
        <v>11.8</v>
      </c>
      <c r="HE99" s="19">
        <v>10.1</v>
      </c>
      <c r="HF99" s="19">
        <v>24.8</v>
      </c>
      <c r="HG99" s="19">
        <v>28</v>
      </c>
      <c r="HH99" s="19">
        <v>36.6</v>
      </c>
      <c r="HI99" s="19">
        <v>40</v>
      </c>
      <c r="HJ99" s="19">
        <v>45.3</v>
      </c>
      <c r="HK99" s="19">
        <v>44.2</v>
      </c>
      <c r="HL99" s="19">
        <v>43.2</v>
      </c>
      <c r="HM99" s="19">
        <v>42.2</v>
      </c>
      <c r="HN99" s="19">
        <v>41.2</v>
      </c>
      <c r="HO99" s="19">
        <v>40.2</v>
      </c>
      <c r="HP99" s="19">
        <v>39.2</v>
      </c>
      <c r="HQ99" s="19">
        <v>38.2</v>
      </c>
      <c r="HR99" s="19">
        <v>37.2</v>
      </c>
      <c r="HS99" s="19">
        <v>31</v>
      </c>
      <c r="HT99" s="19">
        <v>30.1</v>
      </c>
      <c r="HU99" s="19">
        <v>29.1</v>
      </c>
      <c r="HV99" s="19">
        <v>28.1</v>
      </c>
      <c r="HW99" s="19">
        <v>23.8</v>
      </c>
      <c r="HX99" s="19">
        <v>22.9</v>
      </c>
      <c r="HY99" s="19">
        <v>22</v>
      </c>
      <c r="HZ99" s="19">
        <v>21</v>
      </c>
      <c r="IA99" s="19">
        <v>22.9</v>
      </c>
      <c r="IB99" s="19">
        <v>25.3</v>
      </c>
    </row>
    <row r="100">
      <c r="A100" s="2" t="s">
        <v>656</v>
      </c>
      <c r="B100" s="2" t="s">
        <v>279</v>
      </c>
      <c r="C100" s="2" t="s">
        <v>616</v>
      </c>
      <c r="D100" s="2" t="s">
        <v>281</v>
      </c>
      <c r="E100" s="2" t="s">
        <v>282</v>
      </c>
      <c r="F100" s="2" t="s">
        <v>617</v>
      </c>
      <c r="G100" s="2" t="s">
        <v>617</v>
      </c>
      <c r="H100" s="2" t="s">
        <v>617</v>
      </c>
      <c r="I100" s="2" t="s">
        <v>618</v>
      </c>
      <c r="J100" s="2" t="s">
        <v>285</v>
      </c>
      <c r="K100" s="2" t="s">
        <v>266</v>
      </c>
      <c r="L100" s="3">
        <v>33.08</v>
      </c>
      <c r="M100" s="3">
        <v>34.73</v>
      </c>
      <c r="N100" s="3">
        <v>69.99</v>
      </c>
      <c r="O100" s="2" t="s">
        <v>230</v>
      </c>
      <c r="P100" s="2" t="s">
        <v>231</v>
      </c>
      <c r="Q100" s="2" t="s">
        <v>232</v>
      </c>
      <c r="R100" s="2" t="s">
        <v>233</v>
      </c>
      <c r="S100" s="2" t="s">
        <v>657</v>
      </c>
      <c r="T100" s="2" t="s">
        <v>268</v>
      </c>
      <c r="U100" s="2" t="s">
        <v>287</v>
      </c>
      <c r="V100" s="2" t="s">
        <v>236</v>
      </c>
      <c r="W100" s="2" t="s">
        <v>237</v>
      </c>
      <c r="X100" s="2" t="s">
        <v>620</v>
      </c>
      <c r="Y100" s="2" t="s">
        <v>621</v>
      </c>
      <c r="Z100" s="4">
        <v>384</v>
      </c>
      <c r="AA100" s="4">
        <f>=ROUNDDOWN(21.3333333333333,0)</f>
      </c>
      <c r="AB100" s="5">
        <v>18</v>
      </c>
      <c r="AC100" s="2" t="s">
        <v>622</v>
      </c>
      <c r="AD100" s="4">
        <v>6100</v>
      </c>
      <c r="AE100" s="4">
        <v>6418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233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/>
      <c r="AW100" s="8"/>
      <c r="AX100" s="4"/>
      <c r="AY100" s="8"/>
      <c r="AZ100" s="7"/>
      <c r="BA100" s="7"/>
      <c r="BB100" s="7"/>
      <c r="BC100" s="4" t="s">
        <v>233</v>
      </c>
      <c r="BD100" s="8" t="s">
        <v>233</v>
      </c>
      <c r="BE100" s="4" t="s">
        <v>233</v>
      </c>
      <c r="BF100" s="8" t="s">
        <v>233</v>
      </c>
      <c r="BG100" s="7" t="s">
        <v>233</v>
      </c>
      <c r="BH100" s="7" t="s">
        <v>233</v>
      </c>
      <c r="BI100" s="7"/>
      <c r="BJ100" s="4">
        <v>32</v>
      </c>
      <c r="BK100" s="8">
        <v>1161.14</v>
      </c>
      <c r="BL100" s="2" t="s">
        <v>658</v>
      </c>
      <c r="BM100" s="7"/>
      <c r="BN100" s="7"/>
      <c r="BO100" s="4"/>
      <c r="BP100" s="8"/>
      <c r="BQ100" s="4"/>
      <c r="BR100" s="8"/>
      <c r="BS100" s="7"/>
      <c r="BT100" s="7"/>
      <c r="BU100" s="2" t="s">
        <v>623</v>
      </c>
      <c r="BV100" s="2" t="s">
        <v>233</v>
      </c>
      <c r="BW100" s="2" t="s">
        <v>233</v>
      </c>
      <c r="BX100" s="2" t="s">
        <v>624</v>
      </c>
      <c r="BY100" s="2" t="s">
        <v>242</v>
      </c>
      <c r="BZ100" s="2" t="s">
        <v>230</v>
      </c>
      <c r="CA100" s="2" t="s">
        <v>659</v>
      </c>
      <c r="CB100" s="2" t="s">
        <v>660</v>
      </c>
      <c r="CC100" s="2" t="s">
        <v>245</v>
      </c>
      <c r="CD100" s="2" t="s">
        <v>233</v>
      </c>
      <c r="CE100" s="4">
        <v>384</v>
      </c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>
        <v>6100</v>
      </c>
      <c r="CY100" s="4"/>
      <c r="CZ100" s="4"/>
      <c r="DA100" s="4"/>
      <c r="DB100" s="4"/>
      <c r="DC100" s="4"/>
      <c r="DD100" s="4">
        <v>218</v>
      </c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>
        <v>100</v>
      </c>
      <c r="FX100" s="4"/>
      <c r="FY100" s="4"/>
      <c r="FZ100" s="4"/>
      <c r="GA100" s="4"/>
      <c r="GB100" s="4"/>
      <c r="GC100" s="4">
        <v>144</v>
      </c>
      <c r="GD100" s="4">
        <v>365</v>
      </c>
      <c r="GE100" s="4">
        <v>341</v>
      </c>
      <c r="GF100" s="4">
        <v>540</v>
      </c>
      <c r="GG100" s="4">
        <v>503</v>
      </c>
      <c r="GH100" s="4">
        <v>466</v>
      </c>
      <c r="GI100" s="4">
        <v>434</v>
      </c>
      <c r="GJ100" s="4">
        <v>415</v>
      </c>
      <c r="GK100" s="4">
        <v>399</v>
      </c>
      <c r="GL100" s="4">
        <v>385</v>
      </c>
      <c r="GM100" s="4">
        <v>370</v>
      </c>
      <c r="GN100" s="4">
        <v>354</v>
      </c>
      <c r="GO100" s="4">
        <v>338</v>
      </c>
      <c r="GP100" s="4">
        <v>322</v>
      </c>
      <c r="GQ100" s="4">
        <v>307</v>
      </c>
      <c r="GR100" s="4">
        <v>292</v>
      </c>
      <c r="GS100" s="4">
        <v>277</v>
      </c>
      <c r="GT100" s="4">
        <v>262</v>
      </c>
      <c r="GU100" s="4">
        <v>347</v>
      </c>
      <c r="GV100" s="4">
        <v>332</v>
      </c>
      <c r="GW100" s="4">
        <v>317</v>
      </c>
      <c r="GX100" s="4">
        <v>302</v>
      </c>
      <c r="GY100" s="4">
        <v>287</v>
      </c>
      <c r="GZ100" s="4">
        <v>271</v>
      </c>
      <c r="HA100" s="4">
        <v>255</v>
      </c>
      <c r="HB100" s="4">
        <v>239</v>
      </c>
      <c r="HC100" s="19">
        <v>5.5</v>
      </c>
      <c r="HD100" s="19">
        <v>12.6</v>
      </c>
      <c r="HE100" s="19">
        <v>11</v>
      </c>
      <c r="HF100" s="19">
        <v>17.4</v>
      </c>
      <c r="HG100" s="19">
        <v>19.3</v>
      </c>
      <c r="HH100" s="19">
        <v>23.3</v>
      </c>
      <c r="HI100" s="19">
        <v>27.1</v>
      </c>
      <c r="HJ100" s="19">
        <v>27.7</v>
      </c>
      <c r="HK100" s="19">
        <v>26.6</v>
      </c>
      <c r="HL100" s="19">
        <v>24.1</v>
      </c>
      <c r="HM100" s="19">
        <v>23.1</v>
      </c>
      <c r="HN100" s="19">
        <v>22.1</v>
      </c>
      <c r="HO100" s="19">
        <v>22.5</v>
      </c>
      <c r="HP100" s="19">
        <v>21.5</v>
      </c>
      <c r="HQ100" s="19">
        <v>20.5</v>
      </c>
      <c r="HR100" s="19">
        <v>19.5</v>
      </c>
      <c r="HS100" s="19">
        <v>18.5</v>
      </c>
      <c r="HT100" s="19">
        <v>17.5</v>
      </c>
      <c r="HU100" s="19">
        <v>23.1</v>
      </c>
      <c r="HV100" s="19">
        <v>22.1</v>
      </c>
      <c r="HW100" s="19">
        <v>19.8</v>
      </c>
      <c r="HX100" s="19">
        <v>18.9</v>
      </c>
      <c r="HY100" s="19">
        <v>17.9</v>
      </c>
      <c r="HZ100" s="19">
        <v>16.9</v>
      </c>
      <c r="IA100" s="19">
        <v>15.9</v>
      </c>
      <c r="IB100" s="19">
        <v>14.9</v>
      </c>
    </row>
    <row r="101">
      <c r="A101" s="2" t="s">
        <v>661</v>
      </c>
      <c r="B101" s="2" t="s">
        <v>279</v>
      </c>
      <c r="C101" s="2" t="s">
        <v>280</v>
      </c>
      <c r="D101" s="2" t="s">
        <v>281</v>
      </c>
      <c r="E101" s="2" t="s">
        <v>282</v>
      </c>
      <c r="F101" s="2" t="s">
        <v>662</v>
      </c>
      <c r="G101" s="2" t="s">
        <v>662</v>
      </c>
      <c r="H101" s="2" t="s">
        <v>662</v>
      </c>
      <c r="I101" s="2" t="s">
        <v>663</v>
      </c>
      <c r="J101" s="2" t="s">
        <v>256</v>
      </c>
      <c r="K101" s="2" t="s">
        <v>434</v>
      </c>
      <c r="L101" s="3">
        <v>39.84</v>
      </c>
      <c r="M101" s="3">
        <v>41.83</v>
      </c>
      <c r="N101" s="3">
        <v>82.99</v>
      </c>
      <c r="O101" s="2" t="s">
        <v>230</v>
      </c>
      <c r="P101" s="2" t="s">
        <v>231</v>
      </c>
      <c r="Q101" s="2" t="s">
        <v>232</v>
      </c>
      <c r="R101" s="2" t="s">
        <v>233</v>
      </c>
      <c r="S101" s="2" t="s">
        <v>664</v>
      </c>
      <c r="T101" s="2" t="s">
        <v>268</v>
      </c>
      <c r="U101" s="2" t="s">
        <v>665</v>
      </c>
      <c r="V101" s="2" t="s">
        <v>236</v>
      </c>
      <c r="W101" s="2" t="s">
        <v>237</v>
      </c>
      <c r="X101" s="2" t="s">
        <v>233</v>
      </c>
      <c r="Y101" s="2" t="s">
        <v>306</v>
      </c>
      <c r="Z101" s="4">
        <v>381</v>
      </c>
      <c r="AA101" s="4">
        <f>=ROUNDDOWN(42.3333333333333,0)</f>
      </c>
      <c r="AB101" s="5">
        <v>9</v>
      </c>
      <c r="AC101" s="2" t="s">
        <v>290</v>
      </c>
      <c r="AD101" s="4">
        <v>114</v>
      </c>
      <c r="AE101" s="4">
        <v>215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233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/>
      <c r="AW101" s="8"/>
      <c r="AX101" s="4"/>
      <c r="AY101" s="8"/>
      <c r="AZ101" s="7"/>
      <c r="BA101" s="7"/>
      <c r="BB101" s="7"/>
      <c r="BC101" s="4" t="s">
        <v>233</v>
      </c>
      <c r="BD101" s="8" t="s">
        <v>233</v>
      </c>
      <c r="BE101" s="4" t="s">
        <v>233</v>
      </c>
      <c r="BF101" s="8" t="s">
        <v>233</v>
      </c>
      <c r="BG101" s="7" t="s">
        <v>233</v>
      </c>
      <c r="BH101" s="7" t="s">
        <v>233</v>
      </c>
      <c r="BI101" s="7"/>
      <c r="BJ101" s="4">
        <v>41</v>
      </c>
      <c r="BK101" s="8">
        <v>1756.55</v>
      </c>
      <c r="BL101" s="2" t="s">
        <v>666</v>
      </c>
      <c r="BM101" s="7"/>
      <c r="BN101" s="7"/>
      <c r="BO101" s="4"/>
      <c r="BP101" s="8"/>
      <c r="BQ101" s="4"/>
      <c r="BR101" s="8"/>
      <c r="BS101" s="7"/>
      <c r="BT101" s="7"/>
      <c r="BU101" s="2" t="s">
        <v>667</v>
      </c>
      <c r="BV101" s="2" t="s">
        <v>233</v>
      </c>
      <c r="BW101" s="2" t="s">
        <v>233</v>
      </c>
      <c r="BX101" s="2" t="s">
        <v>241</v>
      </c>
      <c r="BY101" s="2" t="s">
        <v>242</v>
      </c>
      <c r="BZ101" s="2" t="s">
        <v>230</v>
      </c>
      <c r="CA101" s="2" t="s">
        <v>668</v>
      </c>
      <c r="CB101" s="2" t="s">
        <v>669</v>
      </c>
      <c r="CC101" s="2" t="s">
        <v>245</v>
      </c>
      <c r="CD101" s="2" t="s">
        <v>233</v>
      </c>
      <c r="CE101" s="4">
        <v>381</v>
      </c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>
        <v>114</v>
      </c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>
        <v>101</v>
      </c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>
        <v>386</v>
      </c>
      <c r="GD101" s="4">
        <v>370</v>
      </c>
      <c r="GE101" s="4">
        <v>356</v>
      </c>
      <c r="GF101" s="4">
        <v>341</v>
      </c>
      <c r="GG101" s="4">
        <v>311</v>
      </c>
      <c r="GH101" s="4">
        <v>408</v>
      </c>
      <c r="GI101" s="4">
        <v>389</v>
      </c>
      <c r="GJ101" s="4">
        <v>373</v>
      </c>
      <c r="GK101" s="4">
        <v>364</v>
      </c>
      <c r="GL101" s="4">
        <v>352</v>
      </c>
      <c r="GM101" s="4">
        <v>341</v>
      </c>
      <c r="GN101" s="4">
        <v>329</v>
      </c>
      <c r="GO101" s="4">
        <v>321</v>
      </c>
      <c r="GP101" s="4">
        <v>313</v>
      </c>
      <c r="GQ101" s="4">
        <v>303</v>
      </c>
      <c r="GR101" s="4">
        <v>295</v>
      </c>
      <c r="GS101" s="4">
        <v>387</v>
      </c>
      <c r="GT101" s="4">
        <v>382</v>
      </c>
      <c r="GU101" s="4">
        <v>372</v>
      </c>
      <c r="GV101" s="4">
        <v>360</v>
      </c>
      <c r="GW101" s="4">
        <v>351</v>
      </c>
      <c r="GX101" s="4">
        <v>339</v>
      </c>
      <c r="GY101" s="4">
        <v>329</v>
      </c>
      <c r="GZ101" s="4">
        <v>315</v>
      </c>
      <c r="HA101" s="4">
        <v>301</v>
      </c>
      <c r="HB101" s="4">
        <v>291</v>
      </c>
      <c r="HC101" s="19">
        <v>20.3</v>
      </c>
      <c r="HD101" s="19">
        <v>19.5</v>
      </c>
      <c r="HE101" s="19">
        <v>17.8</v>
      </c>
      <c r="HF101" s="19">
        <v>17.1</v>
      </c>
      <c r="HG101" s="19">
        <v>20.7</v>
      </c>
      <c r="HH101" s="19">
        <v>29.1</v>
      </c>
      <c r="HI101" s="19">
        <v>32.4</v>
      </c>
      <c r="HJ101" s="19">
        <v>33.9</v>
      </c>
      <c r="HK101" s="19">
        <v>33.1</v>
      </c>
      <c r="HL101" s="19">
        <v>35.2</v>
      </c>
      <c r="HM101" s="19">
        <v>34.1</v>
      </c>
      <c r="HN101" s="19">
        <v>41.1</v>
      </c>
      <c r="HO101" s="19">
        <v>35.7</v>
      </c>
      <c r="HP101" s="19">
        <v>39.1</v>
      </c>
      <c r="HQ101" s="19">
        <v>37.9</v>
      </c>
      <c r="HR101" s="19">
        <v>32.8</v>
      </c>
      <c r="HS101" s="19">
        <v>43</v>
      </c>
      <c r="HT101" s="19">
        <v>34.7</v>
      </c>
      <c r="HU101" s="19">
        <v>33.8</v>
      </c>
      <c r="HV101" s="19">
        <v>32.7</v>
      </c>
      <c r="HW101" s="19">
        <v>29.3</v>
      </c>
      <c r="HX101" s="19">
        <v>28.3</v>
      </c>
      <c r="HY101" s="19">
        <v>27.4</v>
      </c>
      <c r="HZ101" s="19">
        <v>28.6</v>
      </c>
      <c r="IA101" s="19">
        <v>30.1</v>
      </c>
      <c r="IB101" s="19">
        <v>26.5</v>
      </c>
    </row>
    <row r="102">
      <c r="A102" s="2" t="s">
        <v>670</v>
      </c>
      <c r="B102" s="2" t="s">
        <v>279</v>
      </c>
      <c r="C102" s="2" t="s">
        <v>280</v>
      </c>
      <c r="D102" s="2" t="s">
        <v>281</v>
      </c>
      <c r="E102" s="2" t="s">
        <v>282</v>
      </c>
      <c r="F102" s="2" t="s">
        <v>662</v>
      </c>
      <c r="G102" s="2" t="s">
        <v>662</v>
      </c>
      <c r="H102" s="2" t="s">
        <v>662</v>
      </c>
      <c r="I102" s="2" t="s">
        <v>663</v>
      </c>
      <c r="J102" s="2" t="s">
        <v>285</v>
      </c>
      <c r="K102" s="2" t="s">
        <v>671</v>
      </c>
      <c r="L102" s="3">
        <v>39.84</v>
      </c>
      <c r="M102" s="3">
        <v>41.83</v>
      </c>
      <c r="N102" s="3">
        <v>82.99</v>
      </c>
      <c r="O102" s="2" t="s">
        <v>230</v>
      </c>
      <c r="P102" s="2" t="s">
        <v>231</v>
      </c>
      <c r="Q102" s="2" t="s">
        <v>232</v>
      </c>
      <c r="R102" s="2" t="s">
        <v>233</v>
      </c>
      <c r="S102" s="2" t="s">
        <v>672</v>
      </c>
      <c r="T102" s="2" t="s">
        <v>268</v>
      </c>
      <c r="U102" s="2" t="s">
        <v>665</v>
      </c>
      <c r="V102" s="2" t="s">
        <v>236</v>
      </c>
      <c r="W102" s="2" t="s">
        <v>237</v>
      </c>
      <c r="X102" s="2" t="s">
        <v>288</v>
      </c>
      <c r="Y102" s="2" t="s">
        <v>673</v>
      </c>
      <c r="Z102" s="4">
        <v>107</v>
      </c>
      <c r="AA102" s="4">
        <f>=ROUNDDOWN(35.6666666666667,0)</f>
      </c>
      <c r="AB102" s="5">
        <v>3</v>
      </c>
      <c r="AC102" s="2" t="s">
        <v>290</v>
      </c>
      <c r="AD102" s="4">
        <v>67</v>
      </c>
      <c r="AE102" s="4">
        <v>67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233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233</v>
      </c>
      <c r="AW102" s="8" t="s">
        <v>233</v>
      </c>
      <c r="AX102" s="4" t="s">
        <v>233</v>
      </c>
      <c r="AY102" s="8" t="s">
        <v>233</v>
      </c>
      <c r="AZ102" s="7" t="s">
        <v>233</v>
      </c>
      <c r="BA102" s="7" t="s">
        <v>233</v>
      </c>
      <c r="BB102" s="7"/>
      <c r="BC102" s="4" t="s">
        <v>233</v>
      </c>
      <c r="BD102" s="8" t="s">
        <v>233</v>
      </c>
      <c r="BE102" s="4" t="s">
        <v>233</v>
      </c>
      <c r="BF102" s="8" t="s">
        <v>233</v>
      </c>
      <c r="BG102" s="7" t="s">
        <v>233</v>
      </c>
      <c r="BH102" s="7" t="s">
        <v>233</v>
      </c>
      <c r="BI102" s="7"/>
      <c r="BJ102" s="4">
        <v>16</v>
      </c>
      <c r="BK102" s="8">
        <v>702.52</v>
      </c>
      <c r="BL102" s="2" t="s">
        <v>674</v>
      </c>
      <c r="BM102" s="7"/>
      <c r="BN102" s="7"/>
      <c r="BO102" s="4"/>
      <c r="BP102" s="8"/>
      <c r="BQ102" s="4"/>
      <c r="BR102" s="8"/>
      <c r="BS102" s="7"/>
      <c r="BT102" s="7"/>
      <c r="BU102" s="2" t="s">
        <v>667</v>
      </c>
      <c r="BV102" s="2" t="s">
        <v>233</v>
      </c>
      <c r="BW102" s="2" t="s">
        <v>233</v>
      </c>
      <c r="BX102" s="2" t="s">
        <v>241</v>
      </c>
      <c r="BY102" s="2" t="s">
        <v>242</v>
      </c>
      <c r="BZ102" s="2" t="s">
        <v>230</v>
      </c>
      <c r="CA102" s="2" t="s">
        <v>673</v>
      </c>
      <c r="CB102" s="2" t="s">
        <v>675</v>
      </c>
      <c r="CC102" s="2" t="s">
        <v>245</v>
      </c>
      <c r="CD102" s="2" t="s">
        <v>233</v>
      </c>
      <c r="CE102" s="4">
        <v>78</v>
      </c>
      <c r="CF102" s="4">
        <v>29</v>
      </c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>
        <v>67</v>
      </c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>
        <v>107</v>
      </c>
      <c r="GD102" s="4">
        <v>103</v>
      </c>
      <c r="GE102" s="4">
        <v>98</v>
      </c>
      <c r="GF102" s="4">
        <v>93</v>
      </c>
      <c r="GG102" s="4">
        <v>86</v>
      </c>
      <c r="GH102" s="4">
        <v>147</v>
      </c>
      <c r="GI102" s="4">
        <v>142</v>
      </c>
      <c r="GJ102" s="4">
        <v>139</v>
      </c>
      <c r="GK102" s="4">
        <v>136</v>
      </c>
      <c r="GL102" s="4">
        <v>132</v>
      </c>
      <c r="GM102" s="4">
        <v>129</v>
      </c>
      <c r="GN102" s="4">
        <v>126</v>
      </c>
      <c r="GO102" s="4">
        <v>122</v>
      </c>
      <c r="GP102" s="4">
        <v>118</v>
      </c>
      <c r="GQ102" s="4">
        <v>115</v>
      </c>
      <c r="GR102" s="4">
        <v>113</v>
      </c>
      <c r="GS102" s="4">
        <v>110</v>
      </c>
      <c r="GT102" s="4">
        <v>107</v>
      </c>
      <c r="GU102" s="4">
        <v>105</v>
      </c>
      <c r="GV102" s="4">
        <v>102</v>
      </c>
      <c r="GW102" s="4">
        <v>98</v>
      </c>
      <c r="GX102" s="4">
        <v>94</v>
      </c>
      <c r="GY102" s="4">
        <v>91</v>
      </c>
      <c r="GZ102" s="4">
        <v>88</v>
      </c>
      <c r="HA102" s="4">
        <v>83</v>
      </c>
      <c r="HB102" s="4">
        <v>80</v>
      </c>
      <c r="HC102" s="19">
        <v>21.4</v>
      </c>
      <c r="HD102" s="19">
        <v>17.2</v>
      </c>
      <c r="HE102" s="19">
        <v>16.3</v>
      </c>
      <c r="HF102" s="19">
        <v>18.6</v>
      </c>
      <c r="HG102" s="19">
        <v>21.5</v>
      </c>
      <c r="HH102" s="19">
        <v>36.8</v>
      </c>
      <c r="HI102" s="19">
        <v>47.3</v>
      </c>
      <c r="HJ102" s="19">
        <v>46.3</v>
      </c>
      <c r="HK102" s="19">
        <v>34</v>
      </c>
      <c r="HL102" s="19">
        <v>33</v>
      </c>
      <c r="HM102" s="19">
        <v>32.3</v>
      </c>
      <c r="HN102" s="19">
        <v>42</v>
      </c>
      <c r="HO102" s="19">
        <v>40.7</v>
      </c>
      <c r="HP102" s="19">
        <v>39.3</v>
      </c>
      <c r="HQ102" s="19">
        <v>57.5</v>
      </c>
      <c r="HR102" s="19">
        <v>37.7</v>
      </c>
      <c r="HS102" s="19">
        <v>36.7</v>
      </c>
      <c r="HT102" s="19">
        <v>35.7</v>
      </c>
      <c r="HU102" s="19">
        <v>26.3</v>
      </c>
      <c r="HV102" s="19">
        <v>25.5</v>
      </c>
      <c r="HW102" s="19">
        <v>24.5</v>
      </c>
      <c r="HX102" s="19">
        <v>23.5</v>
      </c>
      <c r="HY102" s="19">
        <v>30.3</v>
      </c>
      <c r="HZ102" s="19">
        <v>22</v>
      </c>
      <c r="IA102" s="19">
        <v>27.7</v>
      </c>
      <c r="IB102" s="19">
        <v>26.7</v>
      </c>
    </row>
    <row r="103">
      <c r="A103" s="2" t="s">
        <v>676</v>
      </c>
      <c r="B103" s="2" t="s">
        <v>279</v>
      </c>
      <c r="C103" s="2" t="s">
        <v>280</v>
      </c>
      <c r="D103" s="2" t="s">
        <v>281</v>
      </c>
      <c r="E103" s="2" t="s">
        <v>282</v>
      </c>
      <c r="F103" s="2" t="s">
        <v>662</v>
      </c>
      <c r="G103" s="2" t="s">
        <v>662</v>
      </c>
      <c r="H103" s="2" t="s">
        <v>662</v>
      </c>
      <c r="I103" s="2" t="s">
        <v>663</v>
      </c>
      <c r="J103" s="2" t="s">
        <v>634</v>
      </c>
      <c r="K103" s="2" t="s">
        <v>671</v>
      </c>
      <c r="L103" s="3">
        <v>43.2</v>
      </c>
      <c r="M103" s="3">
        <v>45.36</v>
      </c>
      <c r="N103" s="3">
        <v>89.99</v>
      </c>
      <c r="O103" s="2" t="s">
        <v>230</v>
      </c>
      <c r="P103" s="2" t="s">
        <v>231</v>
      </c>
      <c r="Q103" s="2" t="s">
        <v>232</v>
      </c>
      <c r="R103" s="2" t="s">
        <v>233</v>
      </c>
      <c r="S103" s="2" t="s">
        <v>672</v>
      </c>
      <c r="T103" s="2" t="s">
        <v>268</v>
      </c>
      <c r="U103" s="2" t="s">
        <v>635</v>
      </c>
      <c r="V103" s="2" t="s">
        <v>236</v>
      </c>
      <c r="W103" s="2" t="s">
        <v>237</v>
      </c>
      <c r="X103" s="2" t="s">
        <v>237</v>
      </c>
      <c r="Y103" s="2" t="s">
        <v>677</v>
      </c>
      <c r="Z103" s="4">
        <v>232</v>
      </c>
      <c r="AA103" s="4">
        <f>=ROUNDDOWN(46.4,0)</f>
      </c>
      <c r="AB103" s="5">
        <v>5</v>
      </c>
      <c r="AC103" s="2" t="s">
        <v>290</v>
      </c>
      <c r="AD103" s="4">
        <v>100</v>
      </c>
      <c r="AE103" s="4">
        <v>100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233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233</v>
      </c>
      <c r="AW103" s="8" t="s">
        <v>233</v>
      </c>
      <c r="AX103" s="4" t="s">
        <v>233</v>
      </c>
      <c r="AY103" s="8" t="s">
        <v>233</v>
      </c>
      <c r="AZ103" s="7" t="s">
        <v>233</v>
      </c>
      <c r="BA103" s="7" t="s">
        <v>233</v>
      </c>
      <c r="BB103" s="7"/>
      <c r="BC103" s="4" t="s">
        <v>233</v>
      </c>
      <c r="BD103" s="8" t="s">
        <v>233</v>
      </c>
      <c r="BE103" s="4" t="s">
        <v>233</v>
      </c>
      <c r="BF103" s="8" t="s">
        <v>233</v>
      </c>
      <c r="BG103" s="7" t="s">
        <v>233</v>
      </c>
      <c r="BH103" s="7" t="s">
        <v>233</v>
      </c>
      <c r="BI103" s="7"/>
      <c r="BJ103" s="4">
        <v>19</v>
      </c>
      <c r="BK103" s="8">
        <v>919.28</v>
      </c>
      <c r="BL103" s="2" t="s">
        <v>678</v>
      </c>
      <c r="BM103" s="7"/>
      <c r="BN103" s="7"/>
      <c r="BO103" s="4"/>
      <c r="BP103" s="8"/>
      <c r="BQ103" s="4"/>
      <c r="BR103" s="8"/>
      <c r="BS103" s="7"/>
      <c r="BT103" s="7"/>
      <c r="BU103" s="2" t="s">
        <v>667</v>
      </c>
      <c r="BV103" s="2" t="s">
        <v>233</v>
      </c>
      <c r="BW103" s="2" t="s">
        <v>233</v>
      </c>
      <c r="BX103" s="2" t="s">
        <v>241</v>
      </c>
      <c r="BY103" s="2" t="s">
        <v>242</v>
      </c>
      <c r="BZ103" s="2" t="s">
        <v>230</v>
      </c>
      <c r="CA103" s="2" t="s">
        <v>679</v>
      </c>
      <c r="CB103" s="2" t="s">
        <v>680</v>
      </c>
      <c r="CC103" s="2" t="s">
        <v>245</v>
      </c>
      <c r="CD103" s="2" t="s">
        <v>233</v>
      </c>
      <c r="CE103" s="4">
        <v>80</v>
      </c>
      <c r="CF103" s="4">
        <v>58</v>
      </c>
      <c r="CG103" s="4"/>
      <c r="CH103" s="4"/>
      <c r="CI103" s="4"/>
      <c r="CJ103" s="4"/>
      <c r="CK103" s="4">
        <v>94</v>
      </c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>
        <v>100</v>
      </c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>
        <v>238</v>
      </c>
      <c r="GD103" s="4">
        <v>227</v>
      </c>
      <c r="GE103" s="4">
        <v>218</v>
      </c>
      <c r="GF103" s="4">
        <v>208</v>
      </c>
      <c r="GG103" s="4">
        <v>192</v>
      </c>
      <c r="GH103" s="4">
        <v>278</v>
      </c>
      <c r="GI103" s="4">
        <v>269</v>
      </c>
      <c r="GJ103" s="4">
        <v>262</v>
      </c>
      <c r="GK103" s="4">
        <v>257</v>
      </c>
      <c r="GL103" s="4">
        <v>250</v>
      </c>
      <c r="GM103" s="4">
        <v>246</v>
      </c>
      <c r="GN103" s="4">
        <v>241</v>
      </c>
      <c r="GO103" s="4">
        <v>236</v>
      </c>
      <c r="GP103" s="4">
        <v>231</v>
      </c>
      <c r="GQ103" s="4">
        <v>227</v>
      </c>
      <c r="GR103" s="4">
        <v>223</v>
      </c>
      <c r="GS103" s="4">
        <v>216</v>
      </c>
      <c r="GT103" s="4">
        <v>210</v>
      </c>
      <c r="GU103" s="4">
        <v>205</v>
      </c>
      <c r="GV103" s="4">
        <v>202</v>
      </c>
      <c r="GW103" s="4">
        <v>196</v>
      </c>
      <c r="GX103" s="4">
        <v>190</v>
      </c>
      <c r="GY103" s="4">
        <v>185</v>
      </c>
      <c r="GZ103" s="4">
        <v>177</v>
      </c>
      <c r="HA103" s="4">
        <v>170</v>
      </c>
      <c r="HB103" s="4">
        <v>165</v>
      </c>
      <c r="HC103" s="19">
        <v>19.8</v>
      </c>
      <c r="HD103" s="19">
        <v>18.9</v>
      </c>
      <c r="HE103" s="19">
        <v>18.2</v>
      </c>
      <c r="HF103" s="19">
        <v>17.3</v>
      </c>
      <c r="HG103" s="19">
        <v>21.3</v>
      </c>
      <c r="HH103" s="19">
        <v>39.7</v>
      </c>
      <c r="HI103" s="19">
        <v>44.8</v>
      </c>
      <c r="HJ103" s="19">
        <v>52.4</v>
      </c>
      <c r="HK103" s="19">
        <v>51.4</v>
      </c>
      <c r="HL103" s="19">
        <v>50</v>
      </c>
      <c r="HM103" s="19">
        <v>49.2</v>
      </c>
      <c r="HN103" s="19">
        <v>60.3</v>
      </c>
      <c r="HO103" s="19">
        <v>47.2</v>
      </c>
      <c r="HP103" s="19">
        <v>46.2</v>
      </c>
      <c r="HQ103" s="19">
        <v>37.8</v>
      </c>
      <c r="HR103" s="19">
        <v>44.6</v>
      </c>
      <c r="HS103" s="19">
        <v>43.2</v>
      </c>
      <c r="HT103" s="19">
        <v>42</v>
      </c>
      <c r="HU103" s="19">
        <v>41</v>
      </c>
      <c r="HV103" s="19">
        <v>33.7</v>
      </c>
      <c r="HW103" s="19">
        <v>32.7</v>
      </c>
      <c r="HX103" s="19">
        <v>31.7</v>
      </c>
      <c r="HY103" s="19">
        <v>30.8</v>
      </c>
      <c r="HZ103" s="19">
        <v>35.4</v>
      </c>
      <c r="IA103" s="19">
        <v>42.5</v>
      </c>
      <c r="IB103" s="19">
        <v>33</v>
      </c>
    </row>
    <row r="104">
      <c r="A104" s="2" t="s">
        <v>681</v>
      </c>
      <c r="B104" s="2" t="s">
        <v>279</v>
      </c>
      <c r="C104" s="2" t="s">
        <v>280</v>
      </c>
      <c r="D104" s="2" t="s">
        <v>281</v>
      </c>
      <c r="E104" s="2" t="s">
        <v>282</v>
      </c>
      <c r="F104" s="2" t="s">
        <v>662</v>
      </c>
      <c r="G104" s="2" t="s">
        <v>662</v>
      </c>
      <c r="H104" s="2" t="s">
        <v>662</v>
      </c>
      <c r="I104" s="2" t="s">
        <v>663</v>
      </c>
      <c r="J104" s="2" t="s">
        <v>285</v>
      </c>
      <c r="K104" s="2" t="s">
        <v>452</v>
      </c>
      <c r="L104" s="3">
        <v>39.84</v>
      </c>
      <c r="M104" s="3">
        <v>41.83</v>
      </c>
      <c r="N104" s="3">
        <v>82.99</v>
      </c>
      <c r="O104" s="2" t="s">
        <v>230</v>
      </c>
      <c r="P104" s="2" t="s">
        <v>231</v>
      </c>
      <c r="Q104" s="2" t="s">
        <v>232</v>
      </c>
      <c r="R104" s="2" t="s">
        <v>233</v>
      </c>
      <c r="S104" s="2" t="s">
        <v>682</v>
      </c>
      <c r="T104" s="2" t="s">
        <v>268</v>
      </c>
      <c r="U104" s="2" t="s">
        <v>665</v>
      </c>
      <c r="V104" s="2" t="s">
        <v>236</v>
      </c>
      <c r="W104" s="2" t="s">
        <v>237</v>
      </c>
      <c r="X104" s="2" t="s">
        <v>233</v>
      </c>
      <c r="Y104" s="2" t="s">
        <v>306</v>
      </c>
      <c r="Z104" s="4">
        <v>122</v>
      </c>
      <c r="AA104" s="4">
        <f>=ROUNDDOWN(24.4,0)</f>
      </c>
      <c r="AB104" s="5">
        <v>5</v>
      </c>
      <c r="AC104" s="2" t="s">
        <v>290</v>
      </c>
      <c r="AD104" s="4">
        <v>110</v>
      </c>
      <c r="AE104" s="4">
        <v>154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233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 t="s">
        <v>233</v>
      </c>
      <c r="BD104" s="8" t="s">
        <v>233</v>
      </c>
      <c r="BE104" s="4" t="s">
        <v>233</v>
      </c>
      <c r="BF104" s="8" t="s">
        <v>233</v>
      </c>
      <c r="BG104" s="7" t="s">
        <v>233</v>
      </c>
      <c r="BH104" s="7" t="s">
        <v>233</v>
      </c>
      <c r="BI104" s="7"/>
      <c r="BJ104" s="4">
        <v>15</v>
      </c>
      <c r="BK104" s="8">
        <v>685.95</v>
      </c>
      <c r="BL104" s="2" t="s">
        <v>683</v>
      </c>
      <c r="BM104" s="7"/>
      <c r="BN104" s="7"/>
      <c r="BO104" s="4"/>
      <c r="BP104" s="8"/>
      <c r="BQ104" s="4"/>
      <c r="BR104" s="8"/>
      <c r="BS104" s="7"/>
      <c r="BT104" s="7"/>
      <c r="BU104" s="2" t="s">
        <v>667</v>
      </c>
      <c r="BV104" s="2" t="s">
        <v>233</v>
      </c>
      <c r="BW104" s="2" t="s">
        <v>233</v>
      </c>
      <c r="BX104" s="2" t="s">
        <v>241</v>
      </c>
      <c r="BY104" s="2" t="s">
        <v>242</v>
      </c>
      <c r="BZ104" s="2" t="s">
        <v>230</v>
      </c>
      <c r="CA104" s="2" t="s">
        <v>668</v>
      </c>
      <c r="CB104" s="2" t="s">
        <v>684</v>
      </c>
      <c r="CC104" s="2" t="s">
        <v>245</v>
      </c>
      <c r="CD104" s="2" t="s">
        <v>233</v>
      </c>
      <c r="CE104" s="4">
        <v>99</v>
      </c>
      <c r="CF104" s="4">
        <v>23</v>
      </c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>
        <v>110</v>
      </c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>
        <v>44</v>
      </c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>
        <v>123</v>
      </c>
      <c r="GD104" s="4">
        <v>116</v>
      </c>
      <c r="GE104" s="4">
        <v>108</v>
      </c>
      <c r="GF104" s="4">
        <v>100</v>
      </c>
      <c r="GG104" s="4">
        <v>88</v>
      </c>
      <c r="GH104" s="4">
        <v>188</v>
      </c>
      <c r="GI104" s="4">
        <v>179</v>
      </c>
      <c r="GJ104" s="4">
        <v>174</v>
      </c>
      <c r="GK104" s="4">
        <v>169</v>
      </c>
      <c r="GL104" s="4">
        <v>162</v>
      </c>
      <c r="GM104" s="4">
        <v>157</v>
      </c>
      <c r="GN104" s="4">
        <v>151</v>
      </c>
      <c r="GO104" s="4">
        <v>145</v>
      </c>
      <c r="GP104" s="4">
        <v>139</v>
      </c>
      <c r="GQ104" s="4">
        <v>134</v>
      </c>
      <c r="GR104" s="4">
        <v>130</v>
      </c>
      <c r="GS104" s="4">
        <v>168</v>
      </c>
      <c r="GT104" s="4">
        <v>163</v>
      </c>
      <c r="GU104" s="4">
        <v>159</v>
      </c>
      <c r="GV104" s="4">
        <v>154</v>
      </c>
      <c r="GW104" s="4">
        <v>148</v>
      </c>
      <c r="GX104" s="4">
        <v>142</v>
      </c>
      <c r="GY104" s="4">
        <v>137</v>
      </c>
      <c r="GZ104" s="4">
        <v>131</v>
      </c>
      <c r="HA104" s="4">
        <v>123</v>
      </c>
      <c r="HB104" s="4">
        <v>118</v>
      </c>
      <c r="HC104" s="19">
        <v>13.7</v>
      </c>
      <c r="HD104" s="19">
        <v>11.6</v>
      </c>
      <c r="HE104" s="19">
        <v>10.8</v>
      </c>
      <c r="HF104" s="19">
        <v>11.1</v>
      </c>
      <c r="HG104" s="19">
        <v>12.6</v>
      </c>
      <c r="HH104" s="19">
        <v>31.3</v>
      </c>
      <c r="HI104" s="19">
        <v>29.8</v>
      </c>
      <c r="HJ104" s="19">
        <v>29</v>
      </c>
      <c r="HK104" s="19">
        <v>28.2</v>
      </c>
      <c r="HL104" s="19">
        <v>27</v>
      </c>
      <c r="HM104" s="19">
        <v>26.2</v>
      </c>
      <c r="HN104" s="19">
        <v>30.2</v>
      </c>
      <c r="HO104" s="19">
        <v>29</v>
      </c>
      <c r="HP104" s="19">
        <v>27.8</v>
      </c>
      <c r="HQ104" s="19">
        <v>26.8</v>
      </c>
      <c r="HR104" s="19">
        <v>26</v>
      </c>
      <c r="HS104" s="19">
        <v>33.6</v>
      </c>
      <c r="HT104" s="19">
        <v>32.6</v>
      </c>
      <c r="HU104" s="19">
        <v>26.5</v>
      </c>
      <c r="HV104" s="19">
        <v>25.7</v>
      </c>
      <c r="HW104" s="19">
        <v>24.7</v>
      </c>
      <c r="HX104" s="19">
        <v>23.7</v>
      </c>
      <c r="HY104" s="19">
        <v>22.8</v>
      </c>
      <c r="HZ104" s="19">
        <v>21.8</v>
      </c>
      <c r="IA104" s="19">
        <v>24.6</v>
      </c>
      <c r="IB104" s="19">
        <v>19.7</v>
      </c>
    </row>
    <row r="105">
      <c r="A105" s="2" t="s">
        <v>685</v>
      </c>
      <c r="B105" s="2" t="s">
        <v>279</v>
      </c>
      <c r="C105" s="2" t="s">
        <v>280</v>
      </c>
      <c r="D105" s="2" t="s">
        <v>281</v>
      </c>
      <c r="E105" s="2" t="s">
        <v>282</v>
      </c>
      <c r="F105" s="2" t="s">
        <v>662</v>
      </c>
      <c r="G105" s="2" t="s">
        <v>662</v>
      </c>
      <c r="H105" s="2" t="s">
        <v>662</v>
      </c>
      <c r="I105" s="2" t="s">
        <v>663</v>
      </c>
      <c r="J105" s="2" t="s">
        <v>285</v>
      </c>
      <c r="K105" s="2" t="s">
        <v>534</v>
      </c>
      <c r="L105" s="3">
        <v>39.84</v>
      </c>
      <c r="M105" s="3">
        <v>41.83</v>
      </c>
      <c r="N105" s="3">
        <v>82.99</v>
      </c>
      <c r="O105" s="2" t="s">
        <v>230</v>
      </c>
      <c r="P105" s="2" t="s">
        <v>231</v>
      </c>
      <c r="Q105" s="2" t="s">
        <v>232</v>
      </c>
      <c r="R105" s="2" t="s">
        <v>233</v>
      </c>
      <c r="S105" s="2" t="s">
        <v>686</v>
      </c>
      <c r="T105" s="2" t="s">
        <v>268</v>
      </c>
      <c r="U105" s="2" t="s">
        <v>665</v>
      </c>
      <c r="V105" s="2" t="s">
        <v>236</v>
      </c>
      <c r="W105" s="2" t="s">
        <v>237</v>
      </c>
      <c r="X105" s="2" t="s">
        <v>233</v>
      </c>
      <c r="Y105" s="2" t="s">
        <v>306</v>
      </c>
      <c r="Z105" s="4">
        <v>182</v>
      </c>
      <c r="AA105" s="4">
        <f>=ROUNDDOWN(26,0)</f>
      </c>
      <c r="AB105" s="5">
        <v>7</v>
      </c>
      <c r="AC105" s="2" t="s">
        <v>290</v>
      </c>
      <c r="AD105" s="4">
        <v>120</v>
      </c>
      <c r="AE105" s="4">
        <v>163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233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 t="s">
        <v>233</v>
      </c>
      <c r="BD105" s="8" t="s">
        <v>233</v>
      </c>
      <c r="BE105" s="4" t="s">
        <v>233</v>
      </c>
      <c r="BF105" s="8" t="s">
        <v>233</v>
      </c>
      <c r="BG105" s="7" t="s">
        <v>233</v>
      </c>
      <c r="BH105" s="7" t="s">
        <v>233</v>
      </c>
      <c r="BI105" s="7"/>
      <c r="BJ105" s="4">
        <v>37</v>
      </c>
      <c r="BK105" s="8">
        <v>1609.07</v>
      </c>
      <c r="BL105" s="2" t="s">
        <v>314</v>
      </c>
      <c r="BM105" s="7"/>
      <c r="BN105" s="7"/>
      <c r="BO105" s="4"/>
      <c r="BP105" s="8"/>
      <c r="BQ105" s="4"/>
      <c r="BR105" s="8"/>
      <c r="BS105" s="7"/>
      <c r="BT105" s="7"/>
      <c r="BU105" s="2" t="s">
        <v>667</v>
      </c>
      <c r="BV105" s="2" t="s">
        <v>233</v>
      </c>
      <c r="BW105" s="2" t="s">
        <v>233</v>
      </c>
      <c r="BX105" s="2" t="s">
        <v>241</v>
      </c>
      <c r="BY105" s="2" t="s">
        <v>242</v>
      </c>
      <c r="BZ105" s="2" t="s">
        <v>230</v>
      </c>
      <c r="CA105" s="2" t="s">
        <v>668</v>
      </c>
      <c r="CB105" s="2" t="s">
        <v>687</v>
      </c>
      <c r="CC105" s="2" t="s">
        <v>245</v>
      </c>
      <c r="CD105" s="2" t="s">
        <v>233</v>
      </c>
      <c r="CE105" s="4">
        <v>182</v>
      </c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>
        <v>120</v>
      </c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>
        <v>43</v>
      </c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>
        <v>185</v>
      </c>
      <c r="GD105" s="4">
        <v>174</v>
      </c>
      <c r="GE105" s="4">
        <v>163</v>
      </c>
      <c r="GF105" s="4">
        <v>152</v>
      </c>
      <c r="GG105" s="4">
        <v>135</v>
      </c>
      <c r="GH105" s="4">
        <v>241</v>
      </c>
      <c r="GI105" s="4">
        <v>229</v>
      </c>
      <c r="GJ105" s="4">
        <v>222</v>
      </c>
      <c r="GK105" s="4">
        <v>216</v>
      </c>
      <c r="GL105" s="4">
        <v>206</v>
      </c>
      <c r="GM105" s="4">
        <v>200</v>
      </c>
      <c r="GN105" s="4">
        <v>192</v>
      </c>
      <c r="GO105" s="4">
        <v>184</v>
      </c>
      <c r="GP105" s="4">
        <v>176</v>
      </c>
      <c r="GQ105" s="4">
        <v>169</v>
      </c>
      <c r="GR105" s="4">
        <v>163</v>
      </c>
      <c r="GS105" s="4">
        <v>198</v>
      </c>
      <c r="GT105" s="4">
        <v>192</v>
      </c>
      <c r="GU105" s="4">
        <v>187</v>
      </c>
      <c r="GV105" s="4">
        <v>181</v>
      </c>
      <c r="GW105" s="4">
        <v>173</v>
      </c>
      <c r="GX105" s="4">
        <v>165</v>
      </c>
      <c r="GY105" s="4">
        <v>158</v>
      </c>
      <c r="GZ105" s="4">
        <v>150</v>
      </c>
      <c r="HA105" s="4">
        <v>139</v>
      </c>
      <c r="HB105" s="4">
        <v>133</v>
      </c>
      <c r="HC105" s="19">
        <v>15.4</v>
      </c>
      <c r="HD105" s="19">
        <v>13.4</v>
      </c>
      <c r="HE105" s="19">
        <v>11.6</v>
      </c>
      <c r="HF105" s="19">
        <v>12.7</v>
      </c>
      <c r="HG105" s="19">
        <v>13.5</v>
      </c>
      <c r="HH105" s="19">
        <v>26.8</v>
      </c>
      <c r="HI105" s="19">
        <v>32.7</v>
      </c>
      <c r="HJ105" s="19">
        <v>27.8</v>
      </c>
      <c r="HK105" s="19">
        <v>27</v>
      </c>
      <c r="HL105" s="19">
        <v>25.8</v>
      </c>
      <c r="HM105" s="19">
        <v>25</v>
      </c>
      <c r="HN105" s="19">
        <v>27.4</v>
      </c>
      <c r="HO105" s="19">
        <v>26.3</v>
      </c>
      <c r="HP105" s="19">
        <v>25.1</v>
      </c>
      <c r="HQ105" s="19">
        <v>28.2</v>
      </c>
      <c r="HR105" s="19">
        <v>27.2</v>
      </c>
      <c r="HS105" s="19">
        <v>33</v>
      </c>
      <c r="HT105" s="19">
        <v>27.4</v>
      </c>
      <c r="HU105" s="19">
        <v>26.7</v>
      </c>
      <c r="HV105" s="19">
        <v>22.6</v>
      </c>
      <c r="HW105" s="19">
        <v>21.6</v>
      </c>
      <c r="HX105" s="19">
        <v>20.6</v>
      </c>
      <c r="HY105" s="19">
        <v>19.8</v>
      </c>
      <c r="HZ105" s="19">
        <v>18.8</v>
      </c>
      <c r="IA105" s="19">
        <v>23.2</v>
      </c>
      <c r="IB105" s="19">
        <v>16.6</v>
      </c>
    </row>
    <row r="106">
      <c r="A106" s="2" t="s">
        <v>688</v>
      </c>
      <c r="B106" s="2" t="s">
        <v>279</v>
      </c>
      <c r="C106" s="2" t="s">
        <v>280</v>
      </c>
      <c r="D106" s="2" t="s">
        <v>281</v>
      </c>
      <c r="E106" s="2" t="s">
        <v>282</v>
      </c>
      <c r="F106" s="2" t="s">
        <v>662</v>
      </c>
      <c r="G106" s="2" t="s">
        <v>662</v>
      </c>
      <c r="H106" s="2" t="s">
        <v>662</v>
      </c>
      <c r="I106" s="2" t="s">
        <v>663</v>
      </c>
      <c r="J106" s="2" t="s">
        <v>285</v>
      </c>
      <c r="K106" s="2" t="s">
        <v>689</v>
      </c>
      <c r="L106" s="3">
        <v>39.84</v>
      </c>
      <c r="M106" s="3">
        <v>41.83</v>
      </c>
      <c r="N106" s="3">
        <v>82.99</v>
      </c>
      <c r="O106" s="2" t="s">
        <v>230</v>
      </c>
      <c r="P106" s="2" t="s">
        <v>231</v>
      </c>
      <c r="Q106" s="2" t="s">
        <v>232</v>
      </c>
      <c r="R106" s="2" t="s">
        <v>233</v>
      </c>
      <c r="S106" s="2" t="s">
        <v>690</v>
      </c>
      <c r="T106" s="2" t="s">
        <v>268</v>
      </c>
      <c r="U106" s="2" t="s">
        <v>665</v>
      </c>
      <c r="V106" s="2" t="s">
        <v>236</v>
      </c>
      <c r="W106" s="2" t="s">
        <v>237</v>
      </c>
      <c r="X106" s="2" t="s">
        <v>233</v>
      </c>
      <c r="Y106" s="2" t="s">
        <v>306</v>
      </c>
      <c r="Z106" s="4">
        <v>31</v>
      </c>
      <c r="AA106" s="4">
        <f>=ROUNDDOWN(10.3333333333333,0)</f>
      </c>
      <c r="AB106" s="5">
        <v>3</v>
      </c>
      <c r="AC106" s="2" t="s">
        <v>142</v>
      </c>
      <c r="AD106" s="4">
        <v>107</v>
      </c>
      <c r="AE106" s="4">
        <v>145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233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233</v>
      </c>
      <c r="AW106" s="8" t="s">
        <v>233</v>
      </c>
      <c r="AX106" s="4" t="s">
        <v>233</v>
      </c>
      <c r="AY106" s="8" t="s">
        <v>233</v>
      </c>
      <c r="AZ106" s="7" t="s">
        <v>233</v>
      </c>
      <c r="BA106" s="7" t="s">
        <v>233</v>
      </c>
      <c r="BB106" s="7"/>
      <c r="BC106" s="4" t="s">
        <v>233</v>
      </c>
      <c r="BD106" s="8" t="s">
        <v>233</v>
      </c>
      <c r="BE106" s="4" t="s">
        <v>233</v>
      </c>
      <c r="BF106" s="8" t="s">
        <v>233</v>
      </c>
      <c r="BG106" s="7" t="s">
        <v>233</v>
      </c>
      <c r="BH106" s="7" t="s">
        <v>233</v>
      </c>
      <c r="BI106" s="7"/>
      <c r="BJ106" s="4">
        <v>24</v>
      </c>
      <c r="BK106" s="8">
        <v>1038.35</v>
      </c>
      <c r="BL106" s="2" t="s">
        <v>691</v>
      </c>
      <c r="BM106" s="7"/>
      <c r="BN106" s="7"/>
      <c r="BO106" s="4"/>
      <c r="BP106" s="8"/>
      <c r="BQ106" s="4"/>
      <c r="BR106" s="8"/>
      <c r="BS106" s="7"/>
      <c r="BT106" s="7"/>
      <c r="BU106" s="2" t="s">
        <v>667</v>
      </c>
      <c r="BV106" s="2" t="s">
        <v>233</v>
      </c>
      <c r="BW106" s="2" t="s">
        <v>233</v>
      </c>
      <c r="BX106" s="2" t="s">
        <v>241</v>
      </c>
      <c r="BY106" s="2" t="s">
        <v>242</v>
      </c>
      <c r="BZ106" s="2" t="s">
        <v>230</v>
      </c>
      <c r="CA106" s="2" t="s">
        <v>668</v>
      </c>
      <c r="CB106" s="2" t="s">
        <v>692</v>
      </c>
      <c r="CC106" s="2" t="s">
        <v>245</v>
      </c>
      <c r="CD106" s="2" t="s">
        <v>233</v>
      </c>
      <c r="CE106" s="4">
        <v>31</v>
      </c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>
        <v>107</v>
      </c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>
        <v>38</v>
      </c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>
        <v>33</v>
      </c>
      <c r="GD106" s="4">
        <v>27</v>
      </c>
      <c r="GE106" s="4">
        <v>22</v>
      </c>
      <c r="GF106" s="4">
        <v>124</v>
      </c>
      <c r="GG106" s="4">
        <v>117</v>
      </c>
      <c r="GH106" s="4">
        <v>111</v>
      </c>
      <c r="GI106" s="4">
        <v>106</v>
      </c>
      <c r="GJ106" s="4">
        <v>103</v>
      </c>
      <c r="GK106" s="4">
        <v>100</v>
      </c>
      <c r="GL106" s="4">
        <v>96</v>
      </c>
      <c r="GM106" s="4">
        <v>93</v>
      </c>
      <c r="GN106" s="4">
        <v>90</v>
      </c>
      <c r="GO106" s="4">
        <v>86</v>
      </c>
      <c r="GP106" s="4">
        <v>82</v>
      </c>
      <c r="GQ106" s="4">
        <v>79</v>
      </c>
      <c r="GR106" s="4">
        <v>77</v>
      </c>
      <c r="GS106" s="4">
        <v>112</v>
      </c>
      <c r="GT106" s="4">
        <v>109</v>
      </c>
      <c r="GU106" s="4">
        <v>107</v>
      </c>
      <c r="GV106" s="4">
        <v>104</v>
      </c>
      <c r="GW106" s="4">
        <v>100</v>
      </c>
      <c r="GX106" s="4">
        <v>96</v>
      </c>
      <c r="GY106" s="4">
        <v>93</v>
      </c>
      <c r="GZ106" s="4">
        <v>90</v>
      </c>
      <c r="HA106" s="4">
        <v>85</v>
      </c>
      <c r="HB106" s="4">
        <v>82</v>
      </c>
      <c r="HC106" s="19">
        <v>5.5</v>
      </c>
      <c r="HD106" s="19">
        <v>4.5</v>
      </c>
      <c r="HE106" s="19">
        <v>3.7</v>
      </c>
      <c r="HF106" s="19">
        <v>24.8</v>
      </c>
      <c r="HG106" s="19">
        <v>29.3</v>
      </c>
      <c r="HH106" s="19">
        <v>27.8</v>
      </c>
      <c r="HI106" s="19">
        <v>35.3</v>
      </c>
      <c r="HJ106" s="19">
        <v>34.3</v>
      </c>
      <c r="HK106" s="19">
        <v>25</v>
      </c>
      <c r="HL106" s="19">
        <v>24</v>
      </c>
      <c r="HM106" s="19">
        <v>23.3</v>
      </c>
      <c r="HN106" s="19">
        <v>30</v>
      </c>
      <c r="HO106" s="19">
        <v>28.7</v>
      </c>
      <c r="HP106" s="19">
        <v>27.3</v>
      </c>
      <c r="HQ106" s="19">
        <v>39.5</v>
      </c>
      <c r="HR106" s="19">
        <v>25.7</v>
      </c>
      <c r="HS106" s="19">
        <v>37.3</v>
      </c>
      <c r="HT106" s="19">
        <v>36.3</v>
      </c>
      <c r="HU106" s="19">
        <v>26.8</v>
      </c>
      <c r="HV106" s="19">
        <v>26</v>
      </c>
      <c r="HW106" s="19">
        <v>25</v>
      </c>
      <c r="HX106" s="19">
        <v>24</v>
      </c>
      <c r="HY106" s="19">
        <v>31</v>
      </c>
      <c r="HZ106" s="19">
        <v>22.5</v>
      </c>
      <c r="IA106" s="19">
        <v>28.3</v>
      </c>
      <c r="IB106" s="19">
        <v>27.3</v>
      </c>
    </row>
    <row r="107">
      <c r="A107" s="2" t="s">
        <v>693</v>
      </c>
      <c r="B107" s="2" t="s">
        <v>279</v>
      </c>
      <c r="C107" s="2" t="s">
        <v>280</v>
      </c>
      <c r="D107" s="2" t="s">
        <v>281</v>
      </c>
      <c r="E107" s="2" t="s">
        <v>282</v>
      </c>
      <c r="F107" s="2" t="s">
        <v>662</v>
      </c>
      <c r="G107" s="2" t="s">
        <v>662</v>
      </c>
      <c r="H107" s="2" t="s">
        <v>662</v>
      </c>
      <c r="I107" s="2" t="s">
        <v>663</v>
      </c>
      <c r="J107" s="2" t="s">
        <v>634</v>
      </c>
      <c r="K107" s="2" t="s">
        <v>689</v>
      </c>
      <c r="L107" s="3">
        <v>43.2</v>
      </c>
      <c r="M107" s="3">
        <v>45.36</v>
      </c>
      <c r="N107" s="3">
        <v>89.99</v>
      </c>
      <c r="O107" s="2" t="s">
        <v>230</v>
      </c>
      <c r="P107" s="2" t="s">
        <v>231</v>
      </c>
      <c r="Q107" s="2" t="s">
        <v>232</v>
      </c>
      <c r="R107" s="2" t="s">
        <v>233</v>
      </c>
      <c r="S107" s="2" t="s">
        <v>694</v>
      </c>
      <c r="T107" s="2" t="s">
        <v>268</v>
      </c>
      <c r="U107" s="2" t="s">
        <v>635</v>
      </c>
      <c r="V107" s="2" t="s">
        <v>236</v>
      </c>
      <c r="W107" s="2" t="s">
        <v>237</v>
      </c>
      <c r="X107" s="2" t="s">
        <v>237</v>
      </c>
      <c r="Y107" s="2" t="s">
        <v>677</v>
      </c>
      <c r="Z107" s="4">
        <v>5</v>
      </c>
      <c r="AA107" s="4">
        <f>=ROUNDDOWN(0.833333333333333,0)</f>
      </c>
      <c r="AB107" s="5">
        <v>6</v>
      </c>
      <c r="AC107" s="2" t="s">
        <v>142</v>
      </c>
      <c r="AD107" s="4">
        <v>149</v>
      </c>
      <c r="AE107" s="4">
        <v>351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233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233</v>
      </c>
      <c r="AW107" s="8" t="s">
        <v>233</v>
      </c>
      <c r="AX107" s="4" t="s">
        <v>233</v>
      </c>
      <c r="AY107" s="8" t="s">
        <v>233</v>
      </c>
      <c r="AZ107" s="7" t="s">
        <v>233</v>
      </c>
      <c r="BA107" s="7" t="s">
        <v>233</v>
      </c>
      <c r="BB107" s="7"/>
      <c r="BC107" s="4" t="s">
        <v>233</v>
      </c>
      <c r="BD107" s="8" t="s">
        <v>233</v>
      </c>
      <c r="BE107" s="4" t="s">
        <v>233</v>
      </c>
      <c r="BF107" s="8" t="s">
        <v>233</v>
      </c>
      <c r="BG107" s="7" t="s">
        <v>233</v>
      </c>
      <c r="BH107" s="7" t="s">
        <v>233</v>
      </c>
      <c r="BI107" s="7"/>
      <c r="BJ107" s="4">
        <v>26</v>
      </c>
      <c r="BK107" s="8">
        <v>1222.84</v>
      </c>
      <c r="BL107" s="2" t="s">
        <v>695</v>
      </c>
      <c r="BM107" s="7"/>
      <c r="BN107" s="7"/>
      <c r="BO107" s="4"/>
      <c r="BP107" s="8"/>
      <c r="BQ107" s="4"/>
      <c r="BR107" s="8"/>
      <c r="BS107" s="7"/>
      <c r="BT107" s="7"/>
      <c r="BU107" s="2" t="s">
        <v>667</v>
      </c>
      <c r="BV107" s="2" t="s">
        <v>233</v>
      </c>
      <c r="BW107" s="2" t="s">
        <v>233</v>
      </c>
      <c r="BX107" s="2" t="s">
        <v>241</v>
      </c>
      <c r="BY107" s="2" t="s">
        <v>242</v>
      </c>
      <c r="BZ107" s="2" t="s">
        <v>230</v>
      </c>
      <c r="CA107" s="2" t="s">
        <v>679</v>
      </c>
      <c r="CB107" s="2" t="s">
        <v>696</v>
      </c>
      <c r="CC107" s="2" t="s">
        <v>245</v>
      </c>
      <c r="CD107" s="2" t="s">
        <v>233</v>
      </c>
      <c r="CE107" s="4">
        <v>5</v>
      </c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>
        <v>149</v>
      </c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>
        <v>134</v>
      </c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>
        <v>68</v>
      </c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>
        <v>8</v>
      </c>
      <c r="GD107" s="4"/>
      <c r="GE107" s="4"/>
      <c r="GF107" s="4">
        <v>149</v>
      </c>
      <c r="GG107" s="4">
        <v>130</v>
      </c>
      <c r="GH107" s="4">
        <v>247</v>
      </c>
      <c r="GI107" s="4">
        <v>236</v>
      </c>
      <c r="GJ107" s="4">
        <v>228</v>
      </c>
      <c r="GK107" s="4">
        <v>222</v>
      </c>
      <c r="GL107" s="4">
        <v>214</v>
      </c>
      <c r="GM107" s="4">
        <v>209</v>
      </c>
      <c r="GN107" s="4">
        <v>204</v>
      </c>
      <c r="GO107" s="4">
        <v>198</v>
      </c>
      <c r="GP107" s="4">
        <v>192</v>
      </c>
      <c r="GQ107" s="4">
        <v>187</v>
      </c>
      <c r="GR107" s="4">
        <v>182</v>
      </c>
      <c r="GS107" s="4">
        <v>242</v>
      </c>
      <c r="GT107" s="4">
        <v>235</v>
      </c>
      <c r="GU107" s="4">
        <v>230</v>
      </c>
      <c r="GV107" s="4">
        <v>226</v>
      </c>
      <c r="GW107" s="4">
        <v>219</v>
      </c>
      <c r="GX107" s="4">
        <v>212</v>
      </c>
      <c r="GY107" s="4">
        <v>206</v>
      </c>
      <c r="GZ107" s="4">
        <v>196</v>
      </c>
      <c r="HA107" s="4">
        <v>188</v>
      </c>
      <c r="HB107" s="4">
        <v>183</v>
      </c>
      <c r="HC107" s="19">
        <v>0.7</v>
      </c>
      <c r="HD107" s="20">
        <v>0</v>
      </c>
      <c r="HE107" s="20">
        <v>0</v>
      </c>
      <c r="HF107" s="19">
        <v>10.6</v>
      </c>
      <c r="HG107" s="19">
        <v>13</v>
      </c>
      <c r="HH107" s="19">
        <v>30.9</v>
      </c>
      <c r="HI107" s="19">
        <v>33.7</v>
      </c>
      <c r="HJ107" s="19">
        <v>38</v>
      </c>
      <c r="HK107" s="19">
        <v>37</v>
      </c>
      <c r="HL107" s="19">
        <v>35.7</v>
      </c>
      <c r="HM107" s="19">
        <v>34.8</v>
      </c>
      <c r="HN107" s="19">
        <v>34</v>
      </c>
      <c r="HO107" s="19">
        <v>33</v>
      </c>
      <c r="HP107" s="19">
        <v>32</v>
      </c>
      <c r="HQ107" s="19">
        <v>31.2</v>
      </c>
      <c r="HR107" s="19">
        <v>30.3</v>
      </c>
      <c r="HS107" s="19">
        <v>40.3</v>
      </c>
      <c r="HT107" s="19">
        <v>39.2</v>
      </c>
      <c r="HU107" s="19">
        <v>38.3</v>
      </c>
      <c r="HV107" s="19">
        <v>28.3</v>
      </c>
      <c r="HW107" s="19">
        <v>27.4</v>
      </c>
      <c r="HX107" s="19">
        <v>30.3</v>
      </c>
      <c r="HY107" s="19">
        <v>29.4</v>
      </c>
      <c r="HZ107" s="19">
        <v>32.7</v>
      </c>
      <c r="IA107" s="19">
        <v>37.6</v>
      </c>
      <c r="IB107" s="19">
        <v>30.5</v>
      </c>
    </row>
    <row r="108">
      <c r="A108" s="2" t="s">
        <v>697</v>
      </c>
      <c r="B108" s="2" t="s">
        <v>279</v>
      </c>
      <c r="C108" s="2" t="s">
        <v>280</v>
      </c>
      <c r="D108" s="2" t="s">
        <v>281</v>
      </c>
      <c r="E108" s="2" t="s">
        <v>282</v>
      </c>
      <c r="F108" s="2" t="s">
        <v>662</v>
      </c>
      <c r="G108" s="2" t="s">
        <v>662</v>
      </c>
      <c r="H108" s="2" t="s">
        <v>662</v>
      </c>
      <c r="I108" s="2" t="s">
        <v>663</v>
      </c>
      <c r="J108" s="2" t="s">
        <v>256</v>
      </c>
      <c r="K108" s="2" t="s">
        <v>651</v>
      </c>
      <c r="L108" s="3">
        <v>39.84</v>
      </c>
      <c r="M108" s="3">
        <v>41.83</v>
      </c>
      <c r="N108" s="3">
        <v>82.99</v>
      </c>
      <c r="O108" s="2" t="s">
        <v>230</v>
      </c>
      <c r="P108" s="2" t="s">
        <v>231</v>
      </c>
      <c r="Q108" s="2" t="s">
        <v>232</v>
      </c>
      <c r="R108" s="2" t="s">
        <v>233</v>
      </c>
      <c r="S108" s="2" t="s">
        <v>698</v>
      </c>
      <c r="T108" s="2" t="s">
        <v>268</v>
      </c>
      <c r="U108" s="2" t="s">
        <v>665</v>
      </c>
      <c r="V108" s="2" t="s">
        <v>236</v>
      </c>
      <c r="W108" s="2" t="s">
        <v>237</v>
      </c>
      <c r="X108" s="2" t="s">
        <v>233</v>
      </c>
      <c r="Y108" s="2" t="s">
        <v>306</v>
      </c>
      <c r="Z108" s="4">
        <v>396</v>
      </c>
      <c r="AA108" s="4">
        <f>=ROUNDDOWN(49.5,0)</f>
      </c>
      <c r="AB108" s="5">
        <v>8</v>
      </c>
      <c r="AC108" s="2" t="s">
        <v>233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233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233</v>
      </c>
      <c r="AW108" s="8" t="s">
        <v>233</v>
      </c>
      <c r="AX108" s="4" t="s">
        <v>233</v>
      </c>
      <c r="AY108" s="8" t="s">
        <v>233</v>
      </c>
      <c r="AZ108" s="7" t="s">
        <v>233</v>
      </c>
      <c r="BA108" s="7" t="s">
        <v>233</v>
      </c>
      <c r="BB108" s="7"/>
      <c r="BC108" s="4" t="s">
        <v>233</v>
      </c>
      <c r="BD108" s="8" t="s">
        <v>233</v>
      </c>
      <c r="BE108" s="4" t="s">
        <v>233</v>
      </c>
      <c r="BF108" s="8" t="s">
        <v>233</v>
      </c>
      <c r="BG108" s="7" t="s">
        <v>233</v>
      </c>
      <c r="BH108" s="7" t="s">
        <v>233</v>
      </c>
      <c r="BI108" s="7"/>
      <c r="BJ108" s="4">
        <v>46</v>
      </c>
      <c r="BK108" s="8">
        <v>2009.24</v>
      </c>
      <c r="BL108" s="2" t="s">
        <v>699</v>
      </c>
      <c r="BM108" s="7"/>
      <c r="BN108" s="7"/>
      <c r="BO108" s="4"/>
      <c r="BP108" s="8"/>
      <c r="BQ108" s="4"/>
      <c r="BR108" s="8"/>
      <c r="BS108" s="7"/>
      <c r="BT108" s="7"/>
      <c r="BU108" s="2" t="s">
        <v>667</v>
      </c>
      <c r="BV108" s="2" t="s">
        <v>233</v>
      </c>
      <c r="BW108" s="2" t="s">
        <v>233</v>
      </c>
      <c r="BX108" s="2" t="s">
        <v>241</v>
      </c>
      <c r="BY108" s="2" t="s">
        <v>242</v>
      </c>
      <c r="BZ108" s="2" t="s">
        <v>230</v>
      </c>
      <c r="CA108" s="2" t="s">
        <v>668</v>
      </c>
      <c r="CB108" s="2" t="s">
        <v>700</v>
      </c>
      <c r="CC108" s="2" t="s">
        <v>245</v>
      </c>
      <c r="CD108" s="2" t="s">
        <v>233</v>
      </c>
      <c r="CE108" s="4">
        <v>396</v>
      </c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>
        <v>400</v>
      </c>
      <c r="GD108" s="4">
        <v>386</v>
      </c>
      <c r="GE108" s="4">
        <v>374</v>
      </c>
      <c r="GF108" s="4">
        <v>360</v>
      </c>
      <c r="GG108" s="4">
        <v>334</v>
      </c>
      <c r="GH108" s="4">
        <v>319</v>
      </c>
      <c r="GI108" s="4">
        <v>302</v>
      </c>
      <c r="GJ108" s="4">
        <v>288</v>
      </c>
      <c r="GK108" s="4">
        <v>280</v>
      </c>
      <c r="GL108" s="4">
        <v>270</v>
      </c>
      <c r="GM108" s="4">
        <v>260</v>
      </c>
      <c r="GN108" s="4">
        <v>250</v>
      </c>
      <c r="GO108" s="4">
        <v>243</v>
      </c>
      <c r="GP108" s="4">
        <v>236</v>
      </c>
      <c r="GQ108" s="4">
        <v>227</v>
      </c>
      <c r="GR108" s="4">
        <v>220</v>
      </c>
      <c r="GS108" s="4">
        <v>212</v>
      </c>
      <c r="GT108" s="4">
        <v>207</v>
      </c>
      <c r="GU108" s="4">
        <v>198</v>
      </c>
      <c r="GV108" s="4">
        <v>188</v>
      </c>
      <c r="GW108" s="4">
        <v>180</v>
      </c>
      <c r="GX108" s="4">
        <v>170</v>
      </c>
      <c r="GY108" s="4">
        <v>161</v>
      </c>
      <c r="GZ108" s="4">
        <v>148</v>
      </c>
      <c r="HA108" s="4">
        <v>136</v>
      </c>
      <c r="HB108" s="4">
        <v>127</v>
      </c>
      <c r="HC108" s="19">
        <v>25</v>
      </c>
      <c r="HD108" s="19">
        <v>22.7</v>
      </c>
      <c r="HE108" s="19">
        <v>20.8</v>
      </c>
      <c r="HF108" s="19">
        <v>20</v>
      </c>
      <c r="HG108" s="19">
        <v>23.9</v>
      </c>
      <c r="HH108" s="19">
        <v>26.6</v>
      </c>
      <c r="HI108" s="19">
        <v>30.2</v>
      </c>
      <c r="HJ108" s="19">
        <v>28.8</v>
      </c>
      <c r="HK108" s="19">
        <v>31.1</v>
      </c>
      <c r="HL108" s="19">
        <v>33.8</v>
      </c>
      <c r="HM108" s="19">
        <v>32.5</v>
      </c>
      <c r="HN108" s="19">
        <v>31.3</v>
      </c>
      <c r="HO108" s="19">
        <v>30.4</v>
      </c>
      <c r="HP108" s="19">
        <v>33.7</v>
      </c>
      <c r="HQ108" s="19">
        <v>32.4</v>
      </c>
      <c r="HR108" s="19">
        <v>27.5</v>
      </c>
      <c r="HS108" s="19">
        <v>26.5</v>
      </c>
      <c r="HT108" s="19">
        <v>23</v>
      </c>
      <c r="HU108" s="19">
        <v>22</v>
      </c>
      <c r="HV108" s="19">
        <v>18.8</v>
      </c>
      <c r="HW108" s="19">
        <v>16.4</v>
      </c>
      <c r="HX108" s="19">
        <v>15.5</v>
      </c>
      <c r="HY108" s="19">
        <v>16.1</v>
      </c>
      <c r="HZ108" s="19">
        <v>14.8</v>
      </c>
      <c r="IA108" s="19">
        <v>17</v>
      </c>
      <c r="IB108" s="19">
        <v>12.7</v>
      </c>
    </row>
    <row r="109">
      <c r="A109" s="2" t="s">
        <v>701</v>
      </c>
      <c r="B109" s="2" t="s">
        <v>279</v>
      </c>
      <c r="C109" s="2" t="s">
        <v>280</v>
      </c>
      <c r="D109" s="2" t="s">
        <v>281</v>
      </c>
      <c r="E109" s="2" t="s">
        <v>282</v>
      </c>
      <c r="F109" s="2" t="s">
        <v>662</v>
      </c>
      <c r="G109" s="2" t="s">
        <v>662</v>
      </c>
      <c r="H109" s="2" t="s">
        <v>662</v>
      </c>
      <c r="I109" s="2" t="s">
        <v>663</v>
      </c>
      <c r="J109" s="2" t="s">
        <v>285</v>
      </c>
      <c r="K109" s="2" t="s">
        <v>651</v>
      </c>
      <c r="L109" s="3">
        <v>39.84</v>
      </c>
      <c r="M109" s="3">
        <v>41.83</v>
      </c>
      <c r="N109" s="3">
        <v>82.99</v>
      </c>
      <c r="O109" s="2" t="s">
        <v>230</v>
      </c>
      <c r="P109" s="2" t="s">
        <v>231</v>
      </c>
      <c r="Q109" s="2" t="s">
        <v>232</v>
      </c>
      <c r="R109" s="2" t="s">
        <v>233</v>
      </c>
      <c r="S109" s="2" t="s">
        <v>698</v>
      </c>
      <c r="T109" s="2" t="s">
        <v>268</v>
      </c>
      <c r="U109" s="2" t="s">
        <v>665</v>
      </c>
      <c r="V109" s="2" t="s">
        <v>236</v>
      </c>
      <c r="W109" s="2" t="s">
        <v>237</v>
      </c>
      <c r="X109" s="2" t="s">
        <v>233</v>
      </c>
      <c r="Y109" s="2" t="s">
        <v>306</v>
      </c>
      <c r="Z109" s="4">
        <v>145</v>
      </c>
      <c r="AA109" s="4">
        <f>=ROUNDDOWN(48.3333333333333,0)</f>
      </c>
      <c r="AB109" s="5">
        <v>3</v>
      </c>
      <c r="AC109" s="2" t="s">
        <v>233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233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233</v>
      </c>
      <c r="AW109" s="8" t="s">
        <v>233</v>
      </c>
      <c r="AX109" s="4" t="s">
        <v>233</v>
      </c>
      <c r="AY109" s="8" t="s">
        <v>233</v>
      </c>
      <c r="AZ109" s="7" t="s">
        <v>233</v>
      </c>
      <c r="BA109" s="7" t="s">
        <v>233</v>
      </c>
      <c r="BB109" s="7"/>
      <c r="BC109" s="4" t="s">
        <v>233</v>
      </c>
      <c r="BD109" s="8" t="s">
        <v>233</v>
      </c>
      <c r="BE109" s="4" t="s">
        <v>233</v>
      </c>
      <c r="BF109" s="8" t="s">
        <v>233</v>
      </c>
      <c r="BG109" s="7" t="s">
        <v>233</v>
      </c>
      <c r="BH109" s="7" t="s">
        <v>233</v>
      </c>
      <c r="BI109" s="7"/>
      <c r="BJ109" s="4">
        <v>24</v>
      </c>
      <c r="BK109" s="8">
        <v>1041.87</v>
      </c>
      <c r="BL109" s="2" t="s">
        <v>702</v>
      </c>
      <c r="BM109" s="7"/>
      <c r="BN109" s="7"/>
      <c r="BO109" s="4"/>
      <c r="BP109" s="8"/>
      <c r="BQ109" s="4"/>
      <c r="BR109" s="8"/>
      <c r="BS109" s="7"/>
      <c r="BT109" s="7"/>
      <c r="BU109" s="2" t="s">
        <v>667</v>
      </c>
      <c r="BV109" s="2" t="s">
        <v>233</v>
      </c>
      <c r="BW109" s="2" t="s">
        <v>233</v>
      </c>
      <c r="BX109" s="2" t="s">
        <v>241</v>
      </c>
      <c r="BY109" s="2" t="s">
        <v>242</v>
      </c>
      <c r="BZ109" s="2" t="s">
        <v>230</v>
      </c>
      <c r="CA109" s="2" t="s">
        <v>668</v>
      </c>
      <c r="CB109" s="2" t="s">
        <v>700</v>
      </c>
      <c r="CC109" s="2" t="s">
        <v>245</v>
      </c>
      <c r="CD109" s="2" t="s">
        <v>233</v>
      </c>
      <c r="CE109" s="4">
        <v>145</v>
      </c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>
        <v>147</v>
      </c>
      <c r="GD109" s="4">
        <v>141</v>
      </c>
      <c r="GE109" s="4">
        <v>136</v>
      </c>
      <c r="GF109" s="4">
        <v>131</v>
      </c>
      <c r="GG109" s="4">
        <v>124</v>
      </c>
      <c r="GH109" s="4">
        <v>118</v>
      </c>
      <c r="GI109" s="4">
        <v>113</v>
      </c>
      <c r="GJ109" s="4">
        <v>110</v>
      </c>
      <c r="GK109" s="4">
        <v>107</v>
      </c>
      <c r="GL109" s="4">
        <v>103</v>
      </c>
      <c r="GM109" s="4">
        <v>100</v>
      </c>
      <c r="GN109" s="4">
        <v>97</v>
      </c>
      <c r="GO109" s="4">
        <v>93</v>
      </c>
      <c r="GP109" s="4">
        <v>89</v>
      </c>
      <c r="GQ109" s="4">
        <v>86</v>
      </c>
      <c r="GR109" s="4">
        <v>84</v>
      </c>
      <c r="GS109" s="4">
        <v>81</v>
      </c>
      <c r="GT109" s="4">
        <v>78</v>
      </c>
      <c r="GU109" s="4">
        <v>76</v>
      </c>
      <c r="GV109" s="4">
        <v>73</v>
      </c>
      <c r="GW109" s="4">
        <v>69</v>
      </c>
      <c r="GX109" s="4">
        <v>65</v>
      </c>
      <c r="GY109" s="4">
        <v>62</v>
      </c>
      <c r="GZ109" s="4">
        <v>59</v>
      </c>
      <c r="HA109" s="4">
        <v>54</v>
      </c>
      <c r="HB109" s="4">
        <v>51</v>
      </c>
      <c r="HC109" s="19">
        <v>24.5</v>
      </c>
      <c r="HD109" s="19">
        <v>23.5</v>
      </c>
      <c r="HE109" s="19">
        <v>22.7</v>
      </c>
      <c r="HF109" s="19">
        <v>26.2</v>
      </c>
      <c r="HG109" s="19">
        <v>31</v>
      </c>
      <c r="HH109" s="19">
        <v>29.5</v>
      </c>
      <c r="HI109" s="19">
        <v>37.7</v>
      </c>
      <c r="HJ109" s="19">
        <v>36.7</v>
      </c>
      <c r="HK109" s="19">
        <v>26.8</v>
      </c>
      <c r="HL109" s="19">
        <v>25.8</v>
      </c>
      <c r="HM109" s="19">
        <v>25</v>
      </c>
      <c r="HN109" s="19">
        <v>32.3</v>
      </c>
      <c r="HO109" s="19">
        <v>31</v>
      </c>
      <c r="HP109" s="19">
        <v>29.7</v>
      </c>
      <c r="HQ109" s="19">
        <v>43</v>
      </c>
      <c r="HR109" s="19">
        <v>28</v>
      </c>
      <c r="HS109" s="19">
        <v>27</v>
      </c>
      <c r="HT109" s="19">
        <v>26</v>
      </c>
      <c r="HU109" s="19">
        <v>19</v>
      </c>
      <c r="HV109" s="19">
        <v>18.3</v>
      </c>
      <c r="HW109" s="19">
        <v>17.3</v>
      </c>
      <c r="HX109" s="19">
        <v>16.3</v>
      </c>
      <c r="HY109" s="19">
        <v>20.7</v>
      </c>
      <c r="HZ109" s="19">
        <v>14.8</v>
      </c>
      <c r="IA109" s="19">
        <v>18</v>
      </c>
      <c r="IB109" s="19">
        <v>17</v>
      </c>
    </row>
    <row r="110">
      <c r="A110" s="2" t="s">
        <v>703</v>
      </c>
      <c r="B110" s="2" t="s">
        <v>704</v>
      </c>
      <c r="C110" s="2" t="s">
        <v>260</v>
      </c>
      <c r="D110" s="2" t="s">
        <v>705</v>
      </c>
      <c r="E110" s="2" t="s">
        <v>706</v>
      </c>
      <c r="F110" s="2" t="s">
        <v>707</v>
      </c>
      <c r="G110" s="2" t="s">
        <v>707</v>
      </c>
      <c r="H110" s="2" t="s">
        <v>707</v>
      </c>
      <c r="I110" s="2" t="s">
        <v>708</v>
      </c>
      <c r="J110" s="2" t="s">
        <v>709</v>
      </c>
      <c r="K110" s="2" t="s">
        <v>434</v>
      </c>
      <c r="L110" s="3">
        <v>32.9</v>
      </c>
      <c r="M110" s="3">
        <v>34.55</v>
      </c>
      <c r="N110" s="3">
        <v>69.99</v>
      </c>
      <c r="O110" s="2" t="s">
        <v>230</v>
      </c>
      <c r="P110" s="2" t="s">
        <v>231</v>
      </c>
      <c r="Q110" s="2" t="s">
        <v>232</v>
      </c>
      <c r="R110" s="2" t="s">
        <v>233</v>
      </c>
      <c r="S110" s="2" t="s">
        <v>710</v>
      </c>
      <c r="T110" s="2" t="s">
        <v>348</v>
      </c>
      <c r="U110" s="2" t="s">
        <v>711</v>
      </c>
      <c r="V110" s="2" t="s">
        <v>236</v>
      </c>
      <c r="W110" s="2" t="s">
        <v>712</v>
      </c>
      <c r="X110" s="2" t="s">
        <v>233</v>
      </c>
      <c r="Y110" s="2" t="s">
        <v>713</v>
      </c>
      <c r="Z110" s="4">
        <v>669</v>
      </c>
      <c r="AA110" s="4">
        <f>=ROUNDDOWN(21.5806451612903,0)</f>
      </c>
      <c r="AB110" s="5">
        <v>31</v>
      </c>
      <c r="AC110" s="2" t="s">
        <v>174</v>
      </c>
      <c r="AD110" s="4">
        <v>558</v>
      </c>
      <c r="AE110" s="4">
        <v>838</v>
      </c>
      <c r="AF110" s="6">
        <v>69</v>
      </c>
      <c r="AG110" s="6"/>
      <c r="AH110" s="7">
        <v>1</v>
      </c>
      <c r="AI110" s="4"/>
      <c r="AJ110" s="4">
        <f>=ROUNDDOWN({0},0)</f>
      </c>
      <c r="AK110" s="5"/>
      <c r="AL110" s="2" t="s">
        <v>233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 t="s">
        <v>233</v>
      </c>
      <c r="BD110" s="8" t="s">
        <v>233</v>
      </c>
      <c r="BE110" s="4" t="s">
        <v>233</v>
      </c>
      <c r="BF110" s="8" t="s">
        <v>233</v>
      </c>
      <c r="BG110" s="7" t="s">
        <v>233</v>
      </c>
      <c r="BH110" s="7" t="s">
        <v>233</v>
      </c>
      <c r="BI110" s="7"/>
      <c r="BJ110" s="4">
        <v>111</v>
      </c>
      <c r="BK110" s="8">
        <v>3881.53</v>
      </c>
      <c r="BL110" s="2" t="s">
        <v>714</v>
      </c>
      <c r="BM110" s="7"/>
      <c r="BN110" s="7"/>
      <c r="BO110" s="4"/>
      <c r="BP110" s="8"/>
      <c r="BQ110" s="4"/>
      <c r="BR110" s="8"/>
      <c r="BS110" s="7"/>
      <c r="BT110" s="7"/>
      <c r="BU110" s="2" t="s">
        <v>715</v>
      </c>
      <c r="BV110" s="2" t="s">
        <v>233</v>
      </c>
      <c r="BW110" s="2" t="s">
        <v>233</v>
      </c>
      <c r="BX110" s="2" t="s">
        <v>293</v>
      </c>
      <c r="BY110" s="2" t="s">
        <v>242</v>
      </c>
      <c r="BZ110" s="2" t="s">
        <v>230</v>
      </c>
      <c r="CA110" s="2" t="s">
        <v>716</v>
      </c>
      <c r="CB110" s="2" t="s">
        <v>696</v>
      </c>
      <c r="CC110" s="2" t="s">
        <v>245</v>
      </c>
      <c r="CD110" s="2" t="s">
        <v>233</v>
      </c>
      <c r="CE110" s="4">
        <v>669</v>
      </c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>
        <v>558</v>
      </c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>
        <v>280</v>
      </c>
      <c r="GB110" s="4"/>
      <c r="GC110" s="4">
        <v>682</v>
      </c>
      <c r="GD110" s="4">
        <v>640</v>
      </c>
      <c r="GE110" s="4">
        <v>593</v>
      </c>
      <c r="GF110" s="4">
        <v>542</v>
      </c>
      <c r="GG110" s="4">
        <v>461</v>
      </c>
      <c r="GH110" s="4">
        <v>415</v>
      </c>
      <c r="GI110" s="4">
        <v>354</v>
      </c>
      <c r="GJ110" s="4">
        <v>323</v>
      </c>
      <c r="GK110" s="4">
        <v>860</v>
      </c>
      <c r="GL110" s="4">
        <v>826</v>
      </c>
      <c r="GM110" s="4">
        <v>794</v>
      </c>
      <c r="GN110" s="4">
        <v>763</v>
      </c>
      <c r="GO110" s="4">
        <v>732</v>
      </c>
      <c r="GP110" s="4">
        <v>701</v>
      </c>
      <c r="GQ110" s="4">
        <v>670</v>
      </c>
      <c r="GR110" s="4">
        <v>639</v>
      </c>
      <c r="GS110" s="4">
        <v>608</v>
      </c>
      <c r="GT110" s="4">
        <v>574</v>
      </c>
      <c r="GU110" s="4">
        <v>543</v>
      </c>
      <c r="GV110" s="4">
        <v>512</v>
      </c>
      <c r="GW110" s="4">
        <v>761</v>
      </c>
      <c r="GX110" s="4">
        <v>730</v>
      </c>
      <c r="GY110" s="4">
        <v>699</v>
      </c>
      <c r="GZ110" s="4">
        <v>668</v>
      </c>
      <c r="HA110" s="4">
        <v>636</v>
      </c>
      <c r="HB110" s="4">
        <v>605</v>
      </c>
      <c r="HC110" s="19">
        <v>12.4</v>
      </c>
      <c r="HD110" s="19">
        <v>11.4</v>
      </c>
      <c r="HE110" s="19">
        <v>9.9</v>
      </c>
      <c r="HF110" s="19">
        <v>9.9</v>
      </c>
      <c r="HG110" s="19">
        <v>11.5</v>
      </c>
      <c r="HH110" s="19">
        <v>11.2</v>
      </c>
      <c r="HI110" s="19">
        <v>11.8</v>
      </c>
      <c r="HJ110" s="19">
        <v>10.8</v>
      </c>
      <c r="HK110" s="19">
        <v>26.9</v>
      </c>
      <c r="HL110" s="19">
        <v>26.6</v>
      </c>
      <c r="HM110" s="19">
        <v>25.6</v>
      </c>
      <c r="HN110" s="19">
        <v>24.6</v>
      </c>
      <c r="HO110" s="19">
        <v>23.6</v>
      </c>
      <c r="HP110" s="19">
        <v>21.9</v>
      </c>
      <c r="HQ110" s="19">
        <v>20.9</v>
      </c>
      <c r="HR110" s="19">
        <v>20</v>
      </c>
      <c r="HS110" s="19">
        <v>19</v>
      </c>
      <c r="HT110" s="19">
        <v>18.5</v>
      </c>
      <c r="HU110" s="19">
        <v>17.5</v>
      </c>
      <c r="HV110" s="19">
        <v>16.5</v>
      </c>
      <c r="HW110" s="19">
        <v>24.5</v>
      </c>
      <c r="HX110" s="19">
        <v>23.5</v>
      </c>
      <c r="HY110" s="19">
        <v>22.5</v>
      </c>
      <c r="HZ110" s="19">
        <v>21.5</v>
      </c>
      <c r="IA110" s="19">
        <v>20.5</v>
      </c>
      <c r="IB110" s="19">
        <v>18.9</v>
      </c>
    </row>
    <row r="111">
      <c r="A111" s="2" t="s">
        <v>717</v>
      </c>
      <c r="B111" s="2" t="s">
        <v>704</v>
      </c>
      <c r="C111" s="2" t="s">
        <v>260</v>
      </c>
      <c r="D111" s="2" t="s">
        <v>705</v>
      </c>
      <c r="E111" s="2" t="s">
        <v>706</v>
      </c>
      <c r="F111" s="2" t="s">
        <v>718</v>
      </c>
      <c r="G111" s="2" t="s">
        <v>718</v>
      </c>
      <c r="H111" s="2" t="s">
        <v>718</v>
      </c>
      <c r="I111" s="2" t="s">
        <v>708</v>
      </c>
      <c r="J111" s="2" t="s">
        <v>719</v>
      </c>
      <c r="K111" s="2" t="s">
        <v>720</v>
      </c>
      <c r="L111" s="3">
        <v>32.9</v>
      </c>
      <c r="M111" s="3">
        <v>34.55</v>
      </c>
      <c r="N111" s="3">
        <v>69.99</v>
      </c>
      <c r="O111" s="2" t="s">
        <v>230</v>
      </c>
      <c r="P111" s="2" t="s">
        <v>721</v>
      </c>
      <c r="Q111" s="2" t="s">
        <v>232</v>
      </c>
      <c r="R111" s="2" t="s">
        <v>233</v>
      </c>
      <c r="S111" s="2" t="s">
        <v>722</v>
      </c>
      <c r="T111" s="2" t="s">
        <v>348</v>
      </c>
      <c r="U111" s="2" t="s">
        <v>723</v>
      </c>
      <c r="V111" s="2" t="s">
        <v>236</v>
      </c>
      <c r="W111" s="2" t="s">
        <v>712</v>
      </c>
      <c r="X111" s="2" t="s">
        <v>233</v>
      </c>
      <c r="Y111" s="2" t="s">
        <v>724</v>
      </c>
      <c r="Z111" s="4">
        <v>392</v>
      </c>
      <c r="AA111" s="4">
        <f>=ROUNDDOWN(26.1333333333333,0)</f>
      </c>
      <c r="AB111" s="5">
        <v>15</v>
      </c>
      <c r="AC111" s="2" t="s">
        <v>725</v>
      </c>
      <c r="AD111" s="4">
        <v>410</v>
      </c>
      <c r="AE111" s="4">
        <v>410</v>
      </c>
      <c r="AF111" s="6">
        <v>69</v>
      </c>
      <c r="AG111" s="6"/>
      <c r="AH111" s="7">
        <v>1</v>
      </c>
      <c r="AI111" s="4"/>
      <c r="AJ111" s="4">
        <f>=ROUNDDOWN({0},0)</f>
      </c>
      <c r="AK111" s="5"/>
      <c r="AL111" s="2" t="s">
        <v>233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/>
      <c r="AW111" s="8"/>
      <c r="AX111" s="4"/>
      <c r="AY111" s="8"/>
      <c r="AZ111" s="7"/>
      <c r="BA111" s="7"/>
      <c r="BB111" s="7"/>
      <c r="BC111" s="4" t="s">
        <v>233</v>
      </c>
      <c r="BD111" s="8" t="s">
        <v>233</v>
      </c>
      <c r="BE111" s="4" t="s">
        <v>233</v>
      </c>
      <c r="BF111" s="8" t="s">
        <v>233</v>
      </c>
      <c r="BG111" s="7" t="s">
        <v>233</v>
      </c>
      <c r="BH111" s="7" t="s">
        <v>233</v>
      </c>
      <c r="BI111" s="7"/>
      <c r="BJ111" s="4">
        <v>71</v>
      </c>
      <c r="BK111" s="8">
        <v>2430.97</v>
      </c>
      <c r="BL111" s="2" t="s">
        <v>726</v>
      </c>
      <c r="BM111" s="7"/>
      <c r="BN111" s="7"/>
      <c r="BO111" s="4"/>
      <c r="BP111" s="8"/>
      <c r="BQ111" s="4"/>
      <c r="BR111" s="8"/>
      <c r="BS111" s="7"/>
      <c r="BT111" s="7"/>
      <c r="BU111" s="2" t="s">
        <v>727</v>
      </c>
      <c r="BV111" s="2" t="s">
        <v>233</v>
      </c>
      <c r="BW111" s="2" t="s">
        <v>233</v>
      </c>
      <c r="BX111" s="2" t="s">
        <v>293</v>
      </c>
      <c r="BY111" s="2" t="s">
        <v>242</v>
      </c>
      <c r="BZ111" s="2" t="s">
        <v>230</v>
      </c>
      <c r="CA111" s="2" t="s">
        <v>728</v>
      </c>
      <c r="CB111" s="2" t="s">
        <v>696</v>
      </c>
      <c r="CC111" s="2" t="s">
        <v>245</v>
      </c>
      <c r="CD111" s="2" t="s">
        <v>233</v>
      </c>
      <c r="CE111" s="4">
        <v>392</v>
      </c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>
        <v>410</v>
      </c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>
        <v>416</v>
      </c>
      <c r="GD111" s="4">
        <v>363</v>
      </c>
      <c r="GE111" s="4">
        <v>341</v>
      </c>
      <c r="GF111" s="4">
        <v>318</v>
      </c>
      <c r="GG111" s="4">
        <v>283</v>
      </c>
      <c r="GH111" s="4">
        <v>262</v>
      </c>
      <c r="GI111" s="4">
        <v>645</v>
      </c>
      <c r="GJ111" s="4">
        <v>630</v>
      </c>
      <c r="GK111" s="4">
        <v>619</v>
      </c>
      <c r="GL111" s="4">
        <v>603</v>
      </c>
      <c r="GM111" s="4">
        <v>587</v>
      </c>
      <c r="GN111" s="4">
        <v>572</v>
      </c>
      <c r="GO111" s="4">
        <v>557</v>
      </c>
      <c r="GP111" s="4">
        <v>542</v>
      </c>
      <c r="GQ111" s="4">
        <v>527</v>
      </c>
      <c r="GR111" s="4">
        <v>512</v>
      </c>
      <c r="GS111" s="4">
        <v>497</v>
      </c>
      <c r="GT111" s="4">
        <v>481</v>
      </c>
      <c r="GU111" s="4">
        <v>466</v>
      </c>
      <c r="GV111" s="4">
        <v>451</v>
      </c>
      <c r="GW111" s="4">
        <v>436</v>
      </c>
      <c r="GX111" s="4">
        <v>421</v>
      </c>
      <c r="GY111" s="4">
        <v>406</v>
      </c>
      <c r="GZ111" s="4">
        <v>391</v>
      </c>
      <c r="HA111" s="4">
        <v>375</v>
      </c>
      <c r="HB111" s="4">
        <v>360</v>
      </c>
      <c r="HC111" s="19">
        <v>12.6</v>
      </c>
      <c r="HD111" s="19">
        <v>14.5</v>
      </c>
      <c r="HE111" s="19">
        <v>13.1</v>
      </c>
      <c r="HF111" s="19">
        <v>13.3</v>
      </c>
      <c r="HG111" s="19">
        <v>15.7</v>
      </c>
      <c r="HH111" s="19">
        <v>15.4</v>
      </c>
      <c r="HI111" s="19">
        <v>46.1</v>
      </c>
      <c r="HJ111" s="19">
        <v>45</v>
      </c>
      <c r="HK111" s="19">
        <v>38.7</v>
      </c>
      <c r="HL111" s="19">
        <v>40.2</v>
      </c>
      <c r="HM111" s="19">
        <v>39.1</v>
      </c>
      <c r="HN111" s="19">
        <v>38.1</v>
      </c>
      <c r="HO111" s="19">
        <v>37.1</v>
      </c>
      <c r="HP111" s="19">
        <v>36.1</v>
      </c>
      <c r="HQ111" s="19">
        <v>35.1</v>
      </c>
      <c r="HR111" s="19">
        <v>34.1</v>
      </c>
      <c r="HS111" s="19">
        <v>33.1</v>
      </c>
      <c r="HT111" s="19">
        <v>32.1</v>
      </c>
      <c r="HU111" s="19">
        <v>31.1</v>
      </c>
      <c r="HV111" s="19">
        <v>30.1</v>
      </c>
      <c r="HW111" s="19">
        <v>29.1</v>
      </c>
      <c r="HX111" s="19">
        <v>28.1</v>
      </c>
      <c r="HY111" s="19">
        <v>27.1</v>
      </c>
      <c r="HZ111" s="19">
        <v>26.1</v>
      </c>
      <c r="IA111" s="19">
        <v>25</v>
      </c>
      <c r="IB111" s="19">
        <v>22.5</v>
      </c>
    </row>
    <row r="112">
      <c r="A112" s="2" t="s">
        <v>729</v>
      </c>
      <c r="B112" s="2" t="s">
        <v>704</v>
      </c>
      <c r="C112" s="2" t="s">
        <v>260</v>
      </c>
      <c r="D112" s="2" t="s">
        <v>705</v>
      </c>
      <c r="E112" s="2" t="s">
        <v>706</v>
      </c>
      <c r="F112" s="2" t="s">
        <v>707</v>
      </c>
      <c r="G112" s="2" t="s">
        <v>707</v>
      </c>
      <c r="H112" s="2" t="s">
        <v>707</v>
      </c>
      <c r="I112" s="2" t="s">
        <v>708</v>
      </c>
      <c r="J112" s="2" t="s">
        <v>709</v>
      </c>
      <c r="K112" s="2" t="s">
        <v>266</v>
      </c>
      <c r="L112" s="3">
        <v>32.9</v>
      </c>
      <c r="M112" s="3">
        <v>34.55</v>
      </c>
      <c r="N112" s="3">
        <v>69.99</v>
      </c>
      <c r="O112" s="2" t="s">
        <v>230</v>
      </c>
      <c r="P112" s="2" t="s">
        <v>597</v>
      </c>
      <c r="Q112" s="2" t="s">
        <v>232</v>
      </c>
      <c r="R112" s="2" t="s">
        <v>233</v>
      </c>
      <c r="S112" s="2" t="s">
        <v>730</v>
      </c>
      <c r="T112" s="2" t="s">
        <v>348</v>
      </c>
      <c r="U112" s="2" t="s">
        <v>711</v>
      </c>
      <c r="V112" s="2" t="s">
        <v>236</v>
      </c>
      <c r="W112" s="2" t="s">
        <v>712</v>
      </c>
      <c r="X112" s="2" t="s">
        <v>233</v>
      </c>
      <c r="Y112" s="2" t="s">
        <v>724</v>
      </c>
      <c r="Z112" s="4">
        <v>1383</v>
      </c>
      <c r="AA112" s="4">
        <f>=ROUNDDOWN(19.4788732394366,0)</f>
      </c>
      <c r="AB112" s="5">
        <v>71</v>
      </c>
      <c r="AC112" s="2" t="s">
        <v>731</v>
      </c>
      <c r="AD112" s="4">
        <v>280</v>
      </c>
      <c r="AE112" s="4">
        <v>1680</v>
      </c>
      <c r="AF112" s="6">
        <v>69</v>
      </c>
      <c r="AG112" s="6"/>
      <c r="AH112" s="7">
        <v>1</v>
      </c>
      <c r="AI112" s="4"/>
      <c r="AJ112" s="4">
        <f>=ROUNDDOWN({0},0)</f>
      </c>
      <c r="AK112" s="5"/>
      <c r="AL112" s="2" t="s">
        <v>233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/>
      <c r="AW112" s="8"/>
      <c r="AX112" s="4"/>
      <c r="AY112" s="8"/>
      <c r="AZ112" s="7"/>
      <c r="BA112" s="7"/>
      <c r="BB112" s="7"/>
      <c r="BC112" s="4" t="s">
        <v>233</v>
      </c>
      <c r="BD112" s="8" t="s">
        <v>233</v>
      </c>
      <c r="BE112" s="4" t="s">
        <v>233</v>
      </c>
      <c r="BF112" s="8" t="s">
        <v>233</v>
      </c>
      <c r="BG112" s="7" t="s">
        <v>233</v>
      </c>
      <c r="BH112" s="7" t="s">
        <v>233</v>
      </c>
      <c r="BI112" s="7"/>
      <c r="BJ112" s="4">
        <v>431</v>
      </c>
      <c r="BK112" s="8">
        <v>14811.88</v>
      </c>
      <c r="BL112" s="2" t="s">
        <v>732</v>
      </c>
      <c r="BM112" s="7"/>
      <c r="BN112" s="7"/>
      <c r="BO112" s="4"/>
      <c r="BP112" s="8"/>
      <c r="BQ112" s="4"/>
      <c r="BR112" s="8"/>
      <c r="BS112" s="7"/>
      <c r="BT112" s="7"/>
      <c r="BU112" s="2" t="s">
        <v>715</v>
      </c>
      <c r="BV112" s="2" t="s">
        <v>233</v>
      </c>
      <c r="BW112" s="2" t="s">
        <v>233</v>
      </c>
      <c r="BX112" s="2" t="s">
        <v>293</v>
      </c>
      <c r="BY112" s="2" t="s">
        <v>242</v>
      </c>
      <c r="BZ112" s="2" t="s">
        <v>230</v>
      </c>
      <c r="CA112" s="2" t="s">
        <v>733</v>
      </c>
      <c r="CB112" s="2" t="s">
        <v>734</v>
      </c>
      <c r="CC112" s="2" t="s">
        <v>245</v>
      </c>
      <c r="CD112" s="2" t="s">
        <v>233</v>
      </c>
      <c r="CE112" s="4">
        <v>557</v>
      </c>
      <c r="CF112" s="4">
        <v>826</v>
      </c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>
        <v>280</v>
      </c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>
        <v>840</v>
      </c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>
        <v>560</v>
      </c>
      <c r="GB112" s="4"/>
      <c r="GC112" s="4">
        <v>1421</v>
      </c>
      <c r="GD112" s="4">
        <v>1655</v>
      </c>
      <c r="GE112" s="4">
        <v>1521</v>
      </c>
      <c r="GF112" s="4">
        <v>1420</v>
      </c>
      <c r="GG112" s="4">
        <v>1273</v>
      </c>
      <c r="GH112" s="4">
        <v>1179</v>
      </c>
      <c r="GI112" s="4">
        <v>1062</v>
      </c>
      <c r="GJ112" s="4">
        <v>844</v>
      </c>
      <c r="GK112" s="4">
        <v>821</v>
      </c>
      <c r="GL112" s="4">
        <v>779</v>
      </c>
      <c r="GM112" s="4">
        <v>741</v>
      </c>
      <c r="GN112" s="4">
        <v>703</v>
      </c>
      <c r="GO112" s="4">
        <v>644</v>
      </c>
      <c r="GP112" s="4">
        <v>573</v>
      </c>
      <c r="GQ112" s="4">
        <v>502</v>
      </c>
      <c r="GR112" s="4">
        <v>1271</v>
      </c>
      <c r="GS112" s="4">
        <v>1200</v>
      </c>
      <c r="GT112" s="4">
        <v>1125</v>
      </c>
      <c r="GU112" s="4">
        <v>1054</v>
      </c>
      <c r="GV112" s="4">
        <v>983</v>
      </c>
      <c r="GW112" s="4">
        <v>1472</v>
      </c>
      <c r="GX112" s="4">
        <v>1401</v>
      </c>
      <c r="GY112" s="4">
        <v>1330</v>
      </c>
      <c r="GZ112" s="4">
        <v>1259</v>
      </c>
      <c r="HA112" s="4">
        <v>1185</v>
      </c>
      <c r="HB112" s="4">
        <v>1114</v>
      </c>
      <c r="HC112" s="19">
        <v>13.3</v>
      </c>
      <c r="HD112" s="19">
        <v>13.9</v>
      </c>
      <c r="HE112" s="19">
        <v>13.2</v>
      </c>
      <c r="HF112" s="19">
        <v>9.9</v>
      </c>
      <c r="HG112" s="19">
        <v>11.3</v>
      </c>
      <c r="HH112" s="19">
        <v>11.8</v>
      </c>
      <c r="HI112" s="19">
        <v>13.3</v>
      </c>
      <c r="HJ112" s="19">
        <v>24.1</v>
      </c>
      <c r="HK112" s="19">
        <v>18.7</v>
      </c>
      <c r="HL112" s="19">
        <v>15</v>
      </c>
      <c r="HM112" s="19">
        <v>12.4</v>
      </c>
      <c r="HN112" s="19">
        <v>10.3</v>
      </c>
      <c r="HO112" s="19">
        <v>9.1</v>
      </c>
      <c r="HP112" s="19">
        <v>8</v>
      </c>
      <c r="HQ112" s="19">
        <v>7</v>
      </c>
      <c r="HR112" s="19">
        <v>17.7</v>
      </c>
      <c r="HS112" s="19">
        <v>16.7</v>
      </c>
      <c r="HT112" s="19">
        <v>15.8</v>
      </c>
      <c r="HU112" s="19">
        <v>14.8</v>
      </c>
      <c r="HV112" s="19">
        <v>13.8</v>
      </c>
      <c r="HW112" s="19">
        <v>20.4</v>
      </c>
      <c r="HX112" s="19">
        <v>19.5</v>
      </c>
      <c r="HY112" s="19">
        <v>18.5</v>
      </c>
      <c r="HZ112" s="19">
        <v>17.5</v>
      </c>
      <c r="IA112" s="19">
        <v>16.7</v>
      </c>
      <c r="IB112" s="19">
        <v>15.1</v>
      </c>
    </row>
    <row r="113">
      <c r="A113" s="2" t="s">
        <v>735</v>
      </c>
      <c r="B113" s="2" t="s">
        <v>736</v>
      </c>
      <c r="C113" s="2" t="s">
        <v>280</v>
      </c>
      <c r="D113" s="2" t="s">
        <v>737</v>
      </c>
      <c r="E113" s="2" t="s">
        <v>738</v>
      </c>
      <c r="F113" s="2" t="s">
        <v>739</v>
      </c>
      <c r="G113" s="2" t="s">
        <v>739</v>
      </c>
      <c r="H113" s="2" t="s">
        <v>739</v>
      </c>
      <c r="I113" s="2" t="s">
        <v>740</v>
      </c>
      <c r="J113" s="2" t="s">
        <v>741</v>
      </c>
      <c r="K113" s="2" t="s">
        <v>742</v>
      </c>
      <c r="L113" s="3">
        <v>42.43</v>
      </c>
      <c r="M113" s="3">
        <v>44.55</v>
      </c>
      <c r="N113" s="3">
        <v>89.99</v>
      </c>
      <c r="O113" s="2" t="s">
        <v>230</v>
      </c>
      <c r="P113" s="2" t="s">
        <v>231</v>
      </c>
      <c r="Q113" s="2" t="s">
        <v>232</v>
      </c>
      <c r="R113" s="2" t="s">
        <v>233</v>
      </c>
      <c r="S113" s="2" t="s">
        <v>743</v>
      </c>
      <c r="T113" s="2" t="s">
        <v>233</v>
      </c>
      <c r="U113" s="2" t="s">
        <v>329</v>
      </c>
      <c r="V113" s="2" t="s">
        <v>744</v>
      </c>
      <c r="W113" s="2" t="s">
        <v>620</v>
      </c>
      <c r="X113" s="2" t="s">
        <v>233</v>
      </c>
      <c r="Y113" s="2" t="s">
        <v>745</v>
      </c>
      <c r="Z113" s="4">
        <v>24</v>
      </c>
      <c r="AA113" s="4">
        <f>=ROUNDDOWN(4,0)</f>
      </c>
      <c r="AB113" s="5">
        <v>6</v>
      </c>
      <c r="AC113" s="2" t="s">
        <v>746</v>
      </c>
      <c r="AD113" s="4">
        <v>100</v>
      </c>
      <c r="AE113" s="4">
        <v>100</v>
      </c>
      <c r="AF113" s="6">
        <v>63</v>
      </c>
      <c r="AG113" s="6"/>
      <c r="AH113" s="7">
        <v>1</v>
      </c>
      <c r="AI113" s="4"/>
      <c r="AJ113" s="4">
        <f>=ROUNDDOWN({0},0)</f>
      </c>
      <c r="AK113" s="5"/>
      <c r="AL113" s="2" t="s">
        <v>233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/>
      <c r="BD113" s="8"/>
      <c r="BE113" s="4"/>
      <c r="BF113" s="8"/>
      <c r="BG113" s="7"/>
      <c r="BH113" s="7"/>
      <c r="BI113" s="7"/>
      <c r="BJ113" s="4">
        <v>39</v>
      </c>
      <c r="BK113" s="8">
        <v>1780.11</v>
      </c>
      <c r="BL113" s="2" t="s">
        <v>747</v>
      </c>
      <c r="BM113" s="7"/>
      <c r="BN113" s="7"/>
      <c r="BO113" s="4"/>
      <c r="BP113" s="8"/>
      <c r="BQ113" s="4"/>
      <c r="BR113" s="8"/>
      <c r="BS113" s="7"/>
      <c r="BT113" s="7"/>
      <c r="BU113" s="2" t="s">
        <v>748</v>
      </c>
      <c r="BV113" s="2" t="s">
        <v>233</v>
      </c>
      <c r="BW113" s="2" t="s">
        <v>233</v>
      </c>
      <c r="BX113" s="2" t="s">
        <v>241</v>
      </c>
      <c r="BY113" s="2" t="s">
        <v>242</v>
      </c>
      <c r="BZ113" s="2" t="s">
        <v>230</v>
      </c>
      <c r="CA113" s="2" t="s">
        <v>749</v>
      </c>
      <c r="CB113" s="2" t="s">
        <v>750</v>
      </c>
      <c r="CC113" s="2" t="s">
        <v>245</v>
      </c>
      <c r="CD113" s="2" t="s">
        <v>233</v>
      </c>
      <c r="CE113" s="4"/>
      <c r="CF113" s="4">
        <v>24</v>
      </c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>
        <v>100</v>
      </c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>
        <v>33</v>
      </c>
      <c r="GD113" s="4">
        <v>21</v>
      </c>
      <c r="GE113" s="4">
        <v>15</v>
      </c>
      <c r="GF113" s="4">
        <v>8</v>
      </c>
      <c r="GG113" s="4"/>
      <c r="GH113" s="4">
        <v>100</v>
      </c>
      <c r="GI113" s="4">
        <v>91</v>
      </c>
      <c r="GJ113" s="4">
        <v>85</v>
      </c>
      <c r="GK113" s="4">
        <v>79</v>
      </c>
      <c r="GL113" s="4">
        <v>73</v>
      </c>
      <c r="GM113" s="4">
        <v>67</v>
      </c>
      <c r="GN113" s="4">
        <v>61</v>
      </c>
      <c r="GO113" s="4">
        <v>55</v>
      </c>
      <c r="GP113" s="4">
        <v>49</v>
      </c>
      <c r="GQ113" s="4">
        <v>43</v>
      </c>
      <c r="GR113" s="4">
        <v>37</v>
      </c>
      <c r="GS113" s="4">
        <v>31</v>
      </c>
      <c r="GT113" s="4">
        <v>24</v>
      </c>
      <c r="GU113" s="4">
        <v>18</v>
      </c>
      <c r="GV113" s="4">
        <v>12</v>
      </c>
      <c r="GW113" s="4">
        <v>6</v>
      </c>
      <c r="GX113" s="4">
        <v>66</v>
      </c>
      <c r="GY113" s="4">
        <v>60</v>
      </c>
      <c r="GZ113" s="4">
        <v>54</v>
      </c>
      <c r="HA113" s="4">
        <v>48</v>
      </c>
      <c r="HB113" s="4">
        <v>42</v>
      </c>
      <c r="HC113" s="19">
        <v>4.1</v>
      </c>
      <c r="HD113" s="19">
        <v>3.5</v>
      </c>
      <c r="HE113" s="19">
        <v>2.1</v>
      </c>
      <c r="HF113" s="19">
        <v>1.1</v>
      </c>
      <c r="HG113" s="20">
        <v>0</v>
      </c>
      <c r="HH113" s="19">
        <v>14.3</v>
      </c>
      <c r="HI113" s="19">
        <v>15.2</v>
      </c>
      <c r="HJ113" s="19">
        <v>14.2</v>
      </c>
      <c r="HK113" s="19">
        <v>13.2</v>
      </c>
      <c r="HL113" s="19">
        <v>12.2</v>
      </c>
      <c r="HM113" s="19">
        <v>11.2</v>
      </c>
      <c r="HN113" s="19">
        <v>10.2</v>
      </c>
      <c r="HO113" s="19">
        <v>9.2</v>
      </c>
      <c r="HP113" s="19">
        <v>8.2</v>
      </c>
      <c r="HQ113" s="19">
        <v>7.2</v>
      </c>
      <c r="HR113" s="19">
        <v>6.2</v>
      </c>
      <c r="HS113" s="19">
        <v>5.2</v>
      </c>
      <c r="HT113" s="19">
        <v>4</v>
      </c>
      <c r="HU113" s="19">
        <v>3</v>
      </c>
      <c r="HV113" s="19">
        <v>2</v>
      </c>
      <c r="HW113" s="19">
        <v>1</v>
      </c>
      <c r="HX113" s="19">
        <v>11</v>
      </c>
      <c r="HY113" s="19">
        <v>10</v>
      </c>
      <c r="HZ113" s="19">
        <v>9</v>
      </c>
      <c r="IA113" s="19">
        <v>8</v>
      </c>
      <c r="IB113" s="19">
        <v>7</v>
      </c>
    </row>
    <row r="114">
      <c r="A114" s="2" t="s">
        <v>751</v>
      </c>
      <c r="B114" s="2" t="s">
        <v>736</v>
      </c>
      <c r="C114" s="2" t="s">
        <v>280</v>
      </c>
      <c r="D114" s="2" t="s">
        <v>752</v>
      </c>
      <c r="E114" s="2" t="s">
        <v>753</v>
      </c>
      <c r="F114" s="2" t="s">
        <v>754</v>
      </c>
      <c r="G114" s="2" t="s">
        <v>754</v>
      </c>
      <c r="H114" s="2" t="s">
        <v>754</v>
      </c>
      <c r="I114" s="2" t="s">
        <v>755</v>
      </c>
      <c r="J114" s="2" t="s">
        <v>756</v>
      </c>
      <c r="K114" s="2" t="s">
        <v>629</v>
      </c>
      <c r="L114" s="3">
        <v>40.47</v>
      </c>
      <c r="M114" s="3">
        <v>42.49</v>
      </c>
      <c r="N114" s="3">
        <v>84.99</v>
      </c>
      <c r="O114" s="2" t="s">
        <v>230</v>
      </c>
      <c r="P114" s="2" t="s">
        <v>231</v>
      </c>
      <c r="Q114" s="2" t="s">
        <v>232</v>
      </c>
      <c r="R114" s="2" t="s">
        <v>233</v>
      </c>
      <c r="S114" s="2" t="s">
        <v>233</v>
      </c>
      <c r="T114" s="2" t="s">
        <v>233</v>
      </c>
      <c r="U114" s="2" t="s">
        <v>329</v>
      </c>
      <c r="V114" s="2" t="s">
        <v>609</v>
      </c>
      <c r="W114" s="2" t="s">
        <v>288</v>
      </c>
      <c r="X114" s="2" t="s">
        <v>233</v>
      </c>
      <c r="Y114" s="2" t="s">
        <v>357</v>
      </c>
      <c r="Z114" s="4"/>
      <c r="AA114" s="4">
        <f>=ROUNDDOWN({0},0)</f>
      </c>
      <c r="AB114" s="5">
        <v>8</v>
      </c>
      <c r="AC114" s="2" t="s">
        <v>140</v>
      </c>
      <c r="AD114" s="4">
        <v>100</v>
      </c>
      <c r="AE114" s="4">
        <v>200</v>
      </c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233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/>
      <c r="AW114" s="8"/>
      <c r="AX114" s="4"/>
      <c r="AY114" s="8"/>
      <c r="AZ114" s="7"/>
      <c r="BA114" s="7"/>
      <c r="BB114" s="7"/>
      <c r="BC114" s="4"/>
      <c r="BD114" s="8"/>
      <c r="BE114" s="4"/>
      <c r="BF114" s="8"/>
      <c r="BG114" s="7"/>
      <c r="BH114" s="7"/>
      <c r="BI114" s="7"/>
      <c r="BJ114" s="4"/>
      <c r="BK114" s="8"/>
      <c r="BL114" s="2" t="s">
        <v>233</v>
      </c>
      <c r="BM114" s="7"/>
      <c r="BN114" s="7"/>
      <c r="BO114" s="4"/>
      <c r="BP114" s="8"/>
      <c r="BQ114" s="4"/>
      <c r="BR114" s="8"/>
      <c r="BS114" s="7"/>
      <c r="BT114" s="7"/>
      <c r="BU114" s="2" t="s">
        <v>757</v>
      </c>
      <c r="BV114" s="2" t="s">
        <v>233</v>
      </c>
      <c r="BW114" s="2" t="s">
        <v>233</v>
      </c>
      <c r="BX114" s="2" t="s">
        <v>241</v>
      </c>
      <c r="BY114" s="2" t="s">
        <v>242</v>
      </c>
      <c r="BZ114" s="2" t="s">
        <v>230</v>
      </c>
      <c r="CA114" s="2" t="s">
        <v>758</v>
      </c>
      <c r="CB114" s="2" t="s">
        <v>759</v>
      </c>
      <c r="CC114" s="2" t="s">
        <v>245</v>
      </c>
      <c r="CD114" s="2" t="s">
        <v>233</v>
      </c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>
        <v>100</v>
      </c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>
        <v>100</v>
      </c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>
        <v>100</v>
      </c>
      <c r="GF114" s="4">
        <v>90</v>
      </c>
      <c r="GG114" s="4">
        <v>79</v>
      </c>
      <c r="GH114" s="4">
        <v>70</v>
      </c>
      <c r="GI114" s="4">
        <v>60</v>
      </c>
      <c r="GJ114" s="4">
        <v>52</v>
      </c>
      <c r="GK114" s="4">
        <v>44</v>
      </c>
      <c r="GL114" s="4">
        <v>136</v>
      </c>
      <c r="GM114" s="4">
        <v>128</v>
      </c>
      <c r="GN114" s="4">
        <v>120</v>
      </c>
      <c r="GO114" s="4">
        <v>112</v>
      </c>
      <c r="GP114" s="4">
        <v>104</v>
      </c>
      <c r="GQ114" s="4">
        <v>96</v>
      </c>
      <c r="GR114" s="4">
        <v>88</v>
      </c>
      <c r="GS114" s="4">
        <v>80</v>
      </c>
      <c r="GT114" s="4">
        <v>71</v>
      </c>
      <c r="GU114" s="4">
        <v>63</v>
      </c>
      <c r="GV114" s="4">
        <v>55</v>
      </c>
      <c r="GW114" s="4">
        <v>47</v>
      </c>
      <c r="GX114" s="4">
        <v>39</v>
      </c>
      <c r="GY114" s="4">
        <v>31</v>
      </c>
      <c r="GZ114" s="4">
        <v>88</v>
      </c>
      <c r="HA114" s="4">
        <v>80</v>
      </c>
      <c r="HB114" s="4">
        <v>72</v>
      </c>
      <c r="HC114" s="20">
        <v>0</v>
      </c>
      <c r="HD114" s="20">
        <v>0</v>
      </c>
      <c r="HE114" s="19">
        <v>10</v>
      </c>
      <c r="HF114" s="19">
        <v>9</v>
      </c>
      <c r="HG114" s="19">
        <v>8.8</v>
      </c>
      <c r="HH114" s="19">
        <v>8.8</v>
      </c>
      <c r="HI114" s="19">
        <v>7.5</v>
      </c>
      <c r="HJ114" s="19">
        <v>6.5</v>
      </c>
      <c r="HK114" s="19">
        <v>5.5</v>
      </c>
      <c r="HL114" s="19">
        <v>17</v>
      </c>
      <c r="HM114" s="19">
        <v>16</v>
      </c>
      <c r="HN114" s="19">
        <v>15</v>
      </c>
      <c r="HO114" s="9"/>
      <c r="HP114" s="19">
        <v>13</v>
      </c>
      <c r="HQ114" s="19">
        <v>12</v>
      </c>
      <c r="HR114" s="19">
        <v>11</v>
      </c>
      <c r="HS114" s="19">
        <v>10</v>
      </c>
      <c r="HT114" s="19">
        <v>8.9</v>
      </c>
      <c r="HU114" s="19">
        <v>7.9</v>
      </c>
      <c r="HV114" s="19">
        <v>6.9</v>
      </c>
      <c r="HW114" s="19">
        <v>5.9</v>
      </c>
      <c r="HX114" s="19">
        <v>4.9</v>
      </c>
      <c r="HY114" s="19">
        <v>3.9</v>
      </c>
      <c r="HZ114" s="19">
        <v>11</v>
      </c>
      <c r="IA114" s="19">
        <v>10</v>
      </c>
      <c r="IB114" s="19">
        <v>9</v>
      </c>
    </row>
    <row r="115">
      <c r="A115" s="2" t="s">
        <v>760</v>
      </c>
      <c r="B115" s="2" t="s">
        <v>761</v>
      </c>
      <c r="C115" s="2" t="s">
        <v>762</v>
      </c>
      <c r="D115" s="2" t="s">
        <v>763</v>
      </c>
      <c r="E115" s="2" t="s">
        <v>764</v>
      </c>
      <c r="F115" s="2" t="s">
        <v>765</v>
      </c>
      <c r="G115" s="2" t="s">
        <v>765</v>
      </c>
      <c r="H115" s="2" t="s">
        <v>765</v>
      </c>
      <c r="I115" s="2" t="s">
        <v>766</v>
      </c>
      <c r="J115" s="2" t="s">
        <v>741</v>
      </c>
      <c r="K115" s="2" t="s">
        <v>300</v>
      </c>
      <c r="L115" s="3">
        <v>85.5</v>
      </c>
      <c r="M115" s="3">
        <v>89.78</v>
      </c>
      <c r="N115" s="3">
        <v>179</v>
      </c>
      <c r="O115" s="2" t="s">
        <v>230</v>
      </c>
      <c r="P115" s="2" t="s">
        <v>721</v>
      </c>
      <c r="Q115" s="2" t="s">
        <v>232</v>
      </c>
      <c r="R115" s="2" t="s">
        <v>233</v>
      </c>
      <c r="S115" s="2" t="s">
        <v>233</v>
      </c>
      <c r="T115" s="2" t="s">
        <v>233</v>
      </c>
      <c r="U115" s="2" t="s">
        <v>329</v>
      </c>
      <c r="V115" s="2" t="s">
        <v>609</v>
      </c>
      <c r="W115" s="2" t="s">
        <v>620</v>
      </c>
      <c r="X115" s="2" t="s">
        <v>233</v>
      </c>
      <c r="Y115" s="2" t="s">
        <v>767</v>
      </c>
      <c r="Z115" s="4">
        <v>103</v>
      </c>
      <c r="AA115" s="4">
        <f>=ROUNDDOWN(34.3333333333333,0)</f>
      </c>
      <c r="AB115" s="5">
        <v>3</v>
      </c>
      <c r="AC115" s="2" t="s">
        <v>146</v>
      </c>
      <c r="AD115" s="4">
        <v>130</v>
      </c>
      <c r="AE115" s="4">
        <v>130</v>
      </c>
      <c r="AF115" s="6">
        <v>66</v>
      </c>
      <c r="AG115" s="6"/>
      <c r="AH115" s="7">
        <v>1</v>
      </c>
      <c r="AI115" s="4"/>
      <c r="AJ115" s="4">
        <f>=ROUNDDOWN({0},0)</f>
      </c>
      <c r="AK115" s="5"/>
      <c r="AL115" s="2" t="s">
        <v>233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/>
      <c r="BD115" s="8"/>
      <c r="BE115" s="4"/>
      <c r="BF115" s="8"/>
      <c r="BG115" s="7"/>
      <c r="BH115" s="7"/>
      <c r="BI115" s="7"/>
      <c r="BJ115" s="4">
        <v>7</v>
      </c>
      <c r="BK115" s="8">
        <v>685.88</v>
      </c>
      <c r="BL115" s="2" t="s">
        <v>768</v>
      </c>
      <c r="BM115" s="7"/>
      <c r="BN115" s="7"/>
      <c r="BO115" s="4"/>
      <c r="BP115" s="8"/>
      <c r="BQ115" s="4"/>
      <c r="BR115" s="8"/>
      <c r="BS115" s="7"/>
      <c r="BT115" s="7"/>
      <c r="BU115" s="2" t="s">
        <v>769</v>
      </c>
      <c r="BV115" s="2" t="s">
        <v>233</v>
      </c>
      <c r="BW115" s="2" t="s">
        <v>233</v>
      </c>
      <c r="BX115" s="2" t="s">
        <v>241</v>
      </c>
      <c r="BY115" s="2" t="s">
        <v>242</v>
      </c>
      <c r="BZ115" s="2" t="s">
        <v>230</v>
      </c>
      <c r="CA115" s="2" t="s">
        <v>770</v>
      </c>
      <c r="CB115" s="2" t="s">
        <v>771</v>
      </c>
      <c r="CC115" s="2" t="s">
        <v>245</v>
      </c>
      <c r="CD115" s="2" t="s">
        <v>233</v>
      </c>
      <c r="CE115" s="4"/>
      <c r="CF115" s="4">
        <v>103</v>
      </c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>
        <v>130</v>
      </c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>
        <v>103</v>
      </c>
      <c r="GD115" s="4">
        <v>100</v>
      </c>
      <c r="GE115" s="4">
        <v>95</v>
      </c>
      <c r="GF115" s="4">
        <v>222</v>
      </c>
      <c r="GG115" s="4">
        <v>216</v>
      </c>
      <c r="GH115" s="4">
        <v>212</v>
      </c>
      <c r="GI115" s="4">
        <v>209</v>
      </c>
      <c r="GJ115" s="4">
        <v>207</v>
      </c>
      <c r="GK115" s="4">
        <v>205</v>
      </c>
      <c r="GL115" s="4">
        <v>202</v>
      </c>
      <c r="GM115" s="4">
        <v>200</v>
      </c>
      <c r="GN115" s="4">
        <v>197</v>
      </c>
      <c r="GO115" s="4">
        <v>195</v>
      </c>
      <c r="GP115" s="4">
        <v>193</v>
      </c>
      <c r="GQ115" s="4">
        <v>191</v>
      </c>
      <c r="GR115" s="4">
        <v>189</v>
      </c>
      <c r="GS115" s="4">
        <v>187</v>
      </c>
      <c r="GT115" s="4">
        <v>184</v>
      </c>
      <c r="GU115" s="4">
        <v>182</v>
      </c>
      <c r="GV115" s="4">
        <v>179</v>
      </c>
      <c r="GW115" s="4">
        <v>176</v>
      </c>
      <c r="GX115" s="4">
        <v>173</v>
      </c>
      <c r="GY115" s="4">
        <v>170</v>
      </c>
      <c r="GZ115" s="4">
        <v>167</v>
      </c>
      <c r="HA115" s="4">
        <v>164</v>
      </c>
      <c r="HB115" s="4">
        <v>161</v>
      </c>
      <c r="HC115" s="19">
        <v>25.8</v>
      </c>
      <c r="HD115" s="19">
        <v>25</v>
      </c>
      <c r="HE115" s="19">
        <v>23.8</v>
      </c>
      <c r="HF115" s="19">
        <v>55.5</v>
      </c>
      <c r="HG115" s="19">
        <v>72</v>
      </c>
      <c r="HH115" s="19">
        <v>106</v>
      </c>
      <c r="HI115" s="19">
        <v>104.5</v>
      </c>
      <c r="HJ115" s="19">
        <v>103.5</v>
      </c>
      <c r="HK115" s="19">
        <v>102.5</v>
      </c>
      <c r="HL115" s="19">
        <v>101</v>
      </c>
      <c r="HM115" s="19">
        <v>100</v>
      </c>
      <c r="HN115" s="19">
        <v>98.5</v>
      </c>
      <c r="HO115" s="19">
        <v>97.5</v>
      </c>
      <c r="HP115" s="19">
        <v>96.5</v>
      </c>
      <c r="HQ115" s="19">
        <v>95.5</v>
      </c>
      <c r="HR115" s="19">
        <v>94.5</v>
      </c>
      <c r="HS115" s="19">
        <v>62.3</v>
      </c>
      <c r="HT115" s="19">
        <v>61.3</v>
      </c>
      <c r="HU115" s="19">
        <v>60.7</v>
      </c>
      <c r="HV115" s="19">
        <v>59.7</v>
      </c>
      <c r="HW115" s="19">
        <v>58.7</v>
      </c>
      <c r="HX115" s="19">
        <v>57.7</v>
      </c>
      <c r="HY115" s="19">
        <v>56.7</v>
      </c>
      <c r="HZ115" s="19">
        <v>55.7</v>
      </c>
      <c r="IA115" s="19">
        <v>54.7</v>
      </c>
      <c r="IB115" s="19">
        <v>53.7</v>
      </c>
    </row>
    <row r="116">
      <c r="A116" s="2" t="s">
        <v>772</v>
      </c>
      <c r="B116" s="2" t="s">
        <v>773</v>
      </c>
      <c r="C116" s="2" t="s">
        <v>280</v>
      </c>
      <c r="D116" s="2" t="s">
        <v>774</v>
      </c>
      <c r="E116" s="2" t="s">
        <v>775</v>
      </c>
      <c r="F116" s="2" t="s">
        <v>776</v>
      </c>
      <c r="G116" s="2" t="s">
        <v>777</v>
      </c>
      <c r="H116" s="2" t="s">
        <v>777</v>
      </c>
      <c r="I116" s="2" t="s">
        <v>778</v>
      </c>
      <c r="J116" s="2" t="s">
        <v>265</v>
      </c>
      <c r="K116" s="2" t="s">
        <v>452</v>
      </c>
      <c r="L116" s="3">
        <v>32.5</v>
      </c>
      <c r="M116" s="3">
        <v>34.13</v>
      </c>
      <c r="N116" s="3">
        <v>64.99</v>
      </c>
      <c r="O116" s="2" t="s">
        <v>230</v>
      </c>
      <c r="P116" s="2" t="s">
        <v>231</v>
      </c>
      <c r="Q116" s="2" t="s">
        <v>232</v>
      </c>
      <c r="R116" s="2" t="s">
        <v>233</v>
      </c>
      <c r="S116" s="2" t="s">
        <v>779</v>
      </c>
      <c r="T116" s="2" t="s">
        <v>780</v>
      </c>
      <c r="U116" s="2" t="s">
        <v>781</v>
      </c>
      <c r="V116" s="2" t="s">
        <v>782</v>
      </c>
      <c r="W116" s="2" t="s">
        <v>288</v>
      </c>
      <c r="X116" s="2" t="s">
        <v>620</v>
      </c>
      <c r="Y116" s="2" t="s">
        <v>783</v>
      </c>
      <c r="Z116" s="4">
        <v>375</v>
      </c>
      <c r="AA116" s="4">
        <f>=ROUNDDOWN(187.5,0)</f>
      </c>
      <c r="AB116" s="5">
        <v>2</v>
      </c>
      <c r="AC116" s="2" t="s">
        <v>233</v>
      </c>
      <c r="AD116" s="4"/>
      <c r="AE116" s="4"/>
      <c r="AF116" s="6">
        <v>65</v>
      </c>
      <c r="AG116" s="6">
        <v>48</v>
      </c>
      <c r="AH116" s="7">
        <v>1</v>
      </c>
      <c r="AI116" s="4"/>
      <c r="AJ116" s="4">
        <f>=ROUNDDOWN({0},0)</f>
      </c>
      <c r="AK116" s="5"/>
      <c r="AL116" s="2" t="s">
        <v>233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/>
      <c r="BD116" s="8"/>
      <c r="BE116" s="4"/>
      <c r="BF116" s="8"/>
      <c r="BG116" s="7"/>
      <c r="BH116" s="7"/>
      <c r="BI116" s="7"/>
      <c r="BJ116" s="4">
        <v>20</v>
      </c>
      <c r="BK116" s="8">
        <v>720</v>
      </c>
      <c r="BL116" s="2" t="s">
        <v>784</v>
      </c>
      <c r="BM116" s="7"/>
      <c r="BN116" s="7"/>
      <c r="BO116" s="4"/>
      <c r="BP116" s="8"/>
      <c r="BQ116" s="4"/>
      <c r="BR116" s="8"/>
      <c r="BS116" s="7"/>
      <c r="BT116" s="7"/>
      <c r="BU116" s="2" t="s">
        <v>785</v>
      </c>
      <c r="BV116" s="2" t="s">
        <v>233</v>
      </c>
      <c r="BW116" s="2" t="s">
        <v>233</v>
      </c>
      <c r="BX116" s="2" t="s">
        <v>241</v>
      </c>
      <c r="BY116" s="2" t="s">
        <v>242</v>
      </c>
      <c r="BZ116" s="2" t="s">
        <v>230</v>
      </c>
      <c r="CA116" s="2" t="s">
        <v>786</v>
      </c>
      <c r="CB116" s="2" t="s">
        <v>787</v>
      </c>
      <c r="CC116" s="2" t="s">
        <v>245</v>
      </c>
      <c r="CD116" s="2" t="s">
        <v>233</v>
      </c>
      <c r="CE116" s="4">
        <v>245</v>
      </c>
      <c r="CF116" s="4"/>
      <c r="CG116" s="4"/>
      <c r="CH116" s="4">
        <v>130</v>
      </c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>
        <v>377</v>
      </c>
      <c r="GD116" s="4">
        <v>366</v>
      </c>
      <c r="GE116" s="4">
        <v>356</v>
      </c>
      <c r="GF116" s="4">
        <v>340</v>
      </c>
      <c r="GG116" s="4">
        <v>306</v>
      </c>
      <c r="GH116" s="4">
        <v>288</v>
      </c>
      <c r="GI116" s="4">
        <v>272</v>
      </c>
      <c r="GJ116" s="4">
        <v>260</v>
      </c>
      <c r="GK116" s="4">
        <v>256</v>
      </c>
      <c r="GL116" s="4">
        <v>254</v>
      </c>
      <c r="GM116" s="4">
        <v>252</v>
      </c>
      <c r="GN116" s="4">
        <v>250</v>
      </c>
      <c r="GO116" s="4">
        <v>248</v>
      </c>
      <c r="GP116" s="4">
        <v>246</v>
      </c>
      <c r="GQ116" s="4">
        <v>244</v>
      </c>
      <c r="GR116" s="4">
        <v>240</v>
      </c>
      <c r="GS116" s="4">
        <v>236</v>
      </c>
      <c r="GT116" s="4">
        <v>232</v>
      </c>
      <c r="GU116" s="4">
        <v>228</v>
      </c>
      <c r="GV116" s="4">
        <v>226</v>
      </c>
      <c r="GW116" s="4">
        <v>222</v>
      </c>
      <c r="GX116" s="4">
        <v>220</v>
      </c>
      <c r="GY116" s="4">
        <v>218</v>
      </c>
      <c r="GZ116" s="4">
        <v>216</v>
      </c>
      <c r="HA116" s="4">
        <v>214</v>
      </c>
      <c r="HB116" s="4">
        <v>212</v>
      </c>
      <c r="HC116" s="19">
        <v>20.9</v>
      </c>
      <c r="HD116" s="19">
        <v>18.3</v>
      </c>
      <c r="HE116" s="19">
        <v>17.8</v>
      </c>
      <c r="HF116" s="19">
        <v>17</v>
      </c>
      <c r="HG116" s="19">
        <v>25.5</v>
      </c>
      <c r="HH116" s="19">
        <v>36</v>
      </c>
      <c r="HI116" s="19">
        <v>68</v>
      </c>
      <c r="HJ116" s="19">
        <v>130</v>
      </c>
      <c r="HK116" s="19">
        <v>128</v>
      </c>
      <c r="HL116" s="19">
        <v>127</v>
      </c>
      <c r="HM116" s="19">
        <v>126</v>
      </c>
      <c r="HN116" s="19">
        <v>125</v>
      </c>
      <c r="HO116" s="19">
        <v>62</v>
      </c>
      <c r="HP116" s="19">
        <v>61.5</v>
      </c>
      <c r="HQ116" s="19">
        <v>61</v>
      </c>
      <c r="HR116" s="19">
        <v>60</v>
      </c>
      <c r="HS116" s="19">
        <v>59</v>
      </c>
      <c r="HT116" s="19">
        <v>58</v>
      </c>
      <c r="HU116" s="19">
        <v>114</v>
      </c>
      <c r="HV116" s="19">
        <v>113</v>
      </c>
      <c r="HW116" s="19">
        <v>111</v>
      </c>
      <c r="HX116" s="19">
        <v>110</v>
      </c>
      <c r="HY116" s="19">
        <v>109</v>
      </c>
      <c r="HZ116" s="19">
        <v>108</v>
      </c>
      <c r="IA116" s="19">
        <v>107</v>
      </c>
      <c r="IB116" s="19">
        <v>106</v>
      </c>
    </row>
    <row r="117">
      <c r="A117" s="2" t="s">
        <v>788</v>
      </c>
      <c r="B117" s="2" t="s">
        <v>704</v>
      </c>
      <c r="C117" s="2" t="s">
        <v>789</v>
      </c>
      <c r="D117" s="2" t="s">
        <v>705</v>
      </c>
      <c r="E117" s="2" t="s">
        <v>706</v>
      </c>
      <c r="F117" s="2" t="s">
        <v>790</v>
      </c>
      <c r="G117" s="2" t="s">
        <v>790</v>
      </c>
      <c r="H117" s="2" t="s">
        <v>790</v>
      </c>
      <c r="I117" s="2" t="s">
        <v>791</v>
      </c>
      <c r="J117" s="2" t="s">
        <v>792</v>
      </c>
      <c r="K117" s="2" t="s">
        <v>434</v>
      </c>
      <c r="L117" s="3">
        <v>22</v>
      </c>
      <c r="M117" s="3">
        <v>23.1</v>
      </c>
      <c r="N117" s="3">
        <v>49.99</v>
      </c>
      <c r="O117" s="2" t="s">
        <v>230</v>
      </c>
      <c r="P117" s="2" t="s">
        <v>231</v>
      </c>
      <c r="Q117" s="2" t="s">
        <v>232</v>
      </c>
      <c r="R117" s="2" t="s">
        <v>233</v>
      </c>
      <c r="S117" s="2" t="s">
        <v>793</v>
      </c>
      <c r="T117" s="2" t="s">
        <v>348</v>
      </c>
      <c r="U117" s="2" t="s">
        <v>665</v>
      </c>
      <c r="V117" s="2" t="s">
        <v>236</v>
      </c>
      <c r="W117" s="2" t="s">
        <v>237</v>
      </c>
      <c r="X117" s="2" t="s">
        <v>233</v>
      </c>
      <c r="Y117" s="2" t="s">
        <v>794</v>
      </c>
      <c r="Z117" s="4">
        <v>242</v>
      </c>
      <c r="AA117" s="4">
        <f>=ROUNDDOWN(17.2857142857143,0)</f>
      </c>
      <c r="AB117" s="5">
        <v>14</v>
      </c>
      <c r="AC117" s="2" t="s">
        <v>149</v>
      </c>
      <c r="AD117" s="4">
        <v>459</v>
      </c>
      <c r="AE117" s="4">
        <v>459</v>
      </c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233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/>
      <c r="AW117" s="8"/>
      <c r="AX117" s="4"/>
      <c r="AY117" s="8"/>
      <c r="AZ117" s="7"/>
      <c r="BA117" s="7"/>
      <c r="BB117" s="7"/>
      <c r="BC117" s="4" t="s">
        <v>233</v>
      </c>
      <c r="BD117" s="8" t="s">
        <v>233</v>
      </c>
      <c r="BE117" s="4" t="s">
        <v>233</v>
      </c>
      <c r="BF117" s="8" t="s">
        <v>233</v>
      </c>
      <c r="BG117" s="7" t="s">
        <v>233</v>
      </c>
      <c r="BH117" s="7" t="s">
        <v>233</v>
      </c>
      <c r="BI117" s="7"/>
      <c r="BJ117" s="4">
        <v>48</v>
      </c>
      <c r="BK117" s="8">
        <v>1159.43</v>
      </c>
      <c r="BL117" s="2" t="s">
        <v>795</v>
      </c>
      <c r="BM117" s="7"/>
      <c r="BN117" s="7"/>
      <c r="BO117" s="4"/>
      <c r="BP117" s="8"/>
      <c r="BQ117" s="4"/>
      <c r="BR117" s="8"/>
      <c r="BS117" s="7"/>
      <c r="BT117" s="7"/>
      <c r="BU117" s="2" t="s">
        <v>796</v>
      </c>
      <c r="BV117" s="2" t="s">
        <v>233</v>
      </c>
      <c r="BW117" s="2" t="s">
        <v>233</v>
      </c>
      <c r="BX117" s="2" t="s">
        <v>241</v>
      </c>
      <c r="BY117" s="2" t="s">
        <v>242</v>
      </c>
      <c r="BZ117" s="2" t="s">
        <v>230</v>
      </c>
      <c r="CA117" s="2" t="s">
        <v>797</v>
      </c>
      <c r="CB117" s="2" t="s">
        <v>798</v>
      </c>
      <c r="CC117" s="2" t="s">
        <v>245</v>
      </c>
      <c r="CD117" s="2" t="s">
        <v>233</v>
      </c>
      <c r="CE117" s="4">
        <v>242</v>
      </c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>
        <v>459</v>
      </c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>
        <v>246</v>
      </c>
      <c r="GD117" s="4">
        <v>233</v>
      </c>
      <c r="GE117" s="4">
        <v>215</v>
      </c>
      <c r="GF117" s="4">
        <v>194</v>
      </c>
      <c r="GG117" s="4">
        <v>618</v>
      </c>
      <c r="GH117" s="4">
        <v>583</v>
      </c>
      <c r="GI117" s="4">
        <v>535</v>
      </c>
      <c r="GJ117" s="4">
        <v>514</v>
      </c>
      <c r="GK117" s="4">
        <v>500</v>
      </c>
      <c r="GL117" s="4">
        <v>485</v>
      </c>
      <c r="GM117" s="4">
        <v>471</v>
      </c>
      <c r="GN117" s="4">
        <v>457</v>
      </c>
      <c r="GO117" s="4">
        <v>443</v>
      </c>
      <c r="GP117" s="4">
        <v>429</v>
      </c>
      <c r="GQ117" s="4">
        <v>415</v>
      </c>
      <c r="GR117" s="4">
        <v>401</v>
      </c>
      <c r="GS117" s="4">
        <v>387</v>
      </c>
      <c r="GT117" s="4">
        <v>372</v>
      </c>
      <c r="GU117" s="4">
        <v>358</v>
      </c>
      <c r="GV117" s="4">
        <v>344</v>
      </c>
      <c r="GW117" s="4">
        <v>330</v>
      </c>
      <c r="GX117" s="4">
        <v>316</v>
      </c>
      <c r="GY117" s="4">
        <v>302</v>
      </c>
      <c r="GZ117" s="4">
        <v>288</v>
      </c>
      <c r="HA117" s="4">
        <v>274</v>
      </c>
      <c r="HB117" s="4">
        <v>260</v>
      </c>
      <c r="HC117" s="19">
        <v>11.2</v>
      </c>
      <c r="HD117" s="19">
        <v>8.6</v>
      </c>
      <c r="HE117" s="19">
        <v>6.1</v>
      </c>
      <c r="HF117" s="19">
        <v>5.5</v>
      </c>
      <c r="HG117" s="19">
        <v>20.6</v>
      </c>
      <c r="HH117" s="19">
        <v>24.3</v>
      </c>
      <c r="HI117" s="19">
        <v>33.4</v>
      </c>
      <c r="HJ117" s="19">
        <v>36.7</v>
      </c>
      <c r="HK117" s="19">
        <v>35.7</v>
      </c>
      <c r="HL117" s="19">
        <v>34.6</v>
      </c>
      <c r="HM117" s="19">
        <v>33.6</v>
      </c>
      <c r="HN117" s="19">
        <v>32.6</v>
      </c>
      <c r="HO117" s="19">
        <v>31.6</v>
      </c>
      <c r="HP117" s="19">
        <v>30.6</v>
      </c>
      <c r="HQ117" s="19">
        <v>29.6</v>
      </c>
      <c r="HR117" s="19">
        <v>28.6</v>
      </c>
      <c r="HS117" s="19">
        <v>27.6</v>
      </c>
      <c r="HT117" s="19">
        <v>26.6</v>
      </c>
      <c r="HU117" s="19">
        <v>25.6</v>
      </c>
      <c r="HV117" s="19">
        <v>24.6</v>
      </c>
      <c r="HW117" s="19">
        <v>23.6</v>
      </c>
      <c r="HX117" s="19">
        <v>22.6</v>
      </c>
      <c r="HY117" s="19">
        <v>21.6</v>
      </c>
      <c r="HZ117" s="19">
        <v>20.6</v>
      </c>
      <c r="IA117" s="19">
        <v>19.6</v>
      </c>
      <c r="IB117" s="19">
        <v>18.6</v>
      </c>
    </row>
    <row r="118">
      <c r="A118" s="2" t="s">
        <v>799</v>
      </c>
      <c r="B118" s="2" t="s">
        <v>704</v>
      </c>
      <c r="C118" s="2" t="s">
        <v>789</v>
      </c>
      <c r="D118" s="2" t="s">
        <v>705</v>
      </c>
      <c r="E118" s="2" t="s">
        <v>706</v>
      </c>
      <c r="F118" s="2" t="s">
        <v>790</v>
      </c>
      <c r="G118" s="2" t="s">
        <v>790</v>
      </c>
      <c r="H118" s="2" t="s">
        <v>790</v>
      </c>
      <c r="I118" s="2" t="s">
        <v>791</v>
      </c>
      <c r="J118" s="2" t="s">
        <v>792</v>
      </c>
      <c r="K118" s="2" t="s">
        <v>671</v>
      </c>
      <c r="L118" s="3">
        <v>22</v>
      </c>
      <c r="M118" s="3">
        <v>23.1</v>
      </c>
      <c r="N118" s="3">
        <v>49.99</v>
      </c>
      <c r="O118" s="2" t="s">
        <v>230</v>
      </c>
      <c r="P118" s="2" t="s">
        <v>231</v>
      </c>
      <c r="Q118" s="2" t="s">
        <v>232</v>
      </c>
      <c r="R118" s="2" t="s">
        <v>233</v>
      </c>
      <c r="S118" s="2" t="s">
        <v>800</v>
      </c>
      <c r="T118" s="2" t="s">
        <v>348</v>
      </c>
      <c r="U118" s="2" t="s">
        <v>665</v>
      </c>
      <c r="V118" s="2" t="s">
        <v>236</v>
      </c>
      <c r="W118" s="2" t="s">
        <v>237</v>
      </c>
      <c r="X118" s="2" t="s">
        <v>233</v>
      </c>
      <c r="Y118" s="2" t="s">
        <v>794</v>
      </c>
      <c r="Z118" s="4">
        <v>233</v>
      </c>
      <c r="AA118" s="4">
        <f>=ROUNDDOWN(25.8888888888889,0)</f>
      </c>
      <c r="AB118" s="5">
        <v>9</v>
      </c>
      <c r="AC118" s="2" t="s">
        <v>149</v>
      </c>
      <c r="AD118" s="4">
        <v>344</v>
      </c>
      <c r="AE118" s="4">
        <v>344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233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 t="s">
        <v>233</v>
      </c>
      <c r="BD118" s="8" t="s">
        <v>233</v>
      </c>
      <c r="BE118" s="4" t="s">
        <v>233</v>
      </c>
      <c r="BF118" s="8" t="s">
        <v>233</v>
      </c>
      <c r="BG118" s="7" t="s">
        <v>233</v>
      </c>
      <c r="BH118" s="7" t="s">
        <v>233</v>
      </c>
      <c r="BI118" s="7"/>
      <c r="BJ118" s="4">
        <v>38</v>
      </c>
      <c r="BK118" s="8">
        <v>977.25</v>
      </c>
      <c r="BL118" s="2" t="s">
        <v>801</v>
      </c>
      <c r="BM118" s="7"/>
      <c r="BN118" s="7"/>
      <c r="BO118" s="4"/>
      <c r="BP118" s="8"/>
      <c r="BQ118" s="4"/>
      <c r="BR118" s="8"/>
      <c r="BS118" s="7"/>
      <c r="BT118" s="7"/>
      <c r="BU118" s="2" t="s">
        <v>796</v>
      </c>
      <c r="BV118" s="2" t="s">
        <v>233</v>
      </c>
      <c r="BW118" s="2" t="s">
        <v>233</v>
      </c>
      <c r="BX118" s="2" t="s">
        <v>241</v>
      </c>
      <c r="BY118" s="2" t="s">
        <v>242</v>
      </c>
      <c r="BZ118" s="2" t="s">
        <v>230</v>
      </c>
      <c r="CA118" s="2" t="s">
        <v>797</v>
      </c>
      <c r="CB118" s="2" t="s">
        <v>233</v>
      </c>
      <c r="CC118" s="2" t="s">
        <v>245</v>
      </c>
      <c r="CD118" s="2" t="s">
        <v>233</v>
      </c>
      <c r="CE118" s="4">
        <v>233</v>
      </c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>
        <v>344</v>
      </c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>
        <v>235</v>
      </c>
      <c r="GD118" s="4">
        <v>227</v>
      </c>
      <c r="GE118" s="4">
        <v>215</v>
      </c>
      <c r="GF118" s="4">
        <v>201</v>
      </c>
      <c r="GG118" s="4">
        <v>522</v>
      </c>
      <c r="GH118" s="4">
        <v>499</v>
      </c>
      <c r="GI118" s="4">
        <v>468</v>
      </c>
      <c r="GJ118" s="4">
        <v>454</v>
      </c>
      <c r="GK118" s="4">
        <v>445</v>
      </c>
      <c r="GL118" s="4">
        <v>435</v>
      </c>
      <c r="GM118" s="4">
        <v>426</v>
      </c>
      <c r="GN118" s="4">
        <v>417</v>
      </c>
      <c r="GO118" s="4">
        <v>408</v>
      </c>
      <c r="GP118" s="4">
        <v>399</v>
      </c>
      <c r="GQ118" s="4">
        <v>390</v>
      </c>
      <c r="GR118" s="4">
        <v>381</v>
      </c>
      <c r="GS118" s="4">
        <v>372</v>
      </c>
      <c r="GT118" s="4">
        <v>362</v>
      </c>
      <c r="GU118" s="4">
        <v>353</v>
      </c>
      <c r="GV118" s="4">
        <v>344</v>
      </c>
      <c r="GW118" s="4">
        <v>335</v>
      </c>
      <c r="GX118" s="4">
        <v>326</v>
      </c>
      <c r="GY118" s="4">
        <v>317</v>
      </c>
      <c r="GZ118" s="4">
        <v>308</v>
      </c>
      <c r="HA118" s="4">
        <v>299</v>
      </c>
      <c r="HB118" s="4">
        <v>290</v>
      </c>
      <c r="HC118" s="19">
        <v>16.8</v>
      </c>
      <c r="HD118" s="19">
        <v>12.6</v>
      </c>
      <c r="HE118" s="19">
        <v>9.3</v>
      </c>
      <c r="HF118" s="19">
        <v>8.7</v>
      </c>
      <c r="HG118" s="19">
        <v>27.5</v>
      </c>
      <c r="HH118" s="19">
        <v>31.2</v>
      </c>
      <c r="HI118" s="19">
        <v>46.8</v>
      </c>
      <c r="HJ118" s="19">
        <v>50.4</v>
      </c>
      <c r="HK118" s="19">
        <v>49.4</v>
      </c>
      <c r="HL118" s="19">
        <v>48.3</v>
      </c>
      <c r="HM118" s="19">
        <v>47.3</v>
      </c>
      <c r="HN118" s="19">
        <v>46.3</v>
      </c>
      <c r="HO118" s="19">
        <v>45.3</v>
      </c>
      <c r="HP118" s="19">
        <v>44.3</v>
      </c>
      <c r="HQ118" s="19">
        <v>43.3</v>
      </c>
      <c r="HR118" s="19">
        <v>42.3</v>
      </c>
      <c r="HS118" s="19">
        <v>41.3</v>
      </c>
      <c r="HT118" s="19">
        <v>40.2</v>
      </c>
      <c r="HU118" s="19">
        <v>39.2</v>
      </c>
      <c r="HV118" s="19">
        <v>38.2</v>
      </c>
      <c r="HW118" s="19">
        <v>37.2</v>
      </c>
      <c r="HX118" s="19">
        <v>36.2</v>
      </c>
      <c r="HY118" s="19">
        <v>35.2</v>
      </c>
      <c r="HZ118" s="19">
        <v>34.2</v>
      </c>
      <c r="IA118" s="19">
        <v>33.2</v>
      </c>
      <c r="IB118" s="19">
        <v>32.2</v>
      </c>
    </row>
    <row r="119">
      <c r="A119" s="2" t="s">
        <v>802</v>
      </c>
      <c r="B119" s="2" t="s">
        <v>704</v>
      </c>
      <c r="C119" s="2" t="s">
        <v>789</v>
      </c>
      <c r="D119" s="2" t="s">
        <v>705</v>
      </c>
      <c r="E119" s="2" t="s">
        <v>706</v>
      </c>
      <c r="F119" s="2" t="s">
        <v>790</v>
      </c>
      <c r="G119" s="2" t="s">
        <v>790</v>
      </c>
      <c r="H119" s="2" t="s">
        <v>790</v>
      </c>
      <c r="I119" s="2" t="s">
        <v>791</v>
      </c>
      <c r="J119" s="2" t="s">
        <v>792</v>
      </c>
      <c r="K119" s="2" t="s">
        <v>300</v>
      </c>
      <c r="L119" s="3">
        <v>22</v>
      </c>
      <c r="M119" s="3">
        <v>23.1</v>
      </c>
      <c r="N119" s="3">
        <v>49.99</v>
      </c>
      <c r="O119" s="2" t="s">
        <v>230</v>
      </c>
      <c r="P119" s="2" t="s">
        <v>231</v>
      </c>
      <c r="Q119" s="2" t="s">
        <v>232</v>
      </c>
      <c r="R119" s="2" t="s">
        <v>233</v>
      </c>
      <c r="S119" s="2" t="s">
        <v>803</v>
      </c>
      <c r="T119" s="2" t="s">
        <v>348</v>
      </c>
      <c r="U119" s="2" t="s">
        <v>665</v>
      </c>
      <c r="V119" s="2" t="s">
        <v>236</v>
      </c>
      <c r="W119" s="2" t="s">
        <v>237</v>
      </c>
      <c r="X119" s="2" t="s">
        <v>233</v>
      </c>
      <c r="Y119" s="2" t="s">
        <v>794</v>
      </c>
      <c r="Z119" s="4">
        <v>312</v>
      </c>
      <c r="AA119" s="4">
        <f>=ROUNDDOWN(39,0)</f>
      </c>
      <c r="AB119" s="5">
        <v>8</v>
      </c>
      <c r="AC119" s="2" t="s">
        <v>149</v>
      </c>
      <c r="AD119" s="4">
        <v>229</v>
      </c>
      <c r="AE119" s="4">
        <v>229</v>
      </c>
      <c r="AF119" s="6">
        <v>69</v>
      </c>
      <c r="AG119" s="6"/>
      <c r="AH119" s="7">
        <v>1</v>
      </c>
      <c r="AI119" s="4"/>
      <c r="AJ119" s="4">
        <f>=ROUNDDOWN({0},0)</f>
      </c>
      <c r="AK119" s="5"/>
      <c r="AL119" s="2" t="s">
        <v>233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 t="s">
        <v>233</v>
      </c>
      <c r="BD119" s="8" t="s">
        <v>233</v>
      </c>
      <c r="BE119" s="4" t="s">
        <v>233</v>
      </c>
      <c r="BF119" s="8" t="s">
        <v>233</v>
      </c>
      <c r="BG119" s="7" t="s">
        <v>233</v>
      </c>
      <c r="BH119" s="7" t="s">
        <v>233</v>
      </c>
      <c r="BI119" s="7"/>
      <c r="BJ119" s="4">
        <v>26</v>
      </c>
      <c r="BK119" s="8">
        <v>612.92</v>
      </c>
      <c r="BL119" s="2" t="s">
        <v>804</v>
      </c>
      <c r="BM119" s="7"/>
      <c r="BN119" s="7"/>
      <c r="BO119" s="4"/>
      <c r="BP119" s="8"/>
      <c r="BQ119" s="4"/>
      <c r="BR119" s="8"/>
      <c r="BS119" s="7"/>
      <c r="BT119" s="7"/>
      <c r="BU119" s="2" t="s">
        <v>796</v>
      </c>
      <c r="BV119" s="2" t="s">
        <v>233</v>
      </c>
      <c r="BW119" s="2" t="s">
        <v>233</v>
      </c>
      <c r="BX119" s="2" t="s">
        <v>241</v>
      </c>
      <c r="BY119" s="2" t="s">
        <v>242</v>
      </c>
      <c r="BZ119" s="2" t="s">
        <v>230</v>
      </c>
      <c r="CA119" s="2" t="s">
        <v>797</v>
      </c>
      <c r="CB119" s="2" t="s">
        <v>805</v>
      </c>
      <c r="CC119" s="2" t="s">
        <v>245</v>
      </c>
      <c r="CD119" s="2" t="s">
        <v>233</v>
      </c>
      <c r="CE119" s="4">
        <v>311</v>
      </c>
      <c r="CF119" s="4"/>
      <c r="CG119" s="4"/>
      <c r="CH119" s="4"/>
      <c r="CI119" s="4"/>
      <c r="CJ119" s="4"/>
      <c r="CK119" s="4">
        <v>1</v>
      </c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>
        <v>229</v>
      </c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>
        <v>315</v>
      </c>
      <c r="GD119" s="4">
        <v>307</v>
      </c>
      <c r="GE119" s="4">
        <v>297</v>
      </c>
      <c r="GF119" s="4">
        <v>285</v>
      </c>
      <c r="GG119" s="4">
        <v>494</v>
      </c>
      <c r="GH119" s="4">
        <v>474</v>
      </c>
      <c r="GI119" s="4">
        <v>447</v>
      </c>
      <c r="GJ119" s="4">
        <v>435</v>
      </c>
      <c r="GK119" s="4">
        <v>427</v>
      </c>
      <c r="GL119" s="4">
        <v>418</v>
      </c>
      <c r="GM119" s="4">
        <v>410</v>
      </c>
      <c r="GN119" s="4">
        <v>402</v>
      </c>
      <c r="GO119" s="4">
        <v>394</v>
      </c>
      <c r="GP119" s="4">
        <v>386</v>
      </c>
      <c r="GQ119" s="4">
        <v>378</v>
      </c>
      <c r="GR119" s="4">
        <v>370</v>
      </c>
      <c r="GS119" s="4">
        <v>362</v>
      </c>
      <c r="GT119" s="4">
        <v>353</v>
      </c>
      <c r="GU119" s="4">
        <v>345</v>
      </c>
      <c r="GV119" s="4">
        <v>337</v>
      </c>
      <c r="GW119" s="4">
        <v>329</v>
      </c>
      <c r="GX119" s="4">
        <v>321</v>
      </c>
      <c r="GY119" s="4">
        <v>313</v>
      </c>
      <c r="GZ119" s="4">
        <v>305</v>
      </c>
      <c r="HA119" s="4">
        <v>297</v>
      </c>
      <c r="HB119" s="4">
        <v>289</v>
      </c>
      <c r="HC119" s="19">
        <v>26.3</v>
      </c>
      <c r="HD119" s="19">
        <v>19.2</v>
      </c>
      <c r="HE119" s="19">
        <v>14.9</v>
      </c>
      <c r="HF119" s="19">
        <v>14.3</v>
      </c>
      <c r="HG119" s="19">
        <v>29.1</v>
      </c>
      <c r="HH119" s="19">
        <v>33.9</v>
      </c>
      <c r="HI119" s="19">
        <v>49.7</v>
      </c>
      <c r="HJ119" s="19">
        <v>54.4</v>
      </c>
      <c r="HK119" s="19">
        <v>53.4</v>
      </c>
      <c r="HL119" s="19">
        <v>52.3</v>
      </c>
      <c r="HM119" s="19">
        <v>51.3</v>
      </c>
      <c r="HN119" s="19">
        <v>50.3</v>
      </c>
      <c r="HO119" s="19">
        <v>49.3</v>
      </c>
      <c r="HP119" s="19">
        <v>48.3</v>
      </c>
      <c r="HQ119" s="19">
        <v>47.3</v>
      </c>
      <c r="HR119" s="19">
        <v>46.3</v>
      </c>
      <c r="HS119" s="19">
        <v>45.3</v>
      </c>
      <c r="HT119" s="19">
        <v>44.1</v>
      </c>
      <c r="HU119" s="19">
        <v>43.1</v>
      </c>
      <c r="HV119" s="19">
        <v>42.1</v>
      </c>
      <c r="HW119" s="19">
        <v>41.1</v>
      </c>
      <c r="HX119" s="19">
        <v>40.1</v>
      </c>
      <c r="HY119" s="19">
        <v>39.1</v>
      </c>
      <c r="HZ119" s="19">
        <v>38.1</v>
      </c>
      <c r="IA119" s="19">
        <v>37.1</v>
      </c>
      <c r="IB119" s="19">
        <v>36.1</v>
      </c>
    </row>
    <row r="120">
      <c r="A120" s="2" t="s">
        <v>806</v>
      </c>
      <c r="B120" s="2" t="s">
        <v>704</v>
      </c>
      <c r="C120" s="2" t="s">
        <v>789</v>
      </c>
      <c r="D120" s="2" t="s">
        <v>705</v>
      </c>
      <c r="E120" s="2" t="s">
        <v>706</v>
      </c>
      <c r="F120" s="2" t="s">
        <v>790</v>
      </c>
      <c r="G120" s="2" t="s">
        <v>790</v>
      </c>
      <c r="H120" s="2" t="s">
        <v>790</v>
      </c>
      <c r="I120" s="2" t="s">
        <v>791</v>
      </c>
      <c r="J120" s="2" t="s">
        <v>792</v>
      </c>
      <c r="K120" s="2" t="s">
        <v>266</v>
      </c>
      <c r="L120" s="3">
        <v>22</v>
      </c>
      <c r="M120" s="3">
        <v>23.1</v>
      </c>
      <c r="N120" s="3">
        <v>49.99</v>
      </c>
      <c r="O120" s="2" t="s">
        <v>230</v>
      </c>
      <c r="P120" s="2" t="s">
        <v>231</v>
      </c>
      <c r="Q120" s="2" t="s">
        <v>232</v>
      </c>
      <c r="R120" s="2" t="s">
        <v>233</v>
      </c>
      <c r="S120" s="2" t="s">
        <v>807</v>
      </c>
      <c r="T120" s="2" t="s">
        <v>348</v>
      </c>
      <c r="U120" s="2" t="s">
        <v>665</v>
      </c>
      <c r="V120" s="2" t="s">
        <v>236</v>
      </c>
      <c r="W120" s="2" t="s">
        <v>237</v>
      </c>
      <c r="X120" s="2" t="s">
        <v>233</v>
      </c>
      <c r="Y120" s="2" t="s">
        <v>794</v>
      </c>
      <c r="Z120" s="4">
        <v>268</v>
      </c>
      <c r="AA120" s="4">
        <f>=ROUNDDOWN(38.2857142857143,0)</f>
      </c>
      <c r="AB120" s="5">
        <v>7</v>
      </c>
      <c r="AC120" s="2" t="s">
        <v>149</v>
      </c>
      <c r="AD120" s="4">
        <v>578</v>
      </c>
      <c r="AE120" s="4">
        <v>578</v>
      </c>
      <c r="AF120" s="6">
        <v>69</v>
      </c>
      <c r="AG120" s="6"/>
      <c r="AH120" s="7">
        <v>1</v>
      </c>
      <c r="AI120" s="4"/>
      <c r="AJ120" s="4">
        <f>=ROUNDDOWN({0},0)</f>
      </c>
      <c r="AK120" s="5"/>
      <c r="AL120" s="2" t="s">
        <v>233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/>
      <c r="AW120" s="8"/>
      <c r="AX120" s="4"/>
      <c r="AY120" s="8"/>
      <c r="AZ120" s="7"/>
      <c r="BA120" s="7"/>
      <c r="BB120" s="7"/>
      <c r="BC120" s="4" t="s">
        <v>233</v>
      </c>
      <c r="BD120" s="8" t="s">
        <v>233</v>
      </c>
      <c r="BE120" s="4" t="s">
        <v>233</v>
      </c>
      <c r="BF120" s="8" t="s">
        <v>233</v>
      </c>
      <c r="BG120" s="7" t="s">
        <v>233</v>
      </c>
      <c r="BH120" s="7" t="s">
        <v>233</v>
      </c>
      <c r="BI120" s="7"/>
      <c r="BJ120" s="4">
        <v>22</v>
      </c>
      <c r="BK120" s="8">
        <v>597.28</v>
      </c>
      <c r="BL120" s="2" t="s">
        <v>808</v>
      </c>
      <c r="BM120" s="7"/>
      <c r="BN120" s="7"/>
      <c r="BO120" s="4"/>
      <c r="BP120" s="8"/>
      <c r="BQ120" s="4"/>
      <c r="BR120" s="8"/>
      <c r="BS120" s="7"/>
      <c r="BT120" s="7"/>
      <c r="BU120" s="2" t="s">
        <v>796</v>
      </c>
      <c r="BV120" s="2" t="s">
        <v>233</v>
      </c>
      <c r="BW120" s="2" t="s">
        <v>233</v>
      </c>
      <c r="BX120" s="2" t="s">
        <v>241</v>
      </c>
      <c r="BY120" s="2" t="s">
        <v>242</v>
      </c>
      <c r="BZ120" s="2" t="s">
        <v>230</v>
      </c>
      <c r="CA120" s="2" t="s">
        <v>797</v>
      </c>
      <c r="CB120" s="2" t="s">
        <v>809</v>
      </c>
      <c r="CC120" s="2" t="s">
        <v>245</v>
      </c>
      <c r="CD120" s="2" t="s">
        <v>233</v>
      </c>
      <c r="CE120" s="4">
        <v>268</v>
      </c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>
        <v>578</v>
      </c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>
        <v>268</v>
      </c>
      <c r="GD120" s="4">
        <v>263</v>
      </c>
      <c r="GE120" s="4">
        <v>254</v>
      </c>
      <c r="GF120" s="4">
        <v>243</v>
      </c>
      <c r="GG120" s="4">
        <v>803</v>
      </c>
      <c r="GH120" s="4">
        <v>785</v>
      </c>
      <c r="GI120" s="4">
        <v>761</v>
      </c>
      <c r="GJ120" s="4">
        <v>750</v>
      </c>
      <c r="GK120" s="4">
        <v>743</v>
      </c>
      <c r="GL120" s="4">
        <v>735</v>
      </c>
      <c r="GM120" s="4">
        <v>728</v>
      </c>
      <c r="GN120" s="4">
        <v>721</v>
      </c>
      <c r="GO120" s="4">
        <v>714</v>
      </c>
      <c r="GP120" s="4">
        <v>707</v>
      </c>
      <c r="GQ120" s="4">
        <v>700</v>
      </c>
      <c r="GR120" s="4">
        <v>693</v>
      </c>
      <c r="GS120" s="4">
        <v>686</v>
      </c>
      <c r="GT120" s="4">
        <v>678</v>
      </c>
      <c r="GU120" s="4">
        <v>671</v>
      </c>
      <c r="GV120" s="4">
        <v>664</v>
      </c>
      <c r="GW120" s="4">
        <v>657</v>
      </c>
      <c r="GX120" s="4">
        <v>650</v>
      </c>
      <c r="GY120" s="4">
        <v>643</v>
      </c>
      <c r="GZ120" s="4">
        <v>636</v>
      </c>
      <c r="HA120" s="4">
        <v>629</v>
      </c>
      <c r="HB120" s="4">
        <v>622</v>
      </c>
      <c r="HC120" s="19">
        <v>24.4</v>
      </c>
      <c r="HD120" s="19">
        <v>18.8</v>
      </c>
      <c r="HE120" s="19">
        <v>14.1</v>
      </c>
      <c r="HF120" s="19">
        <v>13.5</v>
      </c>
      <c r="HG120" s="19">
        <v>53.5</v>
      </c>
      <c r="HH120" s="19">
        <v>65.4</v>
      </c>
      <c r="HI120" s="19">
        <v>95.1</v>
      </c>
      <c r="HJ120" s="19">
        <v>107.1</v>
      </c>
      <c r="HK120" s="19">
        <v>106.1</v>
      </c>
      <c r="HL120" s="19">
        <v>105</v>
      </c>
      <c r="HM120" s="19">
        <v>104</v>
      </c>
      <c r="HN120" s="19">
        <v>103</v>
      </c>
      <c r="HO120" s="19">
        <v>102</v>
      </c>
      <c r="HP120" s="19">
        <v>101</v>
      </c>
      <c r="HQ120" s="19">
        <v>100</v>
      </c>
      <c r="HR120" s="19">
        <v>99</v>
      </c>
      <c r="HS120" s="19">
        <v>98</v>
      </c>
      <c r="HT120" s="19">
        <v>96.9</v>
      </c>
      <c r="HU120" s="19">
        <v>95.9</v>
      </c>
      <c r="HV120" s="19">
        <v>94.9</v>
      </c>
      <c r="HW120" s="19">
        <v>93.9</v>
      </c>
      <c r="HX120" s="19">
        <v>92.9</v>
      </c>
      <c r="HY120" s="19">
        <v>91.9</v>
      </c>
      <c r="HZ120" s="19">
        <v>90.9</v>
      </c>
      <c r="IA120" s="19">
        <v>89.9</v>
      </c>
      <c r="IB120" s="19">
        <v>88.9</v>
      </c>
    </row>
    <row r="121">
      <c r="A121" s="2" t="s">
        <v>810</v>
      </c>
      <c r="B121" s="2" t="s">
        <v>811</v>
      </c>
      <c r="C121" s="2" t="s">
        <v>812</v>
      </c>
      <c r="D121" s="2" t="s">
        <v>813</v>
      </c>
      <c r="E121" s="2" t="s">
        <v>814</v>
      </c>
      <c r="F121" s="2" t="s">
        <v>815</v>
      </c>
      <c r="G121" s="2" t="s">
        <v>815</v>
      </c>
      <c r="H121" s="2" t="s">
        <v>815</v>
      </c>
      <c r="I121" s="2" t="s">
        <v>816</v>
      </c>
      <c r="J121" s="2" t="s">
        <v>741</v>
      </c>
      <c r="K121" s="2" t="s">
        <v>817</v>
      </c>
      <c r="L121" s="3">
        <v>39.85</v>
      </c>
      <c r="M121" s="3">
        <v>41.84</v>
      </c>
      <c r="N121" s="3">
        <v>79.99</v>
      </c>
      <c r="O121" s="2" t="s">
        <v>230</v>
      </c>
      <c r="P121" s="2" t="s">
        <v>231</v>
      </c>
      <c r="Q121" s="2" t="s">
        <v>232</v>
      </c>
      <c r="R121" s="2" t="s">
        <v>233</v>
      </c>
      <c r="S121" s="2" t="s">
        <v>233</v>
      </c>
      <c r="T121" s="2" t="s">
        <v>233</v>
      </c>
      <c r="U121" s="2" t="s">
        <v>329</v>
      </c>
      <c r="V121" s="2" t="s">
        <v>609</v>
      </c>
      <c r="W121" s="2" t="s">
        <v>818</v>
      </c>
      <c r="X121" s="2" t="s">
        <v>819</v>
      </c>
      <c r="Y121" s="2" t="s">
        <v>820</v>
      </c>
      <c r="Z121" s="4">
        <v>10</v>
      </c>
      <c r="AA121" s="4">
        <f>=ROUNDDOWN(3.33333333333333,0)</f>
      </c>
      <c r="AB121" s="5">
        <v>3</v>
      </c>
      <c r="AC121" s="2" t="s">
        <v>731</v>
      </c>
      <c r="AD121" s="4">
        <v>100</v>
      </c>
      <c r="AE121" s="4">
        <v>100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233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/>
      <c r="AW121" s="8"/>
      <c r="AX121" s="4"/>
      <c r="AY121" s="8"/>
      <c r="AZ121" s="7"/>
      <c r="BA121" s="7"/>
      <c r="BB121" s="7"/>
      <c r="BC121" s="4"/>
      <c r="BD121" s="8"/>
      <c r="BE121" s="4"/>
      <c r="BF121" s="8"/>
      <c r="BG121" s="7"/>
      <c r="BH121" s="7"/>
      <c r="BI121" s="7"/>
      <c r="BJ121" s="4">
        <v>3</v>
      </c>
      <c r="BK121" s="8">
        <v>139.75</v>
      </c>
      <c r="BL121" s="2" t="s">
        <v>821</v>
      </c>
      <c r="BM121" s="7"/>
      <c r="BN121" s="7"/>
      <c r="BO121" s="4"/>
      <c r="BP121" s="8"/>
      <c r="BQ121" s="4"/>
      <c r="BR121" s="8"/>
      <c r="BS121" s="7"/>
      <c r="BT121" s="7"/>
      <c r="BU121" s="2" t="s">
        <v>822</v>
      </c>
      <c r="BV121" s="2" t="s">
        <v>233</v>
      </c>
      <c r="BW121" s="2" t="s">
        <v>233</v>
      </c>
      <c r="BX121" s="2" t="s">
        <v>241</v>
      </c>
      <c r="BY121" s="2" t="s">
        <v>242</v>
      </c>
      <c r="BZ121" s="2" t="s">
        <v>230</v>
      </c>
      <c r="CA121" s="2" t="s">
        <v>823</v>
      </c>
      <c r="CB121" s="2" t="s">
        <v>233</v>
      </c>
      <c r="CC121" s="2" t="s">
        <v>245</v>
      </c>
      <c r="CD121" s="2" t="s">
        <v>233</v>
      </c>
      <c r="CE121" s="4"/>
      <c r="CF121" s="4">
        <v>10</v>
      </c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>
        <v>100</v>
      </c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>
        <v>19</v>
      </c>
      <c r="GD121" s="4">
        <v>109</v>
      </c>
      <c r="GE121" s="4">
        <v>108</v>
      </c>
      <c r="GF121" s="4">
        <v>107</v>
      </c>
      <c r="GG121" s="4">
        <v>106</v>
      </c>
      <c r="GH121" s="4">
        <v>105</v>
      </c>
      <c r="GI121" s="4">
        <v>104</v>
      </c>
      <c r="GJ121" s="4">
        <v>102</v>
      </c>
      <c r="GK121" s="4">
        <v>99</v>
      </c>
      <c r="GL121" s="4">
        <v>96</v>
      </c>
      <c r="GM121" s="4">
        <v>93</v>
      </c>
      <c r="GN121" s="4">
        <v>90</v>
      </c>
      <c r="GO121" s="4">
        <v>87</v>
      </c>
      <c r="GP121" s="4">
        <v>84</v>
      </c>
      <c r="GQ121" s="4">
        <v>81</v>
      </c>
      <c r="GR121" s="4">
        <v>78</v>
      </c>
      <c r="GS121" s="4">
        <v>75</v>
      </c>
      <c r="GT121" s="4">
        <v>72</v>
      </c>
      <c r="GU121" s="4">
        <v>69</v>
      </c>
      <c r="GV121" s="4">
        <v>66</v>
      </c>
      <c r="GW121" s="4">
        <v>63</v>
      </c>
      <c r="GX121" s="4">
        <v>60</v>
      </c>
      <c r="GY121" s="4">
        <v>57</v>
      </c>
      <c r="GZ121" s="4">
        <v>54</v>
      </c>
      <c r="HA121" s="4">
        <v>51</v>
      </c>
      <c r="HB121" s="4">
        <v>48</v>
      </c>
      <c r="HC121" s="19">
        <v>6.3</v>
      </c>
      <c r="HD121" s="19">
        <v>109</v>
      </c>
      <c r="HE121" s="19">
        <v>108</v>
      </c>
      <c r="HF121" s="19">
        <v>107</v>
      </c>
      <c r="HG121" s="19">
        <v>53</v>
      </c>
      <c r="HH121" s="19">
        <v>52.5</v>
      </c>
      <c r="HI121" s="19">
        <v>34.7</v>
      </c>
      <c r="HJ121" s="19">
        <v>34</v>
      </c>
      <c r="HK121" s="19">
        <v>33</v>
      </c>
      <c r="HL121" s="19">
        <v>32</v>
      </c>
      <c r="HM121" s="19">
        <v>31</v>
      </c>
      <c r="HN121" s="19">
        <v>30</v>
      </c>
      <c r="HO121" s="19">
        <v>29</v>
      </c>
      <c r="HP121" s="19">
        <v>28</v>
      </c>
      <c r="HQ121" s="19">
        <v>27</v>
      </c>
      <c r="HR121" s="19">
        <v>26</v>
      </c>
      <c r="HS121" s="19">
        <v>25</v>
      </c>
      <c r="HT121" s="19">
        <v>24</v>
      </c>
      <c r="HU121" s="19">
        <v>23</v>
      </c>
      <c r="HV121" s="19">
        <v>22</v>
      </c>
      <c r="HW121" s="19">
        <v>21</v>
      </c>
      <c r="HX121" s="19">
        <v>20</v>
      </c>
      <c r="HY121" s="19">
        <v>19</v>
      </c>
      <c r="HZ121" s="19">
        <v>18</v>
      </c>
      <c r="IA121" s="19">
        <v>17</v>
      </c>
      <c r="IB121" s="19">
        <v>16</v>
      </c>
    </row>
    <row r="122">
      <c r="A122" s="2" t="s">
        <v>824</v>
      </c>
      <c r="B122" s="2" t="s">
        <v>825</v>
      </c>
      <c r="C122" s="2" t="s">
        <v>826</v>
      </c>
      <c r="D122" s="2" t="s">
        <v>774</v>
      </c>
      <c r="E122" s="2" t="s">
        <v>827</v>
      </c>
      <c r="F122" s="2" t="s">
        <v>828</v>
      </c>
      <c r="G122" s="2" t="s">
        <v>829</v>
      </c>
      <c r="H122" s="2" t="s">
        <v>830</v>
      </c>
      <c r="I122" s="2" t="s">
        <v>831</v>
      </c>
      <c r="J122" s="2" t="s">
        <v>247</v>
      </c>
      <c r="K122" s="2" t="s">
        <v>832</v>
      </c>
      <c r="L122" s="3">
        <v>21.15</v>
      </c>
      <c r="M122" s="3">
        <v>22.21</v>
      </c>
      <c r="N122" s="3">
        <v>44.99</v>
      </c>
      <c r="O122" s="2" t="s">
        <v>230</v>
      </c>
      <c r="P122" s="2" t="s">
        <v>231</v>
      </c>
      <c r="Q122" s="2" t="s">
        <v>232</v>
      </c>
      <c r="R122" s="2" t="s">
        <v>233</v>
      </c>
      <c r="S122" s="2" t="s">
        <v>833</v>
      </c>
      <c r="T122" s="2" t="s">
        <v>469</v>
      </c>
      <c r="U122" s="2" t="s">
        <v>781</v>
      </c>
      <c r="V122" s="2" t="s">
        <v>834</v>
      </c>
      <c r="W122" s="2" t="s">
        <v>237</v>
      </c>
      <c r="X122" s="2" t="s">
        <v>712</v>
      </c>
      <c r="Y122" s="2" t="s">
        <v>238</v>
      </c>
      <c r="Z122" s="4">
        <v>199</v>
      </c>
      <c r="AA122" s="4">
        <f>=ROUNDDOWN(49.75,0)</f>
      </c>
      <c r="AB122" s="5">
        <v>4</v>
      </c>
      <c r="AC122" s="2" t="s">
        <v>233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233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233</v>
      </c>
      <c r="AW122" s="8" t="s">
        <v>233</v>
      </c>
      <c r="AX122" s="4" t="s">
        <v>233</v>
      </c>
      <c r="AY122" s="8" t="s">
        <v>233</v>
      </c>
      <c r="AZ122" s="7" t="s">
        <v>233</v>
      </c>
      <c r="BA122" s="7" t="s">
        <v>233</v>
      </c>
      <c r="BB122" s="7"/>
      <c r="BC122" s="4" t="s">
        <v>233</v>
      </c>
      <c r="BD122" s="8" t="s">
        <v>233</v>
      </c>
      <c r="BE122" s="4" t="s">
        <v>233</v>
      </c>
      <c r="BF122" s="8" t="s">
        <v>233</v>
      </c>
      <c r="BG122" s="7" t="s">
        <v>233</v>
      </c>
      <c r="BH122" s="7" t="s">
        <v>233</v>
      </c>
      <c r="BI122" s="7"/>
      <c r="BJ122" s="4">
        <v>2</v>
      </c>
      <c r="BK122" s="8">
        <v>37.78</v>
      </c>
      <c r="BL122" s="2" t="s">
        <v>835</v>
      </c>
      <c r="BM122" s="7"/>
      <c r="BN122" s="7"/>
      <c r="BO122" s="4"/>
      <c r="BP122" s="8"/>
      <c r="BQ122" s="4"/>
      <c r="BR122" s="8"/>
      <c r="BS122" s="7"/>
      <c r="BT122" s="7"/>
      <c r="BU122" s="2" t="s">
        <v>836</v>
      </c>
      <c r="BV122" s="2" t="s">
        <v>233</v>
      </c>
      <c r="BW122" s="2" t="s">
        <v>233</v>
      </c>
      <c r="BX122" s="2" t="s">
        <v>241</v>
      </c>
      <c r="BY122" s="2" t="s">
        <v>242</v>
      </c>
      <c r="BZ122" s="2" t="s">
        <v>230</v>
      </c>
      <c r="CA122" s="2" t="s">
        <v>243</v>
      </c>
      <c r="CB122" s="2" t="s">
        <v>837</v>
      </c>
      <c r="CC122" s="2" t="s">
        <v>245</v>
      </c>
      <c r="CD122" s="2" t="s">
        <v>233</v>
      </c>
      <c r="CE122" s="4">
        <v>199</v>
      </c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>
        <v>199</v>
      </c>
      <c r="GD122" s="4">
        <v>193</v>
      </c>
      <c r="GE122" s="4">
        <v>188</v>
      </c>
      <c r="GF122" s="4">
        <v>183</v>
      </c>
      <c r="GG122" s="4">
        <v>176</v>
      </c>
      <c r="GH122" s="4">
        <v>169</v>
      </c>
      <c r="GI122" s="4">
        <v>162</v>
      </c>
      <c r="GJ122" s="4">
        <v>157</v>
      </c>
      <c r="GK122" s="4">
        <v>153</v>
      </c>
      <c r="GL122" s="4">
        <v>148</v>
      </c>
      <c r="GM122" s="4">
        <v>143</v>
      </c>
      <c r="GN122" s="4">
        <v>138</v>
      </c>
      <c r="GO122" s="4">
        <v>134</v>
      </c>
      <c r="GP122" s="4">
        <v>130</v>
      </c>
      <c r="GQ122" s="4">
        <v>126</v>
      </c>
      <c r="GR122" s="4">
        <v>121</v>
      </c>
      <c r="GS122" s="4">
        <v>116</v>
      </c>
      <c r="GT122" s="4">
        <v>111</v>
      </c>
      <c r="GU122" s="4">
        <v>106</v>
      </c>
      <c r="GV122" s="4">
        <v>102</v>
      </c>
      <c r="GW122" s="4">
        <v>98</v>
      </c>
      <c r="GX122" s="4">
        <v>94</v>
      </c>
      <c r="GY122" s="4">
        <v>90</v>
      </c>
      <c r="GZ122" s="4">
        <v>86</v>
      </c>
      <c r="HA122" s="4">
        <v>82</v>
      </c>
      <c r="HB122" s="4">
        <v>79</v>
      </c>
      <c r="HC122" s="19">
        <v>33.2</v>
      </c>
      <c r="HD122" s="19">
        <v>32.2</v>
      </c>
      <c r="HE122" s="19">
        <v>31.3</v>
      </c>
      <c r="HF122" s="19">
        <v>30.5</v>
      </c>
      <c r="HG122" s="19">
        <v>29.3</v>
      </c>
      <c r="HH122" s="19">
        <v>33.8</v>
      </c>
      <c r="HI122" s="19">
        <v>32.4</v>
      </c>
      <c r="HJ122" s="19">
        <v>31.4</v>
      </c>
      <c r="HK122" s="19">
        <v>30.6</v>
      </c>
      <c r="HL122" s="19">
        <v>37</v>
      </c>
      <c r="HM122" s="19">
        <v>35.8</v>
      </c>
      <c r="HN122" s="19">
        <v>34.5</v>
      </c>
      <c r="HO122" s="19">
        <v>33.5</v>
      </c>
      <c r="HP122" s="19">
        <v>26</v>
      </c>
      <c r="HQ122" s="19">
        <v>25.2</v>
      </c>
      <c r="HR122" s="19">
        <v>24.2</v>
      </c>
      <c r="HS122" s="19">
        <v>29</v>
      </c>
      <c r="HT122" s="19">
        <v>27.8</v>
      </c>
      <c r="HU122" s="19">
        <v>26.5</v>
      </c>
      <c r="HV122" s="19">
        <v>25.5</v>
      </c>
      <c r="HW122" s="19">
        <v>24.5</v>
      </c>
      <c r="HX122" s="19">
        <v>23.5</v>
      </c>
      <c r="HY122" s="19">
        <v>22.5</v>
      </c>
      <c r="HZ122" s="19">
        <v>28.7</v>
      </c>
      <c r="IA122" s="19">
        <v>27.3</v>
      </c>
      <c r="IB122" s="19">
        <v>19.8</v>
      </c>
    </row>
    <row r="123">
      <c r="A123" s="2" t="s">
        <v>838</v>
      </c>
      <c r="B123" s="2" t="s">
        <v>825</v>
      </c>
      <c r="C123" s="2" t="s">
        <v>826</v>
      </c>
      <c r="D123" s="2" t="s">
        <v>261</v>
      </c>
      <c r="E123" s="2" t="s">
        <v>603</v>
      </c>
      <c r="F123" s="2" t="s">
        <v>828</v>
      </c>
      <c r="G123" s="2" t="s">
        <v>829</v>
      </c>
      <c r="H123" s="2" t="s">
        <v>830</v>
      </c>
      <c r="I123" s="2" t="s">
        <v>839</v>
      </c>
      <c r="J123" s="2" t="s">
        <v>275</v>
      </c>
      <c r="K123" s="2" t="s">
        <v>832</v>
      </c>
      <c r="L123" s="3">
        <v>39</v>
      </c>
      <c r="M123" s="3">
        <v>40.95</v>
      </c>
      <c r="N123" s="3">
        <v>89.99</v>
      </c>
      <c r="O123" s="2" t="s">
        <v>230</v>
      </c>
      <c r="P123" s="2" t="s">
        <v>231</v>
      </c>
      <c r="Q123" s="2" t="s">
        <v>232</v>
      </c>
      <c r="R123" s="2" t="s">
        <v>233</v>
      </c>
      <c r="S123" s="2" t="s">
        <v>840</v>
      </c>
      <c r="T123" s="2" t="s">
        <v>469</v>
      </c>
      <c r="U123" s="2" t="s">
        <v>287</v>
      </c>
      <c r="V123" s="2" t="s">
        <v>834</v>
      </c>
      <c r="W123" s="2" t="s">
        <v>237</v>
      </c>
      <c r="X123" s="2" t="s">
        <v>712</v>
      </c>
      <c r="Y123" s="2" t="s">
        <v>841</v>
      </c>
      <c r="Z123" s="4">
        <v>553</v>
      </c>
      <c r="AA123" s="4">
        <f>=ROUNDDOWN(46.0833333333333,0)</f>
      </c>
      <c r="AB123" s="5">
        <v>12</v>
      </c>
      <c r="AC123" s="2" t="s">
        <v>233</v>
      </c>
      <c r="AD123" s="4"/>
      <c r="AE123" s="4"/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233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233</v>
      </c>
      <c r="AW123" s="8" t="s">
        <v>233</v>
      </c>
      <c r="AX123" s="4" t="s">
        <v>233</v>
      </c>
      <c r="AY123" s="8" t="s">
        <v>233</v>
      </c>
      <c r="AZ123" s="7" t="s">
        <v>233</v>
      </c>
      <c r="BA123" s="7" t="s">
        <v>233</v>
      </c>
      <c r="BB123" s="7"/>
      <c r="BC123" s="4" t="s">
        <v>233</v>
      </c>
      <c r="BD123" s="8" t="s">
        <v>233</v>
      </c>
      <c r="BE123" s="4" t="s">
        <v>233</v>
      </c>
      <c r="BF123" s="8" t="s">
        <v>233</v>
      </c>
      <c r="BG123" s="7" t="s">
        <v>233</v>
      </c>
      <c r="BH123" s="7" t="s">
        <v>233</v>
      </c>
      <c r="BI123" s="7"/>
      <c r="BJ123" s="4">
        <v>46</v>
      </c>
      <c r="BK123" s="8">
        <v>2129.46</v>
      </c>
      <c r="BL123" s="2" t="s">
        <v>842</v>
      </c>
      <c r="BM123" s="7"/>
      <c r="BN123" s="7"/>
      <c r="BO123" s="4"/>
      <c r="BP123" s="8"/>
      <c r="BQ123" s="4"/>
      <c r="BR123" s="8"/>
      <c r="BS123" s="7"/>
      <c r="BT123" s="7"/>
      <c r="BU123" s="2" t="s">
        <v>843</v>
      </c>
      <c r="BV123" s="2" t="s">
        <v>233</v>
      </c>
      <c r="BW123" s="2" t="s">
        <v>233</v>
      </c>
      <c r="BX123" s="2" t="s">
        <v>241</v>
      </c>
      <c r="BY123" s="2" t="s">
        <v>242</v>
      </c>
      <c r="BZ123" s="2" t="s">
        <v>230</v>
      </c>
      <c r="CA123" s="2" t="s">
        <v>844</v>
      </c>
      <c r="CB123" s="2" t="s">
        <v>845</v>
      </c>
      <c r="CC123" s="2" t="s">
        <v>245</v>
      </c>
      <c r="CD123" s="2" t="s">
        <v>233</v>
      </c>
      <c r="CE123" s="4">
        <v>553</v>
      </c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>
        <v>564</v>
      </c>
      <c r="GD123" s="4">
        <v>548</v>
      </c>
      <c r="GE123" s="4">
        <v>535</v>
      </c>
      <c r="GF123" s="4">
        <v>519</v>
      </c>
      <c r="GG123" s="4">
        <v>495</v>
      </c>
      <c r="GH123" s="4">
        <v>473</v>
      </c>
      <c r="GI123" s="4">
        <v>451</v>
      </c>
      <c r="GJ123" s="4">
        <v>436</v>
      </c>
      <c r="GK123" s="4">
        <v>429</v>
      </c>
      <c r="GL123" s="4">
        <v>416</v>
      </c>
      <c r="GM123" s="4">
        <v>404</v>
      </c>
      <c r="GN123" s="4">
        <v>392</v>
      </c>
      <c r="GO123" s="4">
        <v>380</v>
      </c>
      <c r="GP123" s="4">
        <v>368</v>
      </c>
      <c r="GQ123" s="4">
        <v>356</v>
      </c>
      <c r="GR123" s="4">
        <v>343</v>
      </c>
      <c r="GS123" s="4">
        <v>330</v>
      </c>
      <c r="GT123" s="4">
        <v>316</v>
      </c>
      <c r="GU123" s="4">
        <v>303</v>
      </c>
      <c r="GV123" s="4">
        <v>290</v>
      </c>
      <c r="GW123" s="4">
        <v>277</v>
      </c>
      <c r="GX123" s="4">
        <v>264</v>
      </c>
      <c r="GY123" s="4">
        <v>251</v>
      </c>
      <c r="GZ123" s="4">
        <v>237</v>
      </c>
      <c r="HA123" s="4">
        <v>223</v>
      </c>
      <c r="HB123" s="4">
        <v>209</v>
      </c>
      <c r="HC123" s="19">
        <v>33.2</v>
      </c>
      <c r="HD123" s="19">
        <v>28.8</v>
      </c>
      <c r="HE123" s="19">
        <v>25.5</v>
      </c>
      <c r="HF123" s="19">
        <v>24.7</v>
      </c>
      <c r="HG123" s="19">
        <v>30.9</v>
      </c>
      <c r="HH123" s="19">
        <v>33.8</v>
      </c>
      <c r="HI123" s="19">
        <v>37.6</v>
      </c>
      <c r="HJ123" s="19">
        <v>39.6</v>
      </c>
      <c r="HK123" s="19">
        <v>35.8</v>
      </c>
      <c r="HL123" s="19">
        <v>34.7</v>
      </c>
      <c r="HM123" s="19">
        <v>33.7</v>
      </c>
      <c r="HN123" s="19">
        <v>32.7</v>
      </c>
      <c r="HO123" s="19">
        <v>31.7</v>
      </c>
      <c r="HP123" s="19">
        <v>28.3</v>
      </c>
      <c r="HQ123" s="19">
        <v>27.4</v>
      </c>
      <c r="HR123" s="19">
        <v>26.4</v>
      </c>
      <c r="HS123" s="19">
        <v>25.4</v>
      </c>
      <c r="HT123" s="19">
        <v>24.3</v>
      </c>
      <c r="HU123" s="19">
        <v>23.3</v>
      </c>
      <c r="HV123" s="19">
        <v>22.3</v>
      </c>
      <c r="HW123" s="19">
        <v>19.8</v>
      </c>
      <c r="HX123" s="19">
        <v>18.9</v>
      </c>
      <c r="HY123" s="19">
        <v>17.9</v>
      </c>
      <c r="HZ123" s="19">
        <v>16.9</v>
      </c>
      <c r="IA123" s="19">
        <v>17.2</v>
      </c>
      <c r="IB123" s="19">
        <v>17.4</v>
      </c>
    </row>
    <row r="124">
      <c r="A124" s="2" t="s">
        <v>846</v>
      </c>
      <c r="B124" s="2" t="s">
        <v>847</v>
      </c>
      <c r="C124" s="2" t="s">
        <v>848</v>
      </c>
      <c r="D124" s="2" t="s">
        <v>849</v>
      </c>
      <c r="E124" s="2" t="s">
        <v>850</v>
      </c>
      <c r="F124" s="2" t="s">
        <v>851</v>
      </c>
      <c r="G124" s="2" t="s">
        <v>851</v>
      </c>
      <c r="H124" s="2" t="s">
        <v>851</v>
      </c>
      <c r="I124" s="2" t="s">
        <v>852</v>
      </c>
      <c r="J124" s="2" t="s">
        <v>853</v>
      </c>
      <c r="K124" s="2" t="s">
        <v>300</v>
      </c>
      <c r="L124" s="3">
        <v>26.14</v>
      </c>
      <c r="M124" s="3">
        <v>27.45</v>
      </c>
      <c r="N124" s="3">
        <v>57.99</v>
      </c>
      <c r="O124" s="2" t="s">
        <v>230</v>
      </c>
      <c r="P124" s="2" t="s">
        <v>231</v>
      </c>
      <c r="Q124" s="2" t="s">
        <v>232</v>
      </c>
      <c r="R124" s="2" t="s">
        <v>233</v>
      </c>
      <c r="S124" s="2" t="s">
        <v>233</v>
      </c>
      <c r="T124" s="2" t="s">
        <v>233</v>
      </c>
      <c r="U124" s="2" t="s">
        <v>329</v>
      </c>
      <c r="V124" s="2" t="s">
        <v>609</v>
      </c>
      <c r="W124" s="2" t="s">
        <v>237</v>
      </c>
      <c r="X124" s="2" t="s">
        <v>233</v>
      </c>
      <c r="Y124" s="2" t="s">
        <v>854</v>
      </c>
      <c r="Z124" s="4">
        <v>1209</v>
      </c>
      <c r="AA124" s="4">
        <f>=ROUNDDOWN(241.8,0)</f>
      </c>
      <c r="AB124" s="5">
        <v>5</v>
      </c>
      <c r="AC124" s="2" t="s">
        <v>233</v>
      </c>
      <c r="AD124" s="4"/>
      <c r="AE124" s="4"/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233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/>
      <c r="AW124" s="8"/>
      <c r="AX124" s="4"/>
      <c r="AY124" s="8"/>
      <c r="AZ124" s="7"/>
      <c r="BA124" s="7"/>
      <c r="BB124" s="7"/>
      <c r="BC124" s="4" t="s">
        <v>233</v>
      </c>
      <c r="BD124" s="8" t="s">
        <v>233</v>
      </c>
      <c r="BE124" s="4" t="s">
        <v>233</v>
      </c>
      <c r="BF124" s="8" t="s">
        <v>233</v>
      </c>
      <c r="BG124" s="7" t="s">
        <v>233</v>
      </c>
      <c r="BH124" s="7" t="s">
        <v>233</v>
      </c>
      <c r="BI124" s="7"/>
      <c r="BJ124" s="4">
        <v>70</v>
      </c>
      <c r="BK124" s="8">
        <v>2643.4</v>
      </c>
      <c r="BL124" s="2" t="s">
        <v>855</v>
      </c>
      <c r="BM124" s="7"/>
      <c r="BN124" s="7"/>
      <c r="BO124" s="4"/>
      <c r="BP124" s="8"/>
      <c r="BQ124" s="4"/>
      <c r="BR124" s="8"/>
      <c r="BS124" s="7"/>
      <c r="BT124" s="7"/>
      <c r="BU124" s="2" t="s">
        <v>856</v>
      </c>
      <c r="BV124" s="2" t="s">
        <v>233</v>
      </c>
      <c r="BW124" s="2" t="s">
        <v>233</v>
      </c>
      <c r="BX124" s="2" t="s">
        <v>241</v>
      </c>
      <c r="BY124" s="2" t="s">
        <v>242</v>
      </c>
      <c r="BZ124" s="2" t="s">
        <v>230</v>
      </c>
      <c r="CA124" s="2" t="s">
        <v>857</v>
      </c>
      <c r="CB124" s="2" t="s">
        <v>461</v>
      </c>
      <c r="CC124" s="2" t="s">
        <v>245</v>
      </c>
      <c r="CD124" s="2" t="s">
        <v>233</v>
      </c>
      <c r="CE124" s="4">
        <v>1209</v>
      </c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>
        <v>1221</v>
      </c>
      <c r="GD124" s="4">
        <v>1219</v>
      </c>
      <c r="GE124" s="4">
        <v>1216</v>
      </c>
      <c r="GF124" s="4">
        <v>1213</v>
      </c>
      <c r="GG124" s="4">
        <v>1209</v>
      </c>
      <c r="GH124" s="4">
        <v>1206</v>
      </c>
      <c r="GI124" s="4">
        <v>1202</v>
      </c>
      <c r="GJ124" s="4">
        <v>1198</v>
      </c>
      <c r="GK124" s="4">
        <v>1193</v>
      </c>
      <c r="GL124" s="4">
        <v>1188</v>
      </c>
      <c r="GM124" s="4">
        <v>1183</v>
      </c>
      <c r="GN124" s="4">
        <v>1178</v>
      </c>
      <c r="GO124" s="4">
        <v>1173</v>
      </c>
      <c r="GP124" s="4">
        <v>1168</v>
      </c>
      <c r="GQ124" s="4">
        <v>1163</v>
      </c>
      <c r="GR124" s="4">
        <v>1158</v>
      </c>
      <c r="GS124" s="4">
        <v>1153</v>
      </c>
      <c r="GT124" s="4">
        <v>1148</v>
      </c>
      <c r="GU124" s="4">
        <v>1143</v>
      </c>
      <c r="GV124" s="4">
        <v>1138</v>
      </c>
      <c r="GW124" s="4">
        <v>1133</v>
      </c>
      <c r="GX124" s="4">
        <v>1128</v>
      </c>
      <c r="GY124" s="4">
        <v>1123</v>
      </c>
      <c r="GZ124" s="4">
        <v>1118</v>
      </c>
      <c r="HA124" s="4">
        <v>1113</v>
      </c>
      <c r="HB124" s="4">
        <v>1108</v>
      </c>
      <c r="HC124" s="19">
        <v>407</v>
      </c>
      <c r="HD124" s="19">
        <v>406.3</v>
      </c>
      <c r="HE124" s="19">
        <v>304</v>
      </c>
      <c r="HF124" s="19">
        <v>303.3</v>
      </c>
      <c r="HG124" s="19">
        <v>302.3</v>
      </c>
      <c r="HH124" s="19">
        <v>301.5</v>
      </c>
      <c r="HI124" s="19">
        <v>240.4</v>
      </c>
      <c r="HJ124" s="19">
        <v>239.6</v>
      </c>
      <c r="HK124" s="19">
        <v>238.6</v>
      </c>
      <c r="HL124" s="19">
        <v>237.6</v>
      </c>
      <c r="HM124" s="19">
        <v>236.6</v>
      </c>
      <c r="HN124" s="19">
        <v>235.6</v>
      </c>
      <c r="HO124" s="19">
        <v>234.6</v>
      </c>
      <c r="HP124" s="19">
        <v>233.6</v>
      </c>
      <c r="HQ124" s="19">
        <v>232.6</v>
      </c>
      <c r="HR124" s="19">
        <v>231.6</v>
      </c>
      <c r="HS124" s="19">
        <v>230.6</v>
      </c>
      <c r="HT124" s="19">
        <v>229.6</v>
      </c>
      <c r="HU124" s="19">
        <v>228.6</v>
      </c>
      <c r="HV124" s="19">
        <v>227.6</v>
      </c>
      <c r="HW124" s="19">
        <v>226.6</v>
      </c>
      <c r="HX124" s="19">
        <v>225.6</v>
      </c>
      <c r="HY124" s="19">
        <v>224.6</v>
      </c>
      <c r="HZ124" s="19">
        <v>223.6</v>
      </c>
      <c r="IA124" s="19">
        <v>222.6</v>
      </c>
      <c r="IB124" s="19">
        <v>221.6</v>
      </c>
    </row>
    <row r="125">
      <c r="A125" s="2" t="s">
        <v>858</v>
      </c>
      <c r="B125" s="2" t="s">
        <v>847</v>
      </c>
      <c r="C125" s="2" t="s">
        <v>848</v>
      </c>
      <c r="D125" s="2" t="s">
        <v>849</v>
      </c>
      <c r="E125" s="2" t="s">
        <v>850</v>
      </c>
      <c r="F125" s="2" t="s">
        <v>851</v>
      </c>
      <c r="G125" s="2" t="s">
        <v>851</v>
      </c>
      <c r="H125" s="2" t="s">
        <v>851</v>
      </c>
      <c r="I125" s="2" t="s">
        <v>859</v>
      </c>
      <c r="J125" s="2" t="s">
        <v>860</v>
      </c>
      <c r="K125" s="2" t="s">
        <v>534</v>
      </c>
      <c r="L125" s="3">
        <v>22.49</v>
      </c>
      <c r="M125" s="3">
        <v>23.61</v>
      </c>
      <c r="N125" s="3">
        <v>49.99</v>
      </c>
      <c r="O125" s="2" t="s">
        <v>230</v>
      </c>
      <c r="P125" s="2" t="s">
        <v>231</v>
      </c>
      <c r="Q125" s="2" t="s">
        <v>232</v>
      </c>
      <c r="R125" s="2" t="s">
        <v>233</v>
      </c>
      <c r="S125" s="2" t="s">
        <v>233</v>
      </c>
      <c r="T125" s="2" t="s">
        <v>233</v>
      </c>
      <c r="U125" s="2" t="s">
        <v>329</v>
      </c>
      <c r="V125" s="2" t="s">
        <v>609</v>
      </c>
      <c r="W125" s="2" t="s">
        <v>237</v>
      </c>
      <c r="X125" s="2" t="s">
        <v>233</v>
      </c>
      <c r="Y125" s="2" t="s">
        <v>854</v>
      </c>
      <c r="Z125" s="4">
        <v>9</v>
      </c>
      <c r="AA125" s="4">
        <f>=ROUNDDOWN(3.6,0)</f>
      </c>
      <c r="AB125" s="5">
        <v>2.5</v>
      </c>
      <c r="AC125" s="2" t="s">
        <v>233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233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233</v>
      </c>
      <c r="AW125" s="8" t="s">
        <v>233</v>
      </c>
      <c r="AX125" s="4" t="s">
        <v>233</v>
      </c>
      <c r="AY125" s="8" t="s">
        <v>233</v>
      </c>
      <c r="AZ125" s="7" t="s">
        <v>233</v>
      </c>
      <c r="BA125" s="7" t="s">
        <v>233</v>
      </c>
      <c r="BB125" s="7"/>
      <c r="BC125" s="4" t="s">
        <v>233</v>
      </c>
      <c r="BD125" s="8" t="s">
        <v>233</v>
      </c>
      <c r="BE125" s="4" t="s">
        <v>233</v>
      </c>
      <c r="BF125" s="8" t="s">
        <v>233</v>
      </c>
      <c r="BG125" s="7" t="s">
        <v>233</v>
      </c>
      <c r="BH125" s="7" t="s">
        <v>233</v>
      </c>
      <c r="BI125" s="7"/>
      <c r="BJ125" s="4">
        <v>46</v>
      </c>
      <c r="BK125" s="8">
        <v>1461.54</v>
      </c>
      <c r="BL125" s="2" t="s">
        <v>861</v>
      </c>
      <c r="BM125" s="7"/>
      <c r="BN125" s="7"/>
      <c r="BO125" s="4"/>
      <c r="BP125" s="8"/>
      <c r="BQ125" s="4"/>
      <c r="BR125" s="8"/>
      <c r="BS125" s="7"/>
      <c r="BT125" s="7"/>
      <c r="BU125" s="2" t="s">
        <v>856</v>
      </c>
      <c r="BV125" s="2" t="s">
        <v>233</v>
      </c>
      <c r="BW125" s="2" t="s">
        <v>233</v>
      </c>
      <c r="BX125" s="2" t="s">
        <v>241</v>
      </c>
      <c r="BY125" s="2" t="s">
        <v>242</v>
      </c>
      <c r="BZ125" s="2" t="s">
        <v>230</v>
      </c>
      <c r="CA125" s="2" t="s">
        <v>857</v>
      </c>
      <c r="CB125" s="2" t="s">
        <v>233</v>
      </c>
      <c r="CC125" s="2" t="s">
        <v>245</v>
      </c>
      <c r="CD125" s="2" t="s">
        <v>233</v>
      </c>
      <c r="CE125" s="4">
        <v>9</v>
      </c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>
        <v>17</v>
      </c>
      <c r="GD125" s="4">
        <v>17</v>
      </c>
      <c r="GE125" s="4">
        <v>17</v>
      </c>
      <c r="GF125" s="4">
        <v>17</v>
      </c>
      <c r="GG125" s="4">
        <v>17</v>
      </c>
      <c r="GH125" s="4">
        <v>16</v>
      </c>
      <c r="GI125" s="4">
        <v>12</v>
      </c>
      <c r="GJ125" s="4">
        <v>8</v>
      </c>
      <c r="GK125" s="4">
        <v>5</v>
      </c>
      <c r="GL125" s="4">
        <v>2</v>
      </c>
      <c r="GM125" s="4"/>
      <c r="GN125" s="4"/>
      <c r="GO125" s="4"/>
      <c r="GP125" s="4"/>
      <c r="GQ125" s="4"/>
      <c r="GR125" s="4"/>
      <c r="GS125" s="4"/>
      <c r="GT125" s="4"/>
      <c r="GU125" s="4"/>
      <c r="GV125" s="4">
        <v>161</v>
      </c>
      <c r="GW125" s="4">
        <v>137</v>
      </c>
      <c r="GX125" s="4">
        <v>134</v>
      </c>
      <c r="GY125" s="4">
        <v>131</v>
      </c>
      <c r="GZ125" s="4">
        <v>128</v>
      </c>
      <c r="HA125" s="4">
        <v>125</v>
      </c>
      <c r="HB125" s="4">
        <v>122</v>
      </c>
      <c r="HC125" s="9"/>
      <c r="HD125" s="9"/>
      <c r="HE125" s="19">
        <v>17</v>
      </c>
      <c r="HF125" s="19">
        <v>8.5</v>
      </c>
      <c r="HG125" s="19">
        <v>5.7</v>
      </c>
      <c r="HH125" s="19">
        <v>4</v>
      </c>
      <c r="HI125" s="19">
        <v>4</v>
      </c>
      <c r="HJ125" s="19">
        <v>4</v>
      </c>
      <c r="HK125" s="19">
        <v>5</v>
      </c>
      <c r="HL125" s="20">
        <v>0</v>
      </c>
      <c r="HM125" s="9"/>
      <c r="HN125" s="9"/>
      <c r="HO125" s="9"/>
      <c r="HP125" s="9"/>
      <c r="HQ125" s="9"/>
      <c r="HR125" s="9"/>
      <c r="HS125" s="9"/>
      <c r="HT125" s="9"/>
      <c r="HU125" s="9"/>
      <c r="HV125" s="19">
        <v>20.1</v>
      </c>
      <c r="HW125" s="19">
        <v>45.7</v>
      </c>
      <c r="HX125" s="19">
        <v>44.7</v>
      </c>
      <c r="HY125" s="19">
        <v>43.7</v>
      </c>
      <c r="HZ125" s="19">
        <v>42.7</v>
      </c>
      <c r="IA125" s="19">
        <v>41.7</v>
      </c>
      <c r="IB125" s="19">
        <v>40.7</v>
      </c>
    </row>
    <row r="126">
      <c r="A126" s="2" t="s">
        <v>862</v>
      </c>
      <c r="B126" s="2" t="s">
        <v>847</v>
      </c>
      <c r="C126" s="2" t="s">
        <v>848</v>
      </c>
      <c r="D126" s="2" t="s">
        <v>849</v>
      </c>
      <c r="E126" s="2" t="s">
        <v>850</v>
      </c>
      <c r="F126" s="2" t="s">
        <v>851</v>
      </c>
      <c r="G126" s="2" t="s">
        <v>851</v>
      </c>
      <c r="H126" s="2" t="s">
        <v>851</v>
      </c>
      <c r="I126" s="2" t="s">
        <v>852</v>
      </c>
      <c r="J126" s="2" t="s">
        <v>853</v>
      </c>
      <c r="K126" s="2" t="s">
        <v>534</v>
      </c>
      <c r="L126" s="3">
        <v>26.14</v>
      </c>
      <c r="M126" s="3">
        <v>27.45</v>
      </c>
      <c r="N126" s="3">
        <v>57.99</v>
      </c>
      <c r="O126" s="2" t="s">
        <v>230</v>
      </c>
      <c r="P126" s="2" t="s">
        <v>231</v>
      </c>
      <c r="Q126" s="2" t="s">
        <v>232</v>
      </c>
      <c r="R126" s="2" t="s">
        <v>233</v>
      </c>
      <c r="S126" s="2" t="s">
        <v>233</v>
      </c>
      <c r="T126" s="2" t="s">
        <v>233</v>
      </c>
      <c r="U126" s="2" t="s">
        <v>329</v>
      </c>
      <c r="V126" s="2" t="s">
        <v>609</v>
      </c>
      <c r="W126" s="2" t="s">
        <v>237</v>
      </c>
      <c r="X126" s="2" t="s">
        <v>233</v>
      </c>
      <c r="Y126" s="2" t="s">
        <v>854</v>
      </c>
      <c r="Z126" s="4">
        <v>264</v>
      </c>
      <c r="AA126" s="4">
        <f>=ROUNDDOWN(88,0)</f>
      </c>
      <c r="AB126" s="5">
        <v>3</v>
      </c>
      <c r="AC126" s="2" t="s">
        <v>233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233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233</v>
      </c>
      <c r="AW126" s="8" t="s">
        <v>233</v>
      </c>
      <c r="AX126" s="4" t="s">
        <v>233</v>
      </c>
      <c r="AY126" s="8" t="s">
        <v>233</v>
      </c>
      <c r="AZ126" s="7" t="s">
        <v>233</v>
      </c>
      <c r="BA126" s="7" t="s">
        <v>233</v>
      </c>
      <c r="BB126" s="7"/>
      <c r="BC126" s="4" t="s">
        <v>233</v>
      </c>
      <c r="BD126" s="8" t="s">
        <v>233</v>
      </c>
      <c r="BE126" s="4" t="s">
        <v>233</v>
      </c>
      <c r="BF126" s="8" t="s">
        <v>233</v>
      </c>
      <c r="BG126" s="7" t="s">
        <v>233</v>
      </c>
      <c r="BH126" s="7" t="s">
        <v>233</v>
      </c>
      <c r="BI126" s="7"/>
      <c r="BJ126" s="4">
        <v>16</v>
      </c>
      <c r="BK126" s="8">
        <v>593</v>
      </c>
      <c r="BL126" s="2" t="s">
        <v>863</v>
      </c>
      <c r="BM126" s="7"/>
      <c r="BN126" s="7"/>
      <c r="BO126" s="4"/>
      <c r="BP126" s="8"/>
      <c r="BQ126" s="4"/>
      <c r="BR126" s="8"/>
      <c r="BS126" s="7"/>
      <c r="BT126" s="7"/>
      <c r="BU126" s="2" t="s">
        <v>856</v>
      </c>
      <c r="BV126" s="2" t="s">
        <v>233</v>
      </c>
      <c r="BW126" s="2" t="s">
        <v>233</v>
      </c>
      <c r="BX126" s="2" t="s">
        <v>241</v>
      </c>
      <c r="BY126" s="2" t="s">
        <v>242</v>
      </c>
      <c r="BZ126" s="2" t="s">
        <v>230</v>
      </c>
      <c r="CA126" s="2" t="s">
        <v>857</v>
      </c>
      <c r="CB126" s="2" t="s">
        <v>864</v>
      </c>
      <c r="CC126" s="2" t="s">
        <v>245</v>
      </c>
      <c r="CD126" s="2" t="s">
        <v>233</v>
      </c>
      <c r="CE126" s="4">
        <v>264</v>
      </c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>
        <v>264</v>
      </c>
      <c r="GD126" s="4">
        <v>263</v>
      </c>
      <c r="GE126" s="4">
        <v>262</v>
      </c>
      <c r="GF126" s="4">
        <v>261</v>
      </c>
      <c r="GG126" s="4">
        <v>259</v>
      </c>
      <c r="GH126" s="4">
        <v>256</v>
      </c>
      <c r="GI126" s="4">
        <v>252</v>
      </c>
      <c r="GJ126" s="4">
        <v>248</v>
      </c>
      <c r="GK126" s="4">
        <v>245</v>
      </c>
      <c r="GL126" s="4">
        <v>242</v>
      </c>
      <c r="GM126" s="4">
        <v>239</v>
      </c>
      <c r="GN126" s="4">
        <v>236</v>
      </c>
      <c r="GO126" s="4">
        <v>233</v>
      </c>
      <c r="GP126" s="4">
        <v>230</v>
      </c>
      <c r="GQ126" s="4">
        <v>227</v>
      </c>
      <c r="GR126" s="4">
        <v>224</v>
      </c>
      <c r="GS126" s="4">
        <v>221</v>
      </c>
      <c r="GT126" s="4">
        <v>218</v>
      </c>
      <c r="GU126" s="4">
        <v>215</v>
      </c>
      <c r="GV126" s="4">
        <v>212</v>
      </c>
      <c r="GW126" s="4">
        <v>209</v>
      </c>
      <c r="GX126" s="4">
        <v>206</v>
      </c>
      <c r="GY126" s="4">
        <v>203</v>
      </c>
      <c r="GZ126" s="4">
        <v>200</v>
      </c>
      <c r="HA126" s="4">
        <v>197</v>
      </c>
      <c r="HB126" s="4">
        <v>194</v>
      </c>
      <c r="HC126" s="19">
        <v>264</v>
      </c>
      <c r="HD126" s="19">
        <v>131.5</v>
      </c>
      <c r="HE126" s="19">
        <v>131</v>
      </c>
      <c r="HF126" s="19">
        <v>87</v>
      </c>
      <c r="HG126" s="19">
        <v>64.8</v>
      </c>
      <c r="HH126" s="19">
        <v>64</v>
      </c>
      <c r="HI126" s="19">
        <v>84</v>
      </c>
      <c r="HJ126" s="19">
        <v>82.7</v>
      </c>
      <c r="HK126" s="19">
        <v>81.7</v>
      </c>
      <c r="HL126" s="19">
        <v>80.7</v>
      </c>
      <c r="HM126" s="19">
        <v>79.7</v>
      </c>
      <c r="HN126" s="19">
        <v>78.7</v>
      </c>
      <c r="HO126" s="19">
        <v>77.7</v>
      </c>
      <c r="HP126" s="19">
        <v>76.7</v>
      </c>
      <c r="HQ126" s="19">
        <v>75.7</v>
      </c>
      <c r="HR126" s="19">
        <v>74.7</v>
      </c>
      <c r="HS126" s="19">
        <v>73.7</v>
      </c>
      <c r="HT126" s="19">
        <v>72.7</v>
      </c>
      <c r="HU126" s="19">
        <v>71.7</v>
      </c>
      <c r="HV126" s="19">
        <v>70.7</v>
      </c>
      <c r="HW126" s="19">
        <v>69.7</v>
      </c>
      <c r="HX126" s="19">
        <v>68.7</v>
      </c>
      <c r="HY126" s="19">
        <v>67.7</v>
      </c>
      <c r="HZ126" s="19">
        <v>66.7</v>
      </c>
      <c r="IA126" s="19">
        <v>65.7</v>
      </c>
      <c r="IB126" s="19">
        <v>64.7</v>
      </c>
    </row>
    <row r="127">
      <c r="A127" s="2" t="s">
        <v>865</v>
      </c>
      <c r="B127" s="2" t="s">
        <v>847</v>
      </c>
      <c r="C127" s="2" t="s">
        <v>848</v>
      </c>
      <c r="D127" s="2" t="s">
        <v>849</v>
      </c>
      <c r="E127" s="2" t="s">
        <v>850</v>
      </c>
      <c r="F127" s="2" t="s">
        <v>851</v>
      </c>
      <c r="G127" s="2" t="s">
        <v>851</v>
      </c>
      <c r="H127" s="2" t="s">
        <v>851</v>
      </c>
      <c r="I127" s="2" t="s">
        <v>866</v>
      </c>
      <c r="J127" s="2" t="s">
        <v>867</v>
      </c>
      <c r="K127" s="2" t="s">
        <v>534</v>
      </c>
      <c r="L127" s="3">
        <v>34.46</v>
      </c>
      <c r="M127" s="3">
        <v>36.18</v>
      </c>
      <c r="N127" s="3">
        <v>76.99</v>
      </c>
      <c r="O127" s="2" t="s">
        <v>230</v>
      </c>
      <c r="P127" s="2" t="s">
        <v>231</v>
      </c>
      <c r="Q127" s="2" t="s">
        <v>232</v>
      </c>
      <c r="R127" s="2" t="s">
        <v>233</v>
      </c>
      <c r="S127" s="2" t="s">
        <v>233</v>
      </c>
      <c r="T127" s="2" t="s">
        <v>233</v>
      </c>
      <c r="U127" s="2" t="s">
        <v>329</v>
      </c>
      <c r="V127" s="2" t="s">
        <v>609</v>
      </c>
      <c r="W127" s="2" t="s">
        <v>237</v>
      </c>
      <c r="X127" s="2" t="s">
        <v>233</v>
      </c>
      <c r="Y127" s="2" t="s">
        <v>854</v>
      </c>
      <c r="Z127" s="4">
        <v>352</v>
      </c>
      <c r="AA127" s="4">
        <f>=ROUNDDOWN(176,0)</f>
      </c>
      <c r="AB127" s="5">
        <v>2</v>
      </c>
      <c r="AC127" s="2" t="s">
        <v>233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233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233</v>
      </c>
      <c r="AW127" s="8" t="s">
        <v>233</v>
      </c>
      <c r="AX127" s="4" t="s">
        <v>233</v>
      </c>
      <c r="AY127" s="8" t="s">
        <v>233</v>
      </c>
      <c r="AZ127" s="7" t="s">
        <v>233</v>
      </c>
      <c r="BA127" s="7" t="s">
        <v>233</v>
      </c>
      <c r="BB127" s="7"/>
      <c r="BC127" s="4" t="s">
        <v>233</v>
      </c>
      <c r="BD127" s="8" t="s">
        <v>233</v>
      </c>
      <c r="BE127" s="4" t="s">
        <v>233</v>
      </c>
      <c r="BF127" s="8" t="s">
        <v>233</v>
      </c>
      <c r="BG127" s="7" t="s">
        <v>233</v>
      </c>
      <c r="BH127" s="7" t="s">
        <v>233</v>
      </c>
      <c r="BI127" s="7"/>
      <c r="BJ127" s="4">
        <v>9</v>
      </c>
      <c r="BK127" s="8">
        <v>413</v>
      </c>
      <c r="BL127" s="2" t="s">
        <v>868</v>
      </c>
      <c r="BM127" s="7"/>
      <c r="BN127" s="7"/>
      <c r="BO127" s="4"/>
      <c r="BP127" s="8"/>
      <c r="BQ127" s="4"/>
      <c r="BR127" s="8"/>
      <c r="BS127" s="7"/>
      <c r="BT127" s="7"/>
      <c r="BU127" s="2" t="s">
        <v>856</v>
      </c>
      <c r="BV127" s="2" t="s">
        <v>233</v>
      </c>
      <c r="BW127" s="2" t="s">
        <v>233</v>
      </c>
      <c r="BX127" s="2" t="s">
        <v>241</v>
      </c>
      <c r="BY127" s="2" t="s">
        <v>242</v>
      </c>
      <c r="BZ127" s="2" t="s">
        <v>230</v>
      </c>
      <c r="CA127" s="2" t="s">
        <v>857</v>
      </c>
      <c r="CB127" s="2" t="s">
        <v>440</v>
      </c>
      <c r="CC127" s="2" t="s">
        <v>245</v>
      </c>
      <c r="CD127" s="2" t="s">
        <v>233</v>
      </c>
      <c r="CE127" s="4">
        <v>352</v>
      </c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>
        <v>360</v>
      </c>
      <c r="GD127" s="4">
        <v>355</v>
      </c>
      <c r="GE127" s="4">
        <v>354</v>
      </c>
      <c r="GF127" s="4">
        <v>353</v>
      </c>
      <c r="GG127" s="4">
        <v>351</v>
      </c>
      <c r="GH127" s="4">
        <v>349</v>
      </c>
      <c r="GI127" s="4">
        <v>347</v>
      </c>
      <c r="GJ127" s="4">
        <v>337</v>
      </c>
      <c r="GK127" s="4">
        <v>336</v>
      </c>
      <c r="GL127" s="4">
        <v>335</v>
      </c>
      <c r="GM127" s="4">
        <v>334</v>
      </c>
      <c r="GN127" s="4">
        <v>333</v>
      </c>
      <c r="GO127" s="4">
        <v>332</v>
      </c>
      <c r="GP127" s="4">
        <v>331</v>
      </c>
      <c r="GQ127" s="4">
        <v>330</v>
      </c>
      <c r="GR127" s="4">
        <v>329</v>
      </c>
      <c r="GS127" s="4">
        <v>328</v>
      </c>
      <c r="GT127" s="4">
        <v>327</v>
      </c>
      <c r="GU127" s="4">
        <v>326</v>
      </c>
      <c r="GV127" s="4">
        <v>325</v>
      </c>
      <c r="GW127" s="4">
        <v>324</v>
      </c>
      <c r="GX127" s="4">
        <v>323</v>
      </c>
      <c r="GY127" s="4">
        <v>322</v>
      </c>
      <c r="GZ127" s="4">
        <v>320</v>
      </c>
      <c r="HA127" s="4">
        <v>318</v>
      </c>
      <c r="HB127" s="4">
        <v>316</v>
      </c>
      <c r="HC127" s="19">
        <v>180</v>
      </c>
      <c r="HD127" s="19">
        <v>177.5</v>
      </c>
      <c r="HE127" s="19">
        <v>177</v>
      </c>
      <c r="HF127" s="19">
        <v>88.3</v>
      </c>
      <c r="HG127" s="19">
        <v>87.8</v>
      </c>
      <c r="HH127" s="19">
        <v>87.3</v>
      </c>
      <c r="HI127" s="19">
        <v>115.7</v>
      </c>
      <c r="HJ127" s="19">
        <v>337</v>
      </c>
      <c r="HK127" s="19">
        <v>336</v>
      </c>
      <c r="HL127" s="19">
        <v>335</v>
      </c>
      <c r="HM127" s="19">
        <v>334</v>
      </c>
      <c r="HN127" s="19">
        <v>333</v>
      </c>
      <c r="HO127" s="19">
        <v>332</v>
      </c>
      <c r="HP127" s="19">
        <v>331</v>
      </c>
      <c r="HQ127" s="19">
        <v>330</v>
      </c>
      <c r="HR127" s="19">
        <v>329</v>
      </c>
      <c r="HS127" s="19">
        <v>328</v>
      </c>
      <c r="HT127" s="19">
        <v>327</v>
      </c>
      <c r="HU127" s="19">
        <v>326</v>
      </c>
      <c r="HV127" s="19">
        <v>325</v>
      </c>
      <c r="HW127" s="19">
        <v>162</v>
      </c>
      <c r="HX127" s="19">
        <v>161.5</v>
      </c>
      <c r="HY127" s="19">
        <v>161</v>
      </c>
      <c r="HZ127" s="19">
        <v>160</v>
      </c>
      <c r="IA127" s="19">
        <v>159</v>
      </c>
      <c r="IB127" s="19">
        <v>158</v>
      </c>
    </row>
    <row r="128">
      <c r="A128" s="2" t="s">
        <v>869</v>
      </c>
      <c r="B128" s="2" t="s">
        <v>847</v>
      </c>
      <c r="C128" s="2" t="s">
        <v>848</v>
      </c>
      <c r="D128" s="2" t="s">
        <v>849</v>
      </c>
      <c r="E128" s="2" t="s">
        <v>850</v>
      </c>
      <c r="F128" s="2" t="s">
        <v>851</v>
      </c>
      <c r="G128" s="2" t="s">
        <v>851</v>
      </c>
      <c r="H128" s="2" t="s">
        <v>851</v>
      </c>
      <c r="I128" s="2" t="s">
        <v>859</v>
      </c>
      <c r="J128" s="2" t="s">
        <v>860</v>
      </c>
      <c r="K128" s="2" t="s">
        <v>870</v>
      </c>
      <c r="L128" s="3">
        <v>22.49</v>
      </c>
      <c r="M128" s="3">
        <v>23.61</v>
      </c>
      <c r="N128" s="3">
        <v>49.99</v>
      </c>
      <c r="O128" s="2" t="s">
        <v>230</v>
      </c>
      <c r="P128" s="2" t="s">
        <v>231</v>
      </c>
      <c r="Q128" s="2" t="s">
        <v>232</v>
      </c>
      <c r="R128" s="2" t="s">
        <v>233</v>
      </c>
      <c r="S128" s="2" t="s">
        <v>233</v>
      </c>
      <c r="T128" s="2" t="s">
        <v>233</v>
      </c>
      <c r="U128" s="2" t="s">
        <v>329</v>
      </c>
      <c r="V128" s="2" t="s">
        <v>609</v>
      </c>
      <c r="W128" s="2" t="s">
        <v>237</v>
      </c>
      <c r="X128" s="2" t="s">
        <v>233</v>
      </c>
      <c r="Y128" s="2" t="s">
        <v>854</v>
      </c>
      <c r="Z128" s="4">
        <v>120</v>
      </c>
      <c r="AA128" s="4">
        <f>=ROUNDDOWN(66.6666666666667,0)</f>
      </c>
      <c r="AB128" s="5">
        <v>1.8</v>
      </c>
      <c r="AC128" s="2" t="s">
        <v>233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233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/>
      <c r="AW128" s="8"/>
      <c r="AX128" s="4"/>
      <c r="AY128" s="8"/>
      <c r="AZ128" s="7"/>
      <c r="BA128" s="7"/>
      <c r="BB128" s="7"/>
      <c r="BC128" s="4" t="s">
        <v>233</v>
      </c>
      <c r="BD128" s="8" t="s">
        <v>233</v>
      </c>
      <c r="BE128" s="4" t="s">
        <v>233</v>
      </c>
      <c r="BF128" s="8" t="s">
        <v>233</v>
      </c>
      <c r="BG128" s="7" t="s">
        <v>233</v>
      </c>
      <c r="BH128" s="7" t="s">
        <v>233</v>
      </c>
      <c r="BI128" s="7"/>
      <c r="BJ128" s="4">
        <v>13</v>
      </c>
      <c r="BK128" s="8">
        <v>432.68</v>
      </c>
      <c r="BL128" s="2" t="s">
        <v>863</v>
      </c>
      <c r="BM128" s="7"/>
      <c r="BN128" s="7"/>
      <c r="BO128" s="4"/>
      <c r="BP128" s="8"/>
      <c r="BQ128" s="4"/>
      <c r="BR128" s="8"/>
      <c r="BS128" s="7"/>
      <c r="BT128" s="7"/>
      <c r="BU128" s="2" t="s">
        <v>856</v>
      </c>
      <c r="BV128" s="2" t="s">
        <v>233</v>
      </c>
      <c r="BW128" s="2" t="s">
        <v>233</v>
      </c>
      <c r="BX128" s="2" t="s">
        <v>241</v>
      </c>
      <c r="BY128" s="2" t="s">
        <v>242</v>
      </c>
      <c r="BZ128" s="2" t="s">
        <v>230</v>
      </c>
      <c r="CA128" s="2" t="s">
        <v>857</v>
      </c>
      <c r="CB128" s="2" t="s">
        <v>447</v>
      </c>
      <c r="CC128" s="2" t="s">
        <v>245</v>
      </c>
      <c r="CD128" s="2" t="s">
        <v>233</v>
      </c>
      <c r="CE128" s="4">
        <v>120</v>
      </c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>
        <v>132</v>
      </c>
      <c r="GD128" s="4">
        <v>126</v>
      </c>
      <c r="GE128" s="4">
        <v>126</v>
      </c>
      <c r="GF128" s="4">
        <v>124</v>
      </c>
      <c r="GG128" s="4">
        <v>122</v>
      </c>
      <c r="GH128" s="4">
        <v>120</v>
      </c>
      <c r="GI128" s="4">
        <v>118</v>
      </c>
      <c r="GJ128" s="4">
        <v>116</v>
      </c>
      <c r="GK128" s="4">
        <v>114</v>
      </c>
      <c r="GL128" s="4">
        <v>112</v>
      </c>
      <c r="GM128" s="4">
        <v>110</v>
      </c>
      <c r="GN128" s="4">
        <v>108</v>
      </c>
      <c r="GO128" s="4">
        <v>106</v>
      </c>
      <c r="GP128" s="4">
        <v>104</v>
      </c>
      <c r="GQ128" s="4">
        <v>102</v>
      </c>
      <c r="GR128" s="4">
        <v>100</v>
      </c>
      <c r="GS128" s="4">
        <v>98</v>
      </c>
      <c r="GT128" s="4">
        <v>96</v>
      </c>
      <c r="GU128" s="4">
        <v>94</v>
      </c>
      <c r="GV128" s="4">
        <v>92</v>
      </c>
      <c r="GW128" s="4">
        <v>90</v>
      </c>
      <c r="GX128" s="4">
        <v>88</v>
      </c>
      <c r="GY128" s="4">
        <v>86</v>
      </c>
      <c r="GZ128" s="4">
        <v>84</v>
      </c>
      <c r="HA128" s="4">
        <v>82</v>
      </c>
      <c r="HB128" s="4">
        <v>80</v>
      </c>
      <c r="HC128" s="19">
        <v>66</v>
      </c>
      <c r="HD128" s="19">
        <v>63</v>
      </c>
      <c r="HE128" s="19">
        <v>63</v>
      </c>
      <c r="HF128" s="19">
        <v>62</v>
      </c>
      <c r="HG128" s="19">
        <v>61</v>
      </c>
      <c r="HH128" s="19">
        <v>60</v>
      </c>
      <c r="HI128" s="19">
        <v>59</v>
      </c>
      <c r="HJ128" s="19">
        <v>58</v>
      </c>
      <c r="HK128" s="19">
        <v>57</v>
      </c>
      <c r="HL128" s="19">
        <v>56</v>
      </c>
      <c r="HM128" s="19">
        <v>55</v>
      </c>
      <c r="HN128" s="19">
        <v>54</v>
      </c>
      <c r="HO128" s="19">
        <v>53</v>
      </c>
      <c r="HP128" s="19">
        <v>52</v>
      </c>
      <c r="HQ128" s="19">
        <v>51</v>
      </c>
      <c r="HR128" s="19">
        <v>50</v>
      </c>
      <c r="HS128" s="19">
        <v>49</v>
      </c>
      <c r="HT128" s="19">
        <v>48</v>
      </c>
      <c r="HU128" s="19">
        <v>47</v>
      </c>
      <c r="HV128" s="19">
        <v>46</v>
      </c>
      <c r="HW128" s="19">
        <v>45</v>
      </c>
      <c r="HX128" s="19">
        <v>44</v>
      </c>
      <c r="HY128" s="19">
        <v>43</v>
      </c>
      <c r="HZ128" s="19">
        <v>42</v>
      </c>
      <c r="IA128" s="19">
        <v>41</v>
      </c>
      <c r="IB128" s="19">
        <v>40</v>
      </c>
    </row>
    <row r="129">
      <c r="A129" s="2" t="s">
        <v>871</v>
      </c>
      <c r="B129" s="2" t="s">
        <v>872</v>
      </c>
      <c r="C129" s="2" t="s">
        <v>762</v>
      </c>
      <c r="D129" s="2" t="s">
        <v>774</v>
      </c>
      <c r="E129" s="2" t="s">
        <v>775</v>
      </c>
      <c r="F129" s="2" t="s">
        <v>873</v>
      </c>
      <c r="G129" s="2" t="s">
        <v>873</v>
      </c>
      <c r="H129" s="2" t="s">
        <v>873</v>
      </c>
      <c r="I129" s="2" t="s">
        <v>874</v>
      </c>
      <c r="J129" s="2" t="s">
        <v>275</v>
      </c>
      <c r="K129" s="2" t="s">
        <v>434</v>
      </c>
      <c r="L129" s="3">
        <v>58.5</v>
      </c>
      <c r="M129" s="3">
        <v>61.42</v>
      </c>
      <c r="N129" s="3">
        <v>119.99</v>
      </c>
      <c r="O129" s="2" t="s">
        <v>230</v>
      </c>
      <c r="P129" s="2" t="s">
        <v>231</v>
      </c>
      <c r="Q129" s="2" t="s">
        <v>232</v>
      </c>
      <c r="R129" s="2" t="s">
        <v>233</v>
      </c>
      <c r="S129" s="2" t="s">
        <v>875</v>
      </c>
      <c r="T129" s="2" t="s">
        <v>348</v>
      </c>
      <c r="U129" s="2" t="s">
        <v>781</v>
      </c>
      <c r="V129" s="2" t="s">
        <v>876</v>
      </c>
      <c r="W129" s="2" t="s">
        <v>877</v>
      </c>
      <c r="X129" s="2" t="s">
        <v>878</v>
      </c>
      <c r="Y129" s="2" t="s">
        <v>238</v>
      </c>
      <c r="Z129" s="4">
        <v>118</v>
      </c>
      <c r="AA129" s="4">
        <f>=ROUNDDOWN(59,0)</f>
      </c>
      <c r="AB129" s="5">
        <v>2</v>
      </c>
      <c r="AC129" s="2" t="s">
        <v>233</v>
      </c>
      <c r="AD129" s="4"/>
      <c r="AE129" s="4"/>
      <c r="AF129" s="6">
        <v>65</v>
      </c>
      <c r="AG129" s="6">
        <v>73</v>
      </c>
      <c r="AH129" s="7">
        <v>1</v>
      </c>
      <c r="AI129" s="4"/>
      <c r="AJ129" s="4">
        <f>=ROUNDDOWN({0},0)</f>
      </c>
      <c r="AK129" s="5"/>
      <c r="AL129" s="2" t="s">
        <v>233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/>
      <c r="AW129" s="8"/>
      <c r="AX129" s="4"/>
      <c r="AY129" s="8"/>
      <c r="AZ129" s="7"/>
      <c r="BA129" s="7"/>
      <c r="BB129" s="7"/>
      <c r="BC129" s="4" t="s">
        <v>233</v>
      </c>
      <c r="BD129" s="8" t="s">
        <v>233</v>
      </c>
      <c r="BE129" s="4" t="s">
        <v>233</v>
      </c>
      <c r="BF129" s="8" t="s">
        <v>233</v>
      </c>
      <c r="BG129" s="7" t="s">
        <v>233</v>
      </c>
      <c r="BH129" s="7" t="s">
        <v>233</v>
      </c>
      <c r="BI129" s="7"/>
      <c r="BJ129" s="4">
        <v>10</v>
      </c>
      <c r="BK129" s="8">
        <v>629.58</v>
      </c>
      <c r="BL129" s="2" t="s">
        <v>879</v>
      </c>
      <c r="BM129" s="7"/>
      <c r="BN129" s="7"/>
      <c r="BO129" s="4"/>
      <c r="BP129" s="8"/>
      <c r="BQ129" s="4"/>
      <c r="BR129" s="8"/>
      <c r="BS129" s="7"/>
      <c r="BT129" s="7"/>
      <c r="BU129" s="2" t="s">
        <v>880</v>
      </c>
      <c r="BV129" s="2" t="s">
        <v>233</v>
      </c>
      <c r="BW129" s="2" t="s">
        <v>233</v>
      </c>
      <c r="BX129" s="2" t="s">
        <v>241</v>
      </c>
      <c r="BY129" s="2" t="s">
        <v>242</v>
      </c>
      <c r="BZ129" s="2" t="s">
        <v>230</v>
      </c>
      <c r="CA129" s="2" t="s">
        <v>881</v>
      </c>
      <c r="CB129" s="2" t="s">
        <v>882</v>
      </c>
      <c r="CC129" s="2" t="s">
        <v>245</v>
      </c>
      <c r="CD129" s="2" t="s">
        <v>233</v>
      </c>
      <c r="CE129" s="4">
        <v>77</v>
      </c>
      <c r="CF129" s="4">
        <v>30</v>
      </c>
      <c r="CG129" s="4"/>
      <c r="CH129" s="4">
        <v>11</v>
      </c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>
        <v>120</v>
      </c>
      <c r="GD129" s="4">
        <v>116</v>
      </c>
      <c r="GE129" s="4">
        <v>112</v>
      </c>
      <c r="GF129" s="4">
        <v>108</v>
      </c>
      <c r="GG129" s="4">
        <v>100</v>
      </c>
      <c r="GH129" s="4">
        <v>96</v>
      </c>
      <c r="GI129" s="4">
        <v>92</v>
      </c>
      <c r="GJ129" s="4">
        <v>90</v>
      </c>
      <c r="GK129" s="4">
        <v>88</v>
      </c>
      <c r="GL129" s="4">
        <v>86</v>
      </c>
      <c r="GM129" s="4">
        <v>84</v>
      </c>
      <c r="GN129" s="4">
        <v>82</v>
      </c>
      <c r="GO129" s="4">
        <v>80</v>
      </c>
      <c r="GP129" s="4">
        <v>78</v>
      </c>
      <c r="GQ129" s="4">
        <v>76</v>
      </c>
      <c r="GR129" s="4">
        <v>74</v>
      </c>
      <c r="GS129" s="4">
        <v>72</v>
      </c>
      <c r="GT129" s="4">
        <v>70</v>
      </c>
      <c r="GU129" s="4">
        <v>68</v>
      </c>
      <c r="GV129" s="4">
        <v>66</v>
      </c>
      <c r="GW129" s="4">
        <v>64</v>
      </c>
      <c r="GX129" s="4">
        <v>62</v>
      </c>
      <c r="GY129" s="4">
        <v>60</v>
      </c>
      <c r="GZ129" s="4">
        <v>58</v>
      </c>
      <c r="HA129" s="4">
        <v>56</v>
      </c>
      <c r="HB129" s="4">
        <v>54</v>
      </c>
      <c r="HC129" s="19">
        <v>30</v>
      </c>
      <c r="HD129" s="19">
        <v>29</v>
      </c>
      <c r="HE129" s="19">
        <v>19.4</v>
      </c>
      <c r="HF129" s="19">
        <v>18.5</v>
      </c>
      <c r="HG129" s="19">
        <v>24.5</v>
      </c>
      <c r="HH129" s="19">
        <v>24</v>
      </c>
      <c r="HI129" s="19">
        <v>23</v>
      </c>
      <c r="HJ129" s="19">
        <v>22.5</v>
      </c>
      <c r="HK129" s="19">
        <v>22</v>
      </c>
      <c r="HL129" s="19">
        <v>21.5</v>
      </c>
      <c r="HM129" s="19">
        <v>21</v>
      </c>
      <c r="HN129" s="19">
        <v>20.5</v>
      </c>
      <c r="HO129" s="19">
        <v>20</v>
      </c>
      <c r="HP129" s="19">
        <v>19.5</v>
      </c>
      <c r="HQ129" s="19">
        <v>19</v>
      </c>
      <c r="HR129" s="19">
        <v>18.5</v>
      </c>
      <c r="HS129" s="19">
        <v>18</v>
      </c>
      <c r="HT129" s="19">
        <v>17.5</v>
      </c>
      <c r="HU129" s="19">
        <v>17</v>
      </c>
      <c r="HV129" s="19">
        <v>16.5</v>
      </c>
      <c r="HW129" s="19">
        <v>16</v>
      </c>
      <c r="HX129" s="19">
        <v>15.5</v>
      </c>
      <c r="HY129" s="19">
        <v>15</v>
      </c>
      <c r="HZ129" s="19">
        <v>14.5</v>
      </c>
      <c r="IA129" s="19">
        <v>14</v>
      </c>
      <c r="IB129" s="19">
        <v>13.5</v>
      </c>
    </row>
    <row r="130">
      <c r="A130" s="2" t="s">
        <v>883</v>
      </c>
      <c r="B130" s="2" t="s">
        <v>872</v>
      </c>
      <c r="C130" s="2" t="s">
        <v>762</v>
      </c>
      <c r="D130" s="2" t="s">
        <v>884</v>
      </c>
      <c r="E130" s="2" t="s">
        <v>885</v>
      </c>
      <c r="F130" s="2" t="s">
        <v>873</v>
      </c>
      <c r="G130" s="2" t="s">
        <v>873</v>
      </c>
      <c r="H130" s="2" t="s">
        <v>873</v>
      </c>
      <c r="I130" s="2" t="s">
        <v>886</v>
      </c>
      <c r="J130" s="2" t="s">
        <v>265</v>
      </c>
      <c r="K130" s="2" t="s">
        <v>870</v>
      </c>
      <c r="L130" s="3">
        <v>52.8</v>
      </c>
      <c r="M130" s="3">
        <v>55.43</v>
      </c>
      <c r="N130" s="3">
        <v>109.99</v>
      </c>
      <c r="O130" s="2" t="s">
        <v>230</v>
      </c>
      <c r="P130" s="2" t="s">
        <v>231</v>
      </c>
      <c r="Q130" s="2" t="s">
        <v>232</v>
      </c>
      <c r="R130" s="2" t="s">
        <v>233</v>
      </c>
      <c r="S130" s="2" t="s">
        <v>887</v>
      </c>
      <c r="T130" s="2" t="s">
        <v>348</v>
      </c>
      <c r="U130" s="2" t="s">
        <v>781</v>
      </c>
      <c r="V130" s="2" t="s">
        <v>876</v>
      </c>
      <c r="W130" s="2" t="s">
        <v>877</v>
      </c>
      <c r="X130" s="2" t="s">
        <v>888</v>
      </c>
      <c r="Y130" s="2" t="s">
        <v>889</v>
      </c>
      <c r="Z130" s="4">
        <v>251</v>
      </c>
      <c r="AA130" s="4">
        <f>=ROUNDDOWN(35.8571428571429,0)</f>
      </c>
      <c r="AB130" s="5">
        <v>7</v>
      </c>
      <c r="AC130" s="2" t="s">
        <v>173</v>
      </c>
      <c r="AD130" s="4">
        <v>40</v>
      </c>
      <c r="AE130" s="4">
        <v>40</v>
      </c>
      <c r="AF130" s="6">
        <v>65</v>
      </c>
      <c r="AG130" s="6">
        <v>73</v>
      </c>
      <c r="AH130" s="7">
        <v>1</v>
      </c>
      <c r="AI130" s="4"/>
      <c r="AJ130" s="4">
        <f>=ROUNDDOWN({0},0)</f>
      </c>
      <c r="AK130" s="5"/>
      <c r="AL130" s="2" t="s">
        <v>233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233</v>
      </c>
      <c r="AW130" s="8" t="s">
        <v>233</v>
      </c>
      <c r="AX130" s="4" t="s">
        <v>233</v>
      </c>
      <c r="AY130" s="8" t="s">
        <v>233</v>
      </c>
      <c r="AZ130" s="7" t="s">
        <v>233</v>
      </c>
      <c r="BA130" s="7" t="s">
        <v>233</v>
      </c>
      <c r="BB130" s="7"/>
      <c r="BC130" s="4" t="s">
        <v>233</v>
      </c>
      <c r="BD130" s="8" t="s">
        <v>233</v>
      </c>
      <c r="BE130" s="4" t="s">
        <v>233</v>
      </c>
      <c r="BF130" s="8" t="s">
        <v>233</v>
      </c>
      <c r="BG130" s="7" t="s">
        <v>233</v>
      </c>
      <c r="BH130" s="7" t="s">
        <v>233</v>
      </c>
      <c r="BI130" s="7"/>
      <c r="BJ130" s="4">
        <v>31</v>
      </c>
      <c r="BK130" s="8">
        <v>1736.92</v>
      </c>
      <c r="BL130" s="2" t="s">
        <v>890</v>
      </c>
      <c r="BM130" s="7"/>
      <c r="BN130" s="7"/>
      <c r="BO130" s="4"/>
      <c r="BP130" s="8"/>
      <c r="BQ130" s="4"/>
      <c r="BR130" s="8"/>
      <c r="BS130" s="7"/>
      <c r="BT130" s="7"/>
      <c r="BU130" s="2" t="s">
        <v>891</v>
      </c>
      <c r="BV130" s="2" t="s">
        <v>233</v>
      </c>
      <c r="BW130" s="2" t="s">
        <v>233</v>
      </c>
      <c r="BX130" s="2" t="s">
        <v>241</v>
      </c>
      <c r="BY130" s="2" t="s">
        <v>242</v>
      </c>
      <c r="BZ130" s="2" t="s">
        <v>230</v>
      </c>
      <c r="CA130" s="2" t="s">
        <v>892</v>
      </c>
      <c r="CB130" s="2" t="s">
        <v>893</v>
      </c>
      <c r="CC130" s="2" t="s">
        <v>245</v>
      </c>
      <c r="CD130" s="2" t="s">
        <v>233</v>
      </c>
      <c r="CE130" s="4">
        <v>222</v>
      </c>
      <c r="CF130" s="4"/>
      <c r="CG130" s="4"/>
      <c r="CH130" s="4">
        <v>29</v>
      </c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>
        <v>40</v>
      </c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>
        <v>252</v>
      </c>
      <c r="GD130" s="4">
        <v>245</v>
      </c>
      <c r="GE130" s="4">
        <v>237</v>
      </c>
      <c r="GF130" s="4">
        <v>228</v>
      </c>
      <c r="GG130" s="4">
        <v>210</v>
      </c>
      <c r="GH130" s="4">
        <v>202</v>
      </c>
      <c r="GI130" s="4">
        <v>194</v>
      </c>
      <c r="GJ130" s="4">
        <v>188</v>
      </c>
      <c r="GK130" s="4">
        <v>223</v>
      </c>
      <c r="GL130" s="4">
        <v>215</v>
      </c>
      <c r="GM130" s="4">
        <v>208</v>
      </c>
      <c r="GN130" s="4">
        <v>201</v>
      </c>
      <c r="GO130" s="4">
        <v>194</v>
      </c>
      <c r="GP130" s="4">
        <v>187</v>
      </c>
      <c r="GQ130" s="4">
        <v>180</v>
      </c>
      <c r="GR130" s="4">
        <v>173</v>
      </c>
      <c r="GS130" s="4">
        <v>166</v>
      </c>
      <c r="GT130" s="4">
        <v>158</v>
      </c>
      <c r="GU130" s="4">
        <v>151</v>
      </c>
      <c r="GV130" s="4">
        <v>144</v>
      </c>
      <c r="GW130" s="4">
        <v>137</v>
      </c>
      <c r="GX130" s="4">
        <v>130</v>
      </c>
      <c r="GY130" s="4">
        <v>123</v>
      </c>
      <c r="GZ130" s="4">
        <v>116</v>
      </c>
      <c r="HA130" s="4">
        <v>109</v>
      </c>
      <c r="HB130" s="4">
        <v>102</v>
      </c>
      <c r="HC130" s="19">
        <v>19.9</v>
      </c>
      <c r="HD130" s="19">
        <v>19.1</v>
      </c>
      <c r="HE130" s="19">
        <v>18.4</v>
      </c>
      <c r="HF130" s="19">
        <v>19.2</v>
      </c>
      <c r="HG130" s="19">
        <v>27.1</v>
      </c>
      <c r="HH130" s="19">
        <v>26</v>
      </c>
      <c r="HI130" s="19">
        <v>24.9</v>
      </c>
      <c r="HJ130" s="19">
        <v>24</v>
      </c>
      <c r="HK130" s="19">
        <v>26.5</v>
      </c>
      <c r="HL130" s="19">
        <v>25.4</v>
      </c>
      <c r="HM130" s="19">
        <v>24.4</v>
      </c>
      <c r="HN130" s="19">
        <v>23.4</v>
      </c>
      <c r="HO130" s="19">
        <v>22.4</v>
      </c>
      <c r="HP130" s="19">
        <v>21.4</v>
      </c>
      <c r="HQ130" s="19">
        <v>20.4</v>
      </c>
      <c r="HR130" s="19">
        <v>19.4</v>
      </c>
      <c r="HS130" s="19">
        <v>18.4</v>
      </c>
      <c r="HT130" s="19">
        <v>17.4</v>
      </c>
      <c r="HU130" s="19">
        <v>16.4</v>
      </c>
      <c r="HV130" s="19">
        <v>15.4</v>
      </c>
      <c r="HW130" s="19">
        <v>14.4</v>
      </c>
      <c r="HX130" s="19">
        <v>13.4</v>
      </c>
      <c r="HY130" s="19">
        <v>12.4</v>
      </c>
      <c r="HZ130" s="19">
        <v>11.4</v>
      </c>
      <c r="IA130" s="19">
        <v>10.4</v>
      </c>
      <c r="IB130" s="19">
        <v>8.4</v>
      </c>
    </row>
    <row r="131">
      <c r="A131" s="2" t="s">
        <v>894</v>
      </c>
      <c r="B131" s="2" t="s">
        <v>872</v>
      </c>
      <c r="C131" s="2" t="s">
        <v>762</v>
      </c>
      <c r="D131" s="2" t="s">
        <v>261</v>
      </c>
      <c r="E131" s="2" t="s">
        <v>895</v>
      </c>
      <c r="F131" s="2" t="s">
        <v>873</v>
      </c>
      <c r="G131" s="2" t="s">
        <v>873</v>
      </c>
      <c r="H131" s="2" t="s">
        <v>873</v>
      </c>
      <c r="I131" s="2" t="s">
        <v>896</v>
      </c>
      <c r="J131" s="2" t="s">
        <v>275</v>
      </c>
      <c r="K131" s="2" t="s">
        <v>870</v>
      </c>
      <c r="L131" s="3">
        <v>67.5</v>
      </c>
      <c r="M131" s="3">
        <v>70.88</v>
      </c>
      <c r="N131" s="3">
        <v>139.99</v>
      </c>
      <c r="O131" s="2" t="s">
        <v>230</v>
      </c>
      <c r="P131" s="2" t="s">
        <v>597</v>
      </c>
      <c r="Q131" s="2" t="s">
        <v>232</v>
      </c>
      <c r="R131" s="2" t="s">
        <v>233</v>
      </c>
      <c r="S131" s="2" t="s">
        <v>887</v>
      </c>
      <c r="T131" s="2" t="s">
        <v>348</v>
      </c>
      <c r="U131" s="2" t="s">
        <v>781</v>
      </c>
      <c r="V131" s="2" t="s">
        <v>876</v>
      </c>
      <c r="W131" s="2" t="s">
        <v>877</v>
      </c>
      <c r="X131" s="2" t="s">
        <v>878</v>
      </c>
      <c r="Y131" s="2" t="s">
        <v>238</v>
      </c>
      <c r="Z131" s="4">
        <v>698</v>
      </c>
      <c r="AA131" s="4">
        <f>=ROUNDDOWN(58.1666666666667,0)</f>
      </c>
      <c r="AB131" s="5">
        <v>12</v>
      </c>
      <c r="AC131" s="2" t="s">
        <v>731</v>
      </c>
      <c r="AD131" s="4">
        <v>5</v>
      </c>
      <c r="AE131" s="4">
        <v>5</v>
      </c>
      <c r="AF131" s="6">
        <v>65</v>
      </c>
      <c r="AG131" s="6">
        <v>73</v>
      </c>
      <c r="AH131" s="7">
        <v>1</v>
      </c>
      <c r="AI131" s="4"/>
      <c r="AJ131" s="4">
        <f>=ROUNDDOWN({0},0)</f>
      </c>
      <c r="AK131" s="5"/>
      <c r="AL131" s="2" t="s">
        <v>233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233</v>
      </c>
      <c r="AW131" s="8" t="s">
        <v>233</v>
      </c>
      <c r="AX131" s="4" t="s">
        <v>233</v>
      </c>
      <c r="AY131" s="8" t="s">
        <v>233</v>
      </c>
      <c r="AZ131" s="7" t="s">
        <v>233</v>
      </c>
      <c r="BA131" s="7" t="s">
        <v>233</v>
      </c>
      <c r="BB131" s="7" t="s">
        <v>233</v>
      </c>
      <c r="BC131" s="4" t="s">
        <v>233</v>
      </c>
      <c r="BD131" s="8" t="s">
        <v>233</v>
      </c>
      <c r="BE131" s="4" t="s">
        <v>233</v>
      </c>
      <c r="BF131" s="8" t="s">
        <v>233</v>
      </c>
      <c r="BG131" s="7" t="s">
        <v>233</v>
      </c>
      <c r="BH131" s="7" t="s">
        <v>233</v>
      </c>
      <c r="BI131" s="7"/>
      <c r="BJ131" s="4">
        <v>56</v>
      </c>
      <c r="BK131" s="8">
        <v>4466.99</v>
      </c>
      <c r="BL131" s="2" t="s">
        <v>897</v>
      </c>
      <c r="BM131" s="7"/>
      <c r="BN131" s="7"/>
      <c r="BO131" s="4"/>
      <c r="BP131" s="8"/>
      <c r="BQ131" s="4"/>
      <c r="BR131" s="8"/>
      <c r="BS131" s="7"/>
      <c r="BT131" s="7"/>
      <c r="BU131" s="2" t="s">
        <v>898</v>
      </c>
      <c r="BV131" s="2" t="s">
        <v>233</v>
      </c>
      <c r="BW131" s="2" t="s">
        <v>233</v>
      </c>
      <c r="BX131" s="2" t="s">
        <v>241</v>
      </c>
      <c r="BY131" s="2" t="s">
        <v>242</v>
      </c>
      <c r="BZ131" s="2" t="s">
        <v>230</v>
      </c>
      <c r="CA131" s="2" t="s">
        <v>243</v>
      </c>
      <c r="CB131" s="2" t="s">
        <v>899</v>
      </c>
      <c r="CC131" s="2" t="s">
        <v>245</v>
      </c>
      <c r="CD131" s="2" t="s">
        <v>233</v>
      </c>
      <c r="CE131" s="4">
        <v>530</v>
      </c>
      <c r="CF131" s="4"/>
      <c r="CG131" s="4"/>
      <c r="CH131" s="4">
        <v>168</v>
      </c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>
        <v>5</v>
      </c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>
        <v>722</v>
      </c>
      <c r="GD131" s="4">
        <v>620</v>
      </c>
      <c r="GE131" s="4">
        <v>599</v>
      </c>
      <c r="GF131" s="4">
        <v>579</v>
      </c>
      <c r="GG131" s="4">
        <v>545</v>
      </c>
      <c r="GH131" s="4">
        <v>528</v>
      </c>
      <c r="GI131" s="4">
        <v>511</v>
      </c>
      <c r="GJ131" s="4">
        <v>497</v>
      </c>
      <c r="GK131" s="4">
        <v>485</v>
      </c>
      <c r="GL131" s="4">
        <v>473</v>
      </c>
      <c r="GM131" s="4">
        <v>460</v>
      </c>
      <c r="GN131" s="4">
        <v>448</v>
      </c>
      <c r="GO131" s="4">
        <v>436</v>
      </c>
      <c r="GP131" s="4">
        <v>424</v>
      </c>
      <c r="GQ131" s="4">
        <v>412</v>
      </c>
      <c r="GR131" s="4">
        <v>400</v>
      </c>
      <c r="GS131" s="4">
        <v>388</v>
      </c>
      <c r="GT131" s="4">
        <v>376</v>
      </c>
      <c r="GU131" s="4">
        <v>364</v>
      </c>
      <c r="GV131" s="4">
        <v>352</v>
      </c>
      <c r="GW131" s="4">
        <v>340</v>
      </c>
      <c r="GX131" s="4">
        <v>328</v>
      </c>
      <c r="GY131" s="4">
        <v>316</v>
      </c>
      <c r="GZ131" s="4">
        <v>304</v>
      </c>
      <c r="HA131" s="4">
        <v>291</v>
      </c>
      <c r="HB131" s="4">
        <v>279</v>
      </c>
      <c r="HC131" s="19">
        <v>16.2</v>
      </c>
      <c r="HD131" s="19">
        <v>25.6</v>
      </c>
      <c r="HE131" s="19">
        <v>25.7</v>
      </c>
      <c r="HF131" s="19">
        <v>27.5</v>
      </c>
      <c r="HG131" s="19">
        <v>35.2</v>
      </c>
      <c r="HH131" s="19">
        <v>35.9</v>
      </c>
      <c r="HI131" s="19">
        <v>39.7</v>
      </c>
      <c r="HJ131" s="19">
        <v>40.6</v>
      </c>
      <c r="HK131" s="19">
        <v>39.6</v>
      </c>
      <c r="HL131" s="19">
        <v>38.6</v>
      </c>
      <c r="HM131" s="19">
        <v>37.6</v>
      </c>
      <c r="HN131" s="19">
        <v>36.6</v>
      </c>
      <c r="HO131" s="19">
        <v>35.6</v>
      </c>
      <c r="HP131" s="19">
        <v>34.6</v>
      </c>
      <c r="HQ131" s="19">
        <v>33.6</v>
      </c>
      <c r="HR131" s="19">
        <v>32.6</v>
      </c>
      <c r="HS131" s="19">
        <v>31.6</v>
      </c>
      <c r="HT131" s="19">
        <v>30.6</v>
      </c>
      <c r="HU131" s="19">
        <v>29.6</v>
      </c>
      <c r="HV131" s="19">
        <v>28.6</v>
      </c>
      <c r="HW131" s="19">
        <v>27.6</v>
      </c>
      <c r="HX131" s="19">
        <v>26.6</v>
      </c>
      <c r="HY131" s="19">
        <v>25.6</v>
      </c>
      <c r="HZ131" s="19">
        <v>24.6</v>
      </c>
      <c r="IA131" s="19">
        <v>23.5</v>
      </c>
      <c r="IB131" s="19">
        <v>22.5</v>
      </c>
    </row>
    <row r="132">
      <c r="A132" s="2" t="s">
        <v>900</v>
      </c>
      <c r="B132" s="2" t="s">
        <v>872</v>
      </c>
      <c r="C132" s="2" t="s">
        <v>762</v>
      </c>
      <c r="D132" s="2" t="s">
        <v>884</v>
      </c>
      <c r="E132" s="2" t="s">
        <v>885</v>
      </c>
      <c r="F132" s="2" t="s">
        <v>873</v>
      </c>
      <c r="G132" s="2" t="s">
        <v>873</v>
      </c>
      <c r="H132" s="2" t="s">
        <v>873</v>
      </c>
      <c r="I132" s="2" t="s">
        <v>886</v>
      </c>
      <c r="J132" s="2" t="s">
        <v>275</v>
      </c>
      <c r="K132" s="2" t="s">
        <v>870</v>
      </c>
      <c r="L132" s="3">
        <v>72.79</v>
      </c>
      <c r="M132" s="3">
        <v>76.43</v>
      </c>
      <c r="N132" s="3">
        <v>139.99</v>
      </c>
      <c r="O132" s="2" t="s">
        <v>230</v>
      </c>
      <c r="P132" s="2" t="s">
        <v>231</v>
      </c>
      <c r="Q132" s="2" t="s">
        <v>232</v>
      </c>
      <c r="R132" s="2" t="s">
        <v>233</v>
      </c>
      <c r="S132" s="2" t="s">
        <v>887</v>
      </c>
      <c r="T132" s="2" t="s">
        <v>348</v>
      </c>
      <c r="U132" s="2" t="s">
        <v>781</v>
      </c>
      <c r="V132" s="2" t="s">
        <v>876</v>
      </c>
      <c r="W132" s="2" t="s">
        <v>877</v>
      </c>
      <c r="X132" s="2" t="s">
        <v>888</v>
      </c>
      <c r="Y132" s="2" t="s">
        <v>889</v>
      </c>
      <c r="Z132" s="4">
        <v>328</v>
      </c>
      <c r="AA132" s="4">
        <f>=ROUNDDOWN(46.8571428571429,0)</f>
      </c>
      <c r="AB132" s="5">
        <v>7</v>
      </c>
      <c r="AC132" s="2" t="s">
        <v>731</v>
      </c>
      <c r="AD132" s="4">
        <v>42</v>
      </c>
      <c r="AE132" s="4">
        <v>99</v>
      </c>
      <c r="AF132" s="6">
        <v>65</v>
      </c>
      <c r="AG132" s="6">
        <v>73</v>
      </c>
      <c r="AH132" s="7">
        <v>1</v>
      </c>
      <c r="AI132" s="4"/>
      <c r="AJ132" s="4">
        <f>=ROUNDDOWN({0},0)</f>
      </c>
      <c r="AK132" s="5"/>
      <c r="AL132" s="2" t="s">
        <v>233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233</v>
      </c>
      <c r="AW132" s="8" t="s">
        <v>233</v>
      </c>
      <c r="AX132" s="4" t="s">
        <v>233</v>
      </c>
      <c r="AY132" s="8" t="s">
        <v>233</v>
      </c>
      <c r="AZ132" s="7" t="s">
        <v>233</v>
      </c>
      <c r="BA132" s="7" t="s">
        <v>233</v>
      </c>
      <c r="BB132" s="7" t="s">
        <v>233</v>
      </c>
      <c r="BC132" s="4" t="s">
        <v>233</v>
      </c>
      <c r="BD132" s="8" t="s">
        <v>233</v>
      </c>
      <c r="BE132" s="4" t="s">
        <v>233</v>
      </c>
      <c r="BF132" s="8" t="s">
        <v>233</v>
      </c>
      <c r="BG132" s="7" t="s">
        <v>233</v>
      </c>
      <c r="BH132" s="7" t="s">
        <v>233</v>
      </c>
      <c r="BI132" s="7"/>
      <c r="BJ132" s="4">
        <v>37</v>
      </c>
      <c r="BK132" s="8">
        <v>2862.01</v>
      </c>
      <c r="BL132" s="2" t="s">
        <v>901</v>
      </c>
      <c r="BM132" s="7"/>
      <c r="BN132" s="7"/>
      <c r="BO132" s="4"/>
      <c r="BP132" s="8"/>
      <c r="BQ132" s="4"/>
      <c r="BR132" s="8"/>
      <c r="BS132" s="7"/>
      <c r="BT132" s="7"/>
      <c r="BU132" s="2" t="s">
        <v>891</v>
      </c>
      <c r="BV132" s="2" t="s">
        <v>233</v>
      </c>
      <c r="BW132" s="2" t="s">
        <v>233</v>
      </c>
      <c r="BX132" s="2" t="s">
        <v>241</v>
      </c>
      <c r="BY132" s="2" t="s">
        <v>242</v>
      </c>
      <c r="BZ132" s="2" t="s">
        <v>230</v>
      </c>
      <c r="CA132" s="2" t="s">
        <v>892</v>
      </c>
      <c r="CB132" s="2" t="s">
        <v>902</v>
      </c>
      <c r="CC132" s="2" t="s">
        <v>245</v>
      </c>
      <c r="CD132" s="2" t="s">
        <v>233</v>
      </c>
      <c r="CE132" s="4">
        <v>282</v>
      </c>
      <c r="CF132" s="4"/>
      <c r="CG132" s="4"/>
      <c r="CH132" s="4">
        <v>46</v>
      </c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>
        <v>42</v>
      </c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>
        <v>57</v>
      </c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>
        <v>333</v>
      </c>
      <c r="GD132" s="4">
        <v>364</v>
      </c>
      <c r="GE132" s="4">
        <v>355</v>
      </c>
      <c r="GF132" s="4">
        <v>346</v>
      </c>
      <c r="GG132" s="4">
        <v>329</v>
      </c>
      <c r="GH132" s="4">
        <v>320</v>
      </c>
      <c r="GI132" s="4">
        <v>311</v>
      </c>
      <c r="GJ132" s="4">
        <v>304</v>
      </c>
      <c r="GK132" s="4">
        <v>356</v>
      </c>
      <c r="GL132" s="4">
        <v>349</v>
      </c>
      <c r="GM132" s="4">
        <v>342</v>
      </c>
      <c r="GN132" s="4">
        <v>335</v>
      </c>
      <c r="GO132" s="4">
        <v>328</v>
      </c>
      <c r="GP132" s="4">
        <v>321</v>
      </c>
      <c r="GQ132" s="4">
        <v>314</v>
      </c>
      <c r="GR132" s="4">
        <v>307</v>
      </c>
      <c r="GS132" s="4">
        <v>300</v>
      </c>
      <c r="GT132" s="4">
        <v>293</v>
      </c>
      <c r="GU132" s="4">
        <v>286</v>
      </c>
      <c r="GV132" s="4">
        <v>279</v>
      </c>
      <c r="GW132" s="4">
        <v>272</v>
      </c>
      <c r="GX132" s="4">
        <v>265</v>
      </c>
      <c r="GY132" s="4">
        <v>258</v>
      </c>
      <c r="GZ132" s="4">
        <v>251</v>
      </c>
      <c r="HA132" s="4">
        <v>244</v>
      </c>
      <c r="HB132" s="4">
        <v>237</v>
      </c>
      <c r="HC132" s="19">
        <v>23.7</v>
      </c>
      <c r="HD132" s="19">
        <v>28.4</v>
      </c>
      <c r="HE132" s="19">
        <v>27.5</v>
      </c>
      <c r="HF132" s="19">
        <v>26.7</v>
      </c>
      <c r="HG132" s="19">
        <v>37.6</v>
      </c>
      <c r="HH132" s="19">
        <v>36.2</v>
      </c>
      <c r="HI132" s="19">
        <v>34.9</v>
      </c>
      <c r="HJ132" s="19">
        <v>33.9</v>
      </c>
      <c r="HK132" s="19">
        <v>38.9</v>
      </c>
      <c r="HL132" s="19">
        <v>37.9</v>
      </c>
      <c r="HM132" s="19">
        <v>36.9</v>
      </c>
      <c r="HN132" s="19">
        <v>35.9</v>
      </c>
      <c r="HO132" s="19">
        <v>34.9</v>
      </c>
      <c r="HP132" s="19">
        <v>33.9</v>
      </c>
      <c r="HQ132" s="19">
        <v>32.9</v>
      </c>
      <c r="HR132" s="19">
        <v>31.9</v>
      </c>
      <c r="HS132" s="19">
        <v>26</v>
      </c>
      <c r="HT132" s="19">
        <v>26.1</v>
      </c>
      <c r="HU132" s="19">
        <v>23.7</v>
      </c>
      <c r="HV132" s="19">
        <v>20</v>
      </c>
      <c r="HW132" s="19">
        <v>19.5</v>
      </c>
      <c r="HX132" s="19">
        <v>19</v>
      </c>
      <c r="HY132" s="19">
        <v>18.5</v>
      </c>
      <c r="HZ132" s="19">
        <v>18</v>
      </c>
      <c r="IA132" s="19">
        <v>17.5</v>
      </c>
      <c r="IB132" s="19">
        <v>17</v>
      </c>
    </row>
    <row r="133">
      <c r="A133" s="2" t="s">
        <v>903</v>
      </c>
      <c r="B133" s="2" t="s">
        <v>872</v>
      </c>
      <c r="C133" s="2" t="s">
        <v>762</v>
      </c>
      <c r="D133" s="2" t="s">
        <v>261</v>
      </c>
      <c r="E133" s="2" t="s">
        <v>895</v>
      </c>
      <c r="F133" s="2" t="s">
        <v>873</v>
      </c>
      <c r="G133" s="2" t="s">
        <v>873</v>
      </c>
      <c r="H133" s="2" t="s">
        <v>873</v>
      </c>
      <c r="I133" s="2" t="s">
        <v>896</v>
      </c>
      <c r="J133" s="2" t="s">
        <v>265</v>
      </c>
      <c r="K133" s="2" t="s">
        <v>832</v>
      </c>
      <c r="L133" s="3">
        <v>54</v>
      </c>
      <c r="M133" s="3">
        <v>56.7</v>
      </c>
      <c r="N133" s="3">
        <v>109.99</v>
      </c>
      <c r="O133" s="2" t="s">
        <v>230</v>
      </c>
      <c r="P133" s="2" t="s">
        <v>586</v>
      </c>
      <c r="Q133" s="2" t="s">
        <v>232</v>
      </c>
      <c r="R133" s="2" t="s">
        <v>233</v>
      </c>
      <c r="S133" s="2" t="s">
        <v>904</v>
      </c>
      <c r="T133" s="2" t="s">
        <v>348</v>
      </c>
      <c r="U133" s="2" t="s">
        <v>781</v>
      </c>
      <c r="V133" s="2" t="s">
        <v>876</v>
      </c>
      <c r="W133" s="2" t="s">
        <v>877</v>
      </c>
      <c r="X133" s="2" t="s">
        <v>878</v>
      </c>
      <c r="Y133" s="2" t="s">
        <v>238</v>
      </c>
      <c r="Z133" s="4">
        <v>472</v>
      </c>
      <c r="AA133" s="4">
        <f>=ROUNDDOWN(67.4285714285714,0)</f>
      </c>
      <c r="AB133" s="5">
        <v>7</v>
      </c>
      <c r="AC133" s="2" t="s">
        <v>233</v>
      </c>
      <c r="AD133" s="4"/>
      <c r="AE133" s="4"/>
      <c r="AF133" s="6">
        <v>65</v>
      </c>
      <c r="AG133" s="6">
        <v>73</v>
      </c>
      <c r="AH133" s="7">
        <v>1</v>
      </c>
      <c r="AI133" s="4"/>
      <c r="AJ133" s="4">
        <f>=ROUNDDOWN({0},0)</f>
      </c>
      <c r="AK133" s="5"/>
      <c r="AL133" s="2" t="s">
        <v>233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/>
      <c r="AW133" s="8"/>
      <c r="AX133" s="4"/>
      <c r="AY133" s="8"/>
      <c r="AZ133" s="7"/>
      <c r="BA133" s="7"/>
      <c r="BB133" s="7"/>
      <c r="BC133" s="4" t="s">
        <v>233</v>
      </c>
      <c r="BD133" s="8" t="s">
        <v>233</v>
      </c>
      <c r="BE133" s="4" t="s">
        <v>233</v>
      </c>
      <c r="BF133" s="8" t="s">
        <v>233</v>
      </c>
      <c r="BG133" s="7" t="s">
        <v>233</v>
      </c>
      <c r="BH133" s="7" t="s">
        <v>233</v>
      </c>
      <c r="BI133" s="7"/>
      <c r="BJ133" s="4">
        <v>16</v>
      </c>
      <c r="BK133" s="8">
        <v>1009.33</v>
      </c>
      <c r="BL133" s="2" t="s">
        <v>905</v>
      </c>
      <c r="BM133" s="7"/>
      <c r="BN133" s="7"/>
      <c r="BO133" s="4"/>
      <c r="BP133" s="8"/>
      <c r="BQ133" s="4"/>
      <c r="BR133" s="8"/>
      <c r="BS133" s="7"/>
      <c r="BT133" s="7"/>
      <c r="BU133" s="2" t="s">
        <v>898</v>
      </c>
      <c r="BV133" s="2" t="s">
        <v>233</v>
      </c>
      <c r="BW133" s="2" t="s">
        <v>233</v>
      </c>
      <c r="BX133" s="2" t="s">
        <v>241</v>
      </c>
      <c r="BY133" s="2" t="s">
        <v>242</v>
      </c>
      <c r="BZ133" s="2" t="s">
        <v>230</v>
      </c>
      <c r="CA133" s="2" t="s">
        <v>881</v>
      </c>
      <c r="CB133" s="2" t="s">
        <v>906</v>
      </c>
      <c r="CC133" s="2" t="s">
        <v>245</v>
      </c>
      <c r="CD133" s="2" t="s">
        <v>233</v>
      </c>
      <c r="CE133" s="4">
        <v>433</v>
      </c>
      <c r="CF133" s="4"/>
      <c r="CG133" s="4"/>
      <c r="CH133" s="4">
        <v>39</v>
      </c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>
        <v>479</v>
      </c>
      <c r="GD133" s="4">
        <v>433</v>
      </c>
      <c r="GE133" s="4">
        <v>419</v>
      </c>
      <c r="GF133" s="4">
        <v>405</v>
      </c>
      <c r="GG133" s="4">
        <v>381</v>
      </c>
      <c r="GH133" s="4">
        <v>370</v>
      </c>
      <c r="GI133" s="4">
        <v>359</v>
      </c>
      <c r="GJ133" s="4">
        <v>351</v>
      </c>
      <c r="GK133" s="4">
        <v>344</v>
      </c>
      <c r="GL133" s="4">
        <v>337</v>
      </c>
      <c r="GM133" s="4">
        <v>330</v>
      </c>
      <c r="GN133" s="4">
        <v>323</v>
      </c>
      <c r="GO133" s="4">
        <v>316</v>
      </c>
      <c r="GP133" s="4">
        <v>309</v>
      </c>
      <c r="GQ133" s="4">
        <v>302</v>
      </c>
      <c r="GR133" s="4">
        <v>295</v>
      </c>
      <c r="GS133" s="4">
        <v>288</v>
      </c>
      <c r="GT133" s="4">
        <v>281</v>
      </c>
      <c r="GU133" s="4">
        <v>274</v>
      </c>
      <c r="GV133" s="4">
        <v>267</v>
      </c>
      <c r="GW133" s="4">
        <v>260</v>
      </c>
      <c r="GX133" s="4">
        <v>253</v>
      </c>
      <c r="GY133" s="4">
        <v>246</v>
      </c>
      <c r="GZ133" s="4">
        <v>239</v>
      </c>
      <c r="HA133" s="4">
        <v>232</v>
      </c>
      <c r="HB133" s="4">
        <v>225</v>
      </c>
      <c r="HC133" s="19">
        <v>15.6</v>
      </c>
      <c r="HD133" s="19">
        <v>20.6</v>
      </c>
      <c r="HE133" s="19">
        <v>21.1</v>
      </c>
      <c r="HF133" s="19">
        <v>21.9</v>
      </c>
      <c r="HG133" s="19">
        <v>30.1</v>
      </c>
      <c r="HH133" s="19">
        <v>33</v>
      </c>
      <c r="HI133" s="19">
        <v>37.4</v>
      </c>
      <c r="HJ133" s="19">
        <v>36.3</v>
      </c>
      <c r="HK133" s="19">
        <v>29.7</v>
      </c>
      <c r="HL133" s="19">
        <v>29.8</v>
      </c>
      <c r="HM133" s="19">
        <v>27.4</v>
      </c>
      <c r="HN133" s="19">
        <v>23.1</v>
      </c>
      <c r="HO133" s="19">
        <v>22.6</v>
      </c>
      <c r="HP133" s="19">
        <v>22.1</v>
      </c>
      <c r="HQ133" s="19">
        <v>21.6</v>
      </c>
      <c r="HR133" s="19">
        <v>21.1</v>
      </c>
      <c r="HS133" s="19">
        <v>20.6</v>
      </c>
      <c r="HT133" s="19">
        <v>20.1</v>
      </c>
      <c r="HU133" s="19">
        <v>19.6</v>
      </c>
      <c r="HV133" s="19">
        <v>19.1</v>
      </c>
      <c r="HW133" s="19">
        <v>18.6</v>
      </c>
      <c r="HX133" s="19">
        <v>18.1</v>
      </c>
      <c r="HY133" s="19">
        <v>17.6</v>
      </c>
      <c r="HZ133" s="19">
        <v>17.1</v>
      </c>
      <c r="IA133" s="19">
        <v>16.6</v>
      </c>
      <c r="IB133" s="19">
        <v>16.1</v>
      </c>
    </row>
    <row r="134">
      <c r="A134" s="2" t="s">
        <v>907</v>
      </c>
      <c r="B134" s="2" t="s">
        <v>773</v>
      </c>
      <c r="C134" s="2" t="s">
        <v>908</v>
      </c>
      <c r="D134" s="2" t="s">
        <v>261</v>
      </c>
      <c r="E134" s="2" t="s">
        <v>603</v>
      </c>
      <c r="F134" s="2" t="s">
        <v>909</v>
      </c>
      <c r="G134" s="2" t="s">
        <v>909</v>
      </c>
      <c r="H134" s="2" t="s">
        <v>909</v>
      </c>
      <c r="I134" s="2" t="s">
        <v>910</v>
      </c>
      <c r="J134" s="2" t="s">
        <v>265</v>
      </c>
      <c r="K134" s="2" t="s">
        <v>911</v>
      </c>
      <c r="L134" s="3">
        <v>56.45</v>
      </c>
      <c r="M134" s="3">
        <v>59.27</v>
      </c>
      <c r="N134" s="3">
        <v>118.99</v>
      </c>
      <c r="O134" s="2" t="s">
        <v>230</v>
      </c>
      <c r="P134" s="2" t="s">
        <v>231</v>
      </c>
      <c r="Q134" s="2" t="s">
        <v>232</v>
      </c>
      <c r="R134" s="2" t="s">
        <v>233</v>
      </c>
      <c r="S134" s="2" t="s">
        <v>912</v>
      </c>
      <c r="T134" s="2" t="s">
        <v>913</v>
      </c>
      <c r="U134" s="2" t="s">
        <v>287</v>
      </c>
      <c r="V134" s="2" t="s">
        <v>914</v>
      </c>
      <c r="W134" s="2" t="s">
        <v>915</v>
      </c>
      <c r="X134" s="2" t="s">
        <v>916</v>
      </c>
      <c r="Y134" s="2" t="s">
        <v>917</v>
      </c>
      <c r="Z134" s="4">
        <v>462</v>
      </c>
      <c r="AA134" s="4">
        <f>=ROUNDDOWN(35.5384615384615,0)</f>
      </c>
      <c r="AB134" s="5">
        <v>13</v>
      </c>
      <c r="AC134" s="2" t="s">
        <v>140</v>
      </c>
      <c r="AD134" s="4">
        <v>30</v>
      </c>
      <c r="AE134" s="4">
        <v>120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233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/>
      <c r="AW134" s="8"/>
      <c r="AX134" s="4"/>
      <c r="AY134" s="8"/>
      <c r="AZ134" s="7"/>
      <c r="BA134" s="7"/>
      <c r="BB134" s="7"/>
      <c r="BC134" s="4"/>
      <c r="BD134" s="8"/>
      <c r="BE134" s="4"/>
      <c r="BF134" s="8"/>
      <c r="BG134" s="7"/>
      <c r="BH134" s="7"/>
      <c r="BI134" s="7"/>
      <c r="BJ134" s="4">
        <v>49</v>
      </c>
      <c r="BK134" s="8">
        <v>2714.4</v>
      </c>
      <c r="BL134" s="2" t="s">
        <v>918</v>
      </c>
      <c r="BM134" s="7"/>
      <c r="BN134" s="7"/>
      <c r="BO134" s="4"/>
      <c r="BP134" s="8"/>
      <c r="BQ134" s="4"/>
      <c r="BR134" s="8"/>
      <c r="BS134" s="7"/>
      <c r="BT134" s="7"/>
      <c r="BU134" s="2" t="s">
        <v>919</v>
      </c>
      <c r="BV134" s="2" t="s">
        <v>233</v>
      </c>
      <c r="BW134" s="2" t="s">
        <v>233</v>
      </c>
      <c r="BX134" s="2" t="s">
        <v>293</v>
      </c>
      <c r="BY134" s="2" t="s">
        <v>242</v>
      </c>
      <c r="BZ134" s="2" t="s">
        <v>230</v>
      </c>
      <c r="CA134" s="2" t="s">
        <v>920</v>
      </c>
      <c r="CB134" s="2" t="s">
        <v>921</v>
      </c>
      <c r="CC134" s="2" t="s">
        <v>245</v>
      </c>
      <c r="CD134" s="2" t="s">
        <v>233</v>
      </c>
      <c r="CE134" s="4">
        <v>74</v>
      </c>
      <c r="CF134" s="4">
        <v>388</v>
      </c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>
        <v>30</v>
      </c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>
        <v>90</v>
      </c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>
        <v>473</v>
      </c>
      <c r="GD134" s="4">
        <v>444</v>
      </c>
      <c r="GE134" s="4">
        <v>447</v>
      </c>
      <c r="GF134" s="4">
        <v>409</v>
      </c>
      <c r="GG134" s="4">
        <v>323</v>
      </c>
      <c r="GH134" s="4">
        <v>363</v>
      </c>
      <c r="GI134" s="4">
        <v>296</v>
      </c>
      <c r="GJ134" s="4">
        <v>246</v>
      </c>
      <c r="GK134" s="4">
        <v>218</v>
      </c>
      <c r="GL134" s="4">
        <v>201</v>
      </c>
      <c r="GM134" s="4">
        <v>194</v>
      </c>
      <c r="GN134" s="4">
        <v>193</v>
      </c>
      <c r="GO134" s="4">
        <v>191</v>
      </c>
      <c r="GP134" s="4">
        <v>189</v>
      </c>
      <c r="GQ134" s="4">
        <v>187</v>
      </c>
      <c r="GR134" s="4">
        <v>182</v>
      </c>
      <c r="GS134" s="4">
        <v>177</v>
      </c>
      <c r="GT134" s="4">
        <v>172</v>
      </c>
      <c r="GU134" s="4">
        <v>167</v>
      </c>
      <c r="GV134" s="4">
        <v>162</v>
      </c>
      <c r="GW134" s="4">
        <v>157</v>
      </c>
      <c r="GX134" s="4">
        <v>152</v>
      </c>
      <c r="GY134" s="4">
        <v>147</v>
      </c>
      <c r="GZ134" s="4">
        <v>142</v>
      </c>
      <c r="HA134" s="4">
        <v>137</v>
      </c>
      <c r="HB134" s="4">
        <v>132</v>
      </c>
      <c r="HC134" s="19">
        <v>10.5</v>
      </c>
      <c r="HD134" s="19">
        <v>8.9</v>
      </c>
      <c r="HE134" s="19">
        <v>7.5</v>
      </c>
      <c r="HF134" s="19">
        <v>6.5</v>
      </c>
      <c r="HG134" s="19">
        <v>6.6</v>
      </c>
      <c r="HH134" s="19">
        <v>9.1</v>
      </c>
      <c r="HI134" s="19">
        <v>11.4</v>
      </c>
      <c r="HJ134" s="19">
        <v>18.9</v>
      </c>
      <c r="HK134" s="19">
        <v>31.1</v>
      </c>
      <c r="HL134" s="19">
        <v>67</v>
      </c>
      <c r="HM134" s="19">
        <v>97</v>
      </c>
      <c r="HN134" s="19">
        <v>64.3</v>
      </c>
      <c r="HO134" s="19">
        <v>47.8</v>
      </c>
      <c r="HP134" s="19">
        <v>47.3</v>
      </c>
      <c r="HQ134" s="19">
        <v>37.4</v>
      </c>
      <c r="HR134" s="19">
        <v>36.4</v>
      </c>
      <c r="HS134" s="19">
        <v>35.4</v>
      </c>
      <c r="HT134" s="19">
        <v>34.4</v>
      </c>
      <c r="HU134" s="19">
        <v>33.4</v>
      </c>
      <c r="HV134" s="19">
        <v>32.4</v>
      </c>
      <c r="HW134" s="19">
        <v>31.4</v>
      </c>
      <c r="HX134" s="19">
        <v>30.4</v>
      </c>
      <c r="HY134" s="19">
        <v>29.4</v>
      </c>
      <c r="HZ134" s="19">
        <v>28.4</v>
      </c>
      <c r="IA134" s="19">
        <v>27.4</v>
      </c>
      <c r="IB134" s="19">
        <v>26.4</v>
      </c>
    </row>
    <row r="135">
      <c r="A135" s="2" t="s">
        <v>922</v>
      </c>
      <c r="B135" s="2" t="s">
        <v>923</v>
      </c>
      <c r="C135" s="2" t="s">
        <v>280</v>
      </c>
      <c r="D135" s="2" t="s">
        <v>924</v>
      </c>
      <c r="E135" s="2" t="s">
        <v>925</v>
      </c>
      <c r="F135" s="2" t="s">
        <v>926</v>
      </c>
      <c r="G135" s="2" t="s">
        <v>927</v>
      </c>
      <c r="H135" s="2" t="s">
        <v>928</v>
      </c>
      <c r="I135" s="2" t="s">
        <v>929</v>
      </c>
      <c r="J135" s="2" t="s">
        <v>930</v>
      </c>
      <c r="K135" s="2" t="s">
        <v>229</v>
      </c>
      <c r="L135" s="3">
        <v>20.64</v>
      </c>
      <c r="M135" s="3">
        <v>21.67</v>
      </c>
      <c r="N135" s="3">
        <v>42.99</v>
      </c>
      <c r="O135" s="2" t="s">
        <v>230</v>
      </c>
      <c r="P135" s="2" t="s">
        <v>231</v>
      </c>
      <c r="Q135" s="2" t="s">
        <v>232</v>
      </c>
      <c r="R135" s="2" t="s">
        <v>233</v>
      </c>
      <c r="S135" s="2" t="s">
        <v>931</v>
      </c>
      <c r="T135" s="2" t="s">
        <v>348</v>
      </c>
      <c r="U135" s="2" t="s">
        <v>329</v>
      </c>
      <c r="V135" s="2" t="s">
        <v>932</v>
      </c>
      <c r="W135" s="2" t="s">
        <v>712</v>
      </c>
      <c r="X135" s="2" t="s">
        <v>233</v>
      </c>
      <c r="Y135" s="2" t="s">
        <v>933</v>
      </c>
      <c r="Z135" s="4">
        <v>254</v>
      </c>
      <c r="AA135" s="4">
        <f>=ROUNDDOWN(28.2222222222222,0)</f>
      </c>
      <c r="AB135" s="5">
        <v>9</v>
      </c>
      <c r="AC135" s="2" t="s">
        <v>934</v>
      </c>
      <c r="AD135" s="4">
        <v>90</v>
      </c>
      <c r="AE135" s="4">
        <v>90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233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/>
      <c r="AW135" s="8"/>
      <c r="AX135" s="4"/>
      <c r="AY135" s="8"/>
      <c r="AZ135" s="7"/>
      <c r="BA135" s="7"/>
      <c r="BB135" s="7"/>
      <c r="BC135" s="4" t="s">
        <v>233</v>
      </c>
      <c r="BD135" s="8" t="s">
        <v>233</v>
      </c>
      <c r="BE135" s="4" t="s">
        <v>233</v>
      </c>
      <c r="BF135" s="8" t="s">
        <v>233</v>
      </c>
      <c r="BG135" s="7" t="s">
        <v>233</v>
      </c>
      <c r="BH135" s="7" t="s">
        <v>233</v>
      </c>
      <c r="BI135" s="7"/>
      <c r="BJ135" s="4">
        <v>40</v>
      </c>
      <c r="BK135" s="8">
        <v>872.93</v>
      </c>
      <c r="BL135" s="2" t="s">
        <v>935</v>
      </c>
      <c r="BM135" s="7"/>
      <c r="BN135" s="7"/>
      <c r="BO135" s="4"/>
      <c r="BP135" s="8"/>
      <c r="BQ135" s="4"/>
      <c r="BR135" s="8"/>
      <c r="BS135" s="7"/>
      <c r="BT135" s="7"/>
      <c r="BU135" s="2" t="s">
        <v>936</v>
      </c>
      <c r="BV135" s="2" t="s">
        <v>233</v>
      </c>
      <c r="BW135" s="2" t="s">
        <v>233</v>
      </c>
      <c r="BX135" s="2" t="s">
        <v>241</v>
      </c>
      <c r="BY135" s="2" t="s">
        <v>242</v>
      </c>
      <c r="BZ135" s="2" t="s">
        <v>230</v>
      </c>
      <c r="CA135" s="2" t="s">
        <v>243</v>
      </c>
      <c r="CB135" s="2" t="s">
        <v>529</v>
      </c>
      <c r="CC135" s="2" t="s">
        <v>245</v>
      </c>
      <c r="CD135" s="2" t="s">
        <v>233</v>
      </c>
      <c r="CE135" s="4">
        <v>254</v>
      </c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>
        <v>90</v>
      </c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>
        <v>256</v>
      </c>
      <c r="GD135" s="4">
        <v>235</v>
      </c>
      <c r="GE135" s="4">
        <v>225</v>
      </c>
      <c r="GF135" s="4">
        <v>217</v>
      </c>
      <c r="GG135" s="4">
        <v>203</v>
      </c>
      <c r="GH135" s="4">
        <v>196</v>
      </c>
      <c r="GI135" s="4">
        <v>185</v>
      </c>
      <c r="GJ135" s="4">
        <v>177</v>
      </c>
      <c r="GK135" s="4">
        <v>170</v>
      </c>
      <c r="GL135" s="4">
        <v>250</v>
      </c>
      <c r="GM135" s="4">
        <v>241</v>
      </c>
      <c r="GN135" s="4">
        <v>232</v>
      </c>
      <c r="GO135" s="4">
        <v>223</v>
      </c>
      <c r="GP135" s="4">
        <v>214</v>
      </c>
      <c r="GQ135" s="4">
        <v>205</v>
      </c>
      <c r="GR135" s="4">
        <v>196</v>
      </c>
      <c r="GS135" s="4">
        <v>187</v>
      </c>
      <c r="GT135" s="4">
        <v>177</v>
      </c>
      <c r="GU135" s="4">
        <v>168</v>
      </c>
      <c r="GV135" s="4">
        <v>159</v>
      </c>
      <c r="GW135" s="4">
        <v>150</v>
      </c>
      <c r="GX135" s="4">
        <v>141</v>
      </c>
      <c r="GY135" s="4">
        <v>132</v>
      </c>
      <c r="GZ135" s="4">
        <v>123</v>
      </c>
      <c r="HA135" s="4">
        <v>114</v>
      </c>
      <c r="HB135" s="4">
        <v>105</v>
      </c>
      <c r="HC135" s="19">
        <v>19.7</v>
      </c>
      <c r="HD135" s="19">
        <v>23.5</v>
      </c>
      <c r="HE135" s="19">
        <v>22.5</v>
      </c>
      <c r="HF135" s="19">
        <v>21.7</v>
      </c>
      <c r="HG135" s="19">
        <v>25.4</v>
      </c>
      <c r="HH135" s="19">
        <v>21.8</v>
      </c>
      <c r="HI135" s="19">
        <v>23.1</v>
      </c>
      <c r="HJ135" s="19">
        <v>19.7</v>
      </c>
      <c r="HK135" s="19">
        <v>18.9</v>
      </c>
      <c r="HL135" s="19">
        <v>27.8</v>
      </c>
      <c r="HM135" s="19">
        <v>26.8</v>
      </c>
      <c r="HN135" s="19">
        <v>25.8</v>
      </c>
      <c r="HO135" s="19">
        <v>24.8</v>
      </c>
      <c r="HP135" s="19">
        <v>23.8</v>
      </c>
      <c r="HQ135" s="19">
        <v>22.8</v>
      </c>
      <c r="HR135" s="19">
        <v>21.8</v>
      </c>
      <c r="HS135" s="19">
        <v>20.8</v>
      </c>
      <c r="HT135" s="19">
        <v>19.7</v>
      </c>
      <c r="HU135" s="19">
        <v>18.7</v>
      </c>
      <c r="HV135" s="19">
        <v>17.7</v>
      </c>
      <c r="HW135" s="19">
        <v>16.7</v>
      </c>
      <c r="HX135" s="19">
        <v>15.7</v>
      </c>
      <c r="HY135" s="19">
        <v>14.7</v>
      </c>
      <c r="HZ135" s="19">
        <v>13.7</v>
      </c>
      <c r="IA135" s="19">
        <v>12.7</v>
      </c>
      <c r="IB135" s="19">
        <v>11.7</v>
      </c>
    </row>
    <row r="136">
      <c r="A136" s="2" t="s">
        <v>937</v>
      </c>
      <c r="B136" s="2" t="s">
        <v>938</v>
      </c>
      <c r="C136" s="2" t="s">
        <v>280</v>
      </c>
      <c r="D136" s="2" t="s">
        <v>939</v>
      </c>
      <c r="E136" s="2" t="s">
        <v>940</v>
      </c>
      <c r="F136" s="2" t="s">
        <v>926</v>
      </c>
      <c r="G136" s="2" t="s">
        <v>927</v>
      </c>
      <c r="H136" s="2" t="s">
        <v>928</v>
      </c>
      <c r="I136" s="2" t="s">
        <v>941</v>
      </c>
      <c r="J136" s="2" t="s">
        <v>942</v>
      </c>
      <c r="K136" s="2" t="s">
        <v>943</v>
      </c>
      <c r="L136" s="3">
        <v>10</v>
      </c>
      <c r="M136" s="3">
        <v>10.5</v>
      </c>
      <c r="N136" s="3">
        <v>24.99</v>
      </c>
      <c r="O136" s="2" t="s">
        <v>230</v>
      </c>
      <c r="P136" s="2" t="s">
        <v>231</v>
      </c>
      <c r="Q136" s="2" t="s">
        <v>232</v>
      </c>
      <c r="R136" s="2" t="s">
        <v>233</v>
      </c>
      <c r="S136" s="2" t="s">
        <v>944</v>
      </c>
      <c r="T136" s="2" t="s">
        <v>233</v>
      </c>
      <c r="U136" s="2" t="s">
        <v>233</v>
      </c>
      <c r="V136" s="2" t="s">
        <v>945</v>
      </c>
      <c r="W136" s="2" t="s">
        <v>712</v>
      </c>
      <c r="X136" s="2" t="s">
        <v>233</v>
      </c>
      <c r="Y136" s="2" t="s">
        <v>946</v>
      </c>
      <c r="Z136" s="4">
        <v>434</v>
      </c>
      <c r="AA136" s="4">
        <f>=ROUNDDOWN(21.7,0)</f>
      </c>
      <c r="AB136" s="5">
        <v>20</v>
      </c>
      <c r="AC136" s="2" t="s">
        <v>290</v>
      </c>
      <c r="AD136" s="4">
        <v>460</v>
      </c>
      <c r="AE136" s="4">
        <v>460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233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/>
      <c r="AW136" s="8"/>
      <c r="AX136" s="4"/>
      <c r="AY136" s="8"/>
      <c r="AZ136" s="7"/>
      <c r="BA136" s="7"/>
      <c r="BB136" s="7"/>
      <c r="BC136" s="4" t="s">
        <v>233</v>
      </c>
      <c r="BD136" s="8" t="s">
        <v>233</v>
      </c>
      <c r="BE136" s="4" t="s">
        <v>233</v>
      </c>
      <c r="BF136" s="8" t="s">
        <v>233</v>
      </c>
      <c r="BG136" s="7" t="s">
        <v>233</v>
      </c>
      <c r="BH136" s="7" t="s">
        <v>233</v>
      </c>
      <c r="BI136" s="7"/>
      <c r="BJ136" s="4">
        <v>42</v>
      </c>
      <c r="BK136" s="8">
        <v>445.53</v>
      </c>
      <c r="BL136" s="2" t="s">
        <v>947</v>
      </c>
      <c r="BM136" s="7"/>
      <c r="BN136" s="7"/>
      <c r="BO136" s="4"/>
      <c r="BP136" s="8"/>
      <c r="BQ136" s="4"/>
      <c r="BR136" s="8"/>
      <c r="BS136" s="7"/>
      <c r="BT136" s="7"/>
      <c r="BU136" s="2" t="s">
        <v>948</v>
      </c>
      <c r="BV136" s="2" t="s">
        <v>233</v>
      </c>
      <c r="BW136" s="2" t="s">
        <v>233</v>
      </c>
      <c r="BX136" s="2" t="s">
        <v>293</v>
      </c>
      <c r="BY136" s="2" t="s">
        <v>242</v>
      </c>
      <c r="BZ136" s="2" t="s">
        <v>230</v>
      </c>
      <c r="CA136" s="2" t="s">
        <v>487</v>
      </c>
      <c r="CB136" s="2" t="s">
        <v>949</v>
      </c>
      <c r="CC136" s="2" t="s">
        <v>245</v>
      </c>
      <c r="CD136" s="2" t="s">
        <v>233</v>
      </c>
      <c r="CE136" s="4">
        <v>434</v>
      </c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>
        <v>460</v>
      </c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>
        <v>456</v>
      </c>
      <c r="GD136" s="4">
        <v>432</v>
      </c>
      <c r="GE136" s="4">
        <v>397</v>
      </c>
      <c r="GF136" s="4">
        <v>376</v>
      </c>
      <c r="GG136" s="4">
        <v>350</v>
      </c>
      <c r="GH136" s="4">
        <v>786</v>
      </c>
      <c r="GI136" s="4">
        <v>762</v>
      </c>
      <c r="GJ136" s="4">
        <v>677</v>
      </c>
      <c r="GK136" s="4">
        <v>670</v>
      </c>
      <c r="GL136" s="4">
        <v>663</v>
      </c>
      <c r="GM136" s="4">
        <v>656</v>
      </c>
      <c r="GN136" s="4">
        <v>649</v>
      </c>
      <c r="GO136" s="4">
        <v>638</v>
      </c>
      <c r="GP136" s="4">
        <v>618</v>
      </c>
      <c r="GQ136" s="4">
        <v>598</v>
      </c>
      <c r="GR136" s="4">
        <v>578</v>
      </c>
      <c r="GS136" s="4">
        <v>558</v>
      </c>
      <c r="GT136" s="4">
        <v>537</v>
      </c>
      <c r="GU136" s="4">
        <v>517</v>
      </c>
      <c r="GV136" s="4">
        <v>497</v>
      </c>
      <c r="GW136" s="4">
        <v>477</v>
      </c>
      <c r="GX136" s="4">
        <v>457</v>
      </c>
      <c r="GY136" s="4">
        <v>437</v>
      </c>
      <c r="GZ136" s="4">
        <v>417</v>
      </c>
      <c r="HA136" s="4">
        <v>394</v>
      </c>
      <c r="HB136" s="4">
        <v>374</v>
      </c>
      <c r="HC136" s="19">
        <v>17.5</v>
      </c>
      <c r="HD136" s="19">
        <v>16.6</v>
      </c>
      <c r="HE136" s="19">
        <v>16.5</v>
      </c>
      <c r="HF136" s="19">
        <v>9.4</v>
      </c>
      <c r="HG136" s="19">
        <v>10</v>
      </c>
      <c r="HH136" s="19">
        <v>25.4</v>
      </c>
      <c r="HI136" s="19">
        <v>29.3</v>
      </c>
      <c r="HJ136" s="19">
        <v>96.7</v>
      </c>
      <c r="HK136" s="19">
        <v>83.8</v>
      </c>
      <c r="HL136" s="19">
        <v>60.3</v>
      </c>
      <c r="HM136" s="19">
        <v>46.9</v>
      </c>
      <c r="HN136" s="19">
        <v>36.1</v>
      </c>
      <c r="HO136" s="19">
        <v>31.9</v>
      </c>
      <c r="HP136" s="19">
        <v>30.9</v>
      </c>
      <c r="HQ136" s="19">
        <v>29.9</v>
      </c>
      <c r="HR136" s="19">
        <v>28.9</v>
      </c>
      <c r="HS136" s="19">
        <v>27.9</v>
      </c>
      <c r="HT136" s="19">
        <v>26.9</v>
      </c>
      <c r="HU136" s="19">
        <v>25.9</v>
      </c>
      <c r="HV136" s="19">
        <v>24.9</v>
      </c>
      <c r="HW136" s="19">
        <v>22.7</v>
      </c>
      <c r="HX136" s="19">
        <v>21.8</v>
      </c>
      <c r="HY136" s="19">
        <v>20.8</v>
      </c>
      <c r="HZ136" s="19">
        <v>19.9</v>
      </c>
      <c r="IA136" s="19">
        <v>19.7</v>
      </c>
      <c r="IB136" s="19">
        <v>17.8</v>
      </c>
    </row>
    <row r="137">
      <c r="A137" s="2" t="s">
        <v>950</v>
      </c>
      <c r="B137" s="2" t="s">
        <v>923</v>
      </c>
      <c r="C137" s="2" t="s">
        <v>280</v>
      </c>
      <c r="D137" s="2" t="s">
        <v>951</v>
      </c>
      <c r="E137" s="2" t="s">
        <v>952</v>
      </c>
      <c r="F137" s="2" t="s">
        <v>926</v>
      </c>
      <c r="G137" s="2" t="s">
        <v>927</v>
      </c>
      <c r="H137" s="2" t="s">
        <v>928</v>
      </c>
      <c r="I137" s="2" t="s">
        <v>953</v>
      </c>
      <c r="J137" s="2" t="s">
        <v>954</v>
      </c>
      <c r="K137" s="2" t="s">
        <v>955</v>
      </c>
      <c r="L137" s="3">
        <v>13.2</v>
      </c>
      <c r="M137" s="3">
        <v>13.86</v>
      </c>
      <c r="N137" s="3">
        <v>29.99</v>
      </c>
      <c r="O137" s="2" t="s">
        <v>230</v>
      </c>
      <c r="P137" s="2" t="s">
        <v>597</v>
      </c>
      <c r="Q137" s="2" t="s">
        <v>232</v>
      </c>
      <c r="R137" s="2" t="s">
        <v>233</v>
      </c>
      <c r="S137" s="2" t="s">
        <v>956</v>
      </c>
      <c r="T137" s="2" t="s">
        <v>233</v>
      </c>
      <c r="U137" s="2" t="s">
        <v>233</v>
      </c>
      <c r="V137" s="2" t="s">
        <v>945</v>
      </c>
      <c r="W137" s="2" t="s">
        <v>712</v>
      </c>
      <c r="X137" s="2" t="s">
        <v>233</v>
      </c>
      <c r="Y137" s="2" t="s">
        <v>238</v>
      </c>
      <c r="Z137" s="4">
        <v>808</v>
      </c>
      <c r="AA137" s="4">
        <f>=ROUNDDOWN(10.1,0)</f>
      </c>
      <c r="AB137" s="5">
        <v>80</v>
      </c>
      <c r="AC137" s="2" t="s">
        <v>290</v>
      </c>
      <c r="AD137" s="4">
        <v>400</v>
      </c>
      <c r="AE137" s="4">
        <v>2000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233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/>
      <c r="AW137" s="8"/>
      <c r="AX137" s="4"/>
      <c r="AY137" s="8"/>
      <c r="AZ137" s="7"/>
      <c r="BA137" s="7"/>
      <c r="BB137" s="7"/>
      <c r="BC137" s="4" t="s">
        <v>233</v>
      </c>
      <c r="BD137" s="8" t="s">
        <v>233</v>
      </c>
      <c r="BE137" s="4" t="s">
        <v>233</v>
      </c>
      <c r="BF137" s="8" t="s">
        <v>233</v>
      </c>
      <c r="BG137" s="7" t="s">
        <v>233</v>
      </c>
      <c r="BH137" s="7" t="s">
        <v>233</v>
      </c>
      <c r="BI137" s="7"/>
      <c r="BJ137" s="4">
        <v>458</v>
      </c>
      <c r="BK137" s="8">
        <v>6905.7</v>
      </c>
      <c r="BL137" s="2" t="s">
        <v>957</v>
      </c>
      <c r="BM137" s="7"/>
      <c r="BN137" s="7"/>
      <c r="BO137" s="4"/>
      <c r="BP137" s="8"/>
      <c r="BQ137" s="4"/>
      <c r="BR137" s="8"/>
      <c r="BS137" s="7"/>
      <c r="BT137" s="7"/>
      <c r="BU137" s="2" t="s">
        <v>958</v>
      </c>
      <c r="BV137" s="2" t="s">
        <v>233</v>
      </c>
      <c r="BW137" s="2" t="s">
        <v>233</v>
      </c>
      <c r="BX137" s="2" t="s">
        <v>293</v>
      </c>
      <c r="BY137" s="2" t="s">
        <v>242</v>
      </c>
      <c r="BZ137" s="2" t="s">
        <v>230</v>
      </c>
      <c r="CA137" s="2" t="s">
        <v>243</v>
      </c>
      <c r="CB137" s="2" t="s">
        <v>959</v>
      </c>
      <c r="CC137" s="2" t="s">
        <v>245</v>
      </c>
      <c r="CD137" s="2" t="s">
        <v>233</v>
      </c>
      <c r="CE137" s="4">
        <v>808</v>
      </c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>
        <v>400</v>
      </c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>
        <v>600</v>
      </c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>
        <v>1000</v>
      </c>
      <c r="FX137" s="4"/>
      <c r="FY137" s="4"/>
      <c r="FZ137" s="4"/>
      <c r="GA137" s="4"/>
      <c r="GB137" s="4"/>
      <c r="GC137" s="4">
        <v>941</v>
      </c>
      <c r="GD137" s="4">
        <v>834</v>
      </c>
      <c r="GE137" s="4">
        <v>796</v>
      </c>
      <c r="GF137" s="4">
        <v>746</v>
      </c>
      <c r="GG137" s="4">
        <v>631</v>
      </c>
      <c r="GH137" s="4">
        <v>933</v>
      </c>
      <c r="GI137" s="4">
        <v>835</v>
      </c>
      <c r="GJ137" s="4">
        <v>755</v>
      </c>
      <c r="GK137" s="4">
        <v>675</v>
      </c>
      <c r="GL137" s="4">
        <v>1195</v>
      </c>
      <c r="GM137" s="4">
        <v>1115</v>
      </c>
      <c r="GN137" s="4">
        <v>1035</v>
      </c>
      <c r="GO137" s="4">
        <v>955</v>
      </c>
      <c r="GP137" s="4">
        <v>875</v>
      </c>
      <c r="GQ137" s="4">
        <v>795</v>
      </c>
      <c r="GR137" s="4">
        <v>715</v>
      </c>
      <c r="GS137" s="4">
        <v>635</v>
      </c>
      <c r="GT137" s="4">
        <v>555</v>
      </c>
      <c r="GU137" s="4">
        <v>1475</v>
      </c>
      <c r="GV137" s="4">
        <v>1395</v>
      </c>
      <c r="GW137" s="4">
        <v>1315</v>
      </c>
      <c r="GX137" s="4">
        <v>1235</v>
      </c>
      <c r="GY137" s="4">
        <v>1155</v>
      </c>
      <c r="GZ137" s="4">
        <v>1075</v>
      </c>
      <c r="HA137" s="4">
        <v>995</v>
      </c>
      <c r="HB137" s="4">
        <v>915</v>
      </c>
      <c r="HC137" s="19">
        <v>12.1</v>
      </c>
      <c r="HD137" s="19">
        <v>11.1</v>
      </c>
      <c r="HE137" s="19">
        <v>8.8</v>
      </c>
      <c r="HF137" s="19">
        <v>7.6</v>
      </c>
      <c r="HG137" s="19">
        <v>7.1</v>
      </c>
      <c r="HH137" s="19">
        <v>11.1</v>
      </c>
      <c r="HI137" s="19">
        <v>10.4</v>
      </c>
      <c r="HJ137" s="19">
        <v>9.4</v>
      </c>
      <c r="HK137" s="19">
        <v>8.4</v>
      </c>
      <c r="HL137" s="19">
        <v>14.9</v>
      </c>
      <c r="HM137" s="19">
        <v>13.9</v>
      </c>
      <c r="HN137" s="19">
        <v>12.9</v>
      </c>
      <c r="HO137" s="19">
        <v>11.9</v>
      </c>
      <c r="HP137" s="19">
        <v>10.9</v>
      </c>
      <c r="HQ137" s="19">
        <v>9.9</v>
      </c>
      <c r="HR137" s="19">
        <v>8.9</v>
      </c>
      <c r="HS137" s="19">
        <v>7.9</v>
      </c>
      <c r="HT137" s="19">
        <v>6.9</v>
      </c>
      <c r="HU137" s="19">
        <v>18.4</v>
      </c>
      <c r="HV137" s="19">
        <v>17.4</v>
      </c>
      <c r="HW137" s="19">
        <v>16.4</v>
      </c>
      <c r="HX137" s="19">
        <v>15.4</v>
      </c>
      <c r="HY137" s="19">
        <v>14.4</v>
      </c>
      <c r="HZ137" s="19">
        <v>13.4</v>
      </c>
      <c r="IA137" s="19">
        <v>12.4</v>
      </c>
      <c r="IB137" s="19">
        <v>11.4</v>
      </c>
    </row>
    <row r="138">
      <c r="A138" s="2" t="s">
        <v>960</v>
      </c>
      <c r="B138" s="2" t="s">
        <v>923</v>
      </c>
      <c r="C138" s="2" t="s">
        <v>280</v>
      </c>
      <c r="D138" s="2" t="s">
        <v>924</v>
      </c>
      <c r="E138" s="2" t="s">
        <v>925</v>
      </c>
      <c r="F138" s="2" t="s">
        <v>926</v>
      </c>
      <c r="G138" s="2" t="s">
        <v>927</v>
      </c>
      <c r="H138" s="2" t="s">
        <v>928</v>
      </c>
      <c r="I138" s="2" t="s">
        <v>929</v>
      </c>
      <c r="J138" s="2" t="s">
        <v>961</v>
      </c>
      <c r="K138" s="2" t="s">
        <v>870</v>
      </c>
      <c r="L138" s="3">
        <v>13.8</v>
      </c>
      <c r="M138" s="3">
        <v>14.49</v>
      </c>
      <c r="N138" s="3">
        <v>29.99</v>
      </c>
      <c r="O138" s="2" t="s">
        <v>230</v>
      </c>
      <c r="P138" s="2" t="s">
        <v>231</v>
      </c>
      <c r="Q138" s="2" t="s">
        <v>232</v>
      </c>
      <c r="R138" s="2" t="s">
        <v>233</v>
      </c>
      <c r="S138" s="2" t="s">
        <v>962</v>
      </c>
      <c r="T138" s="2" t="s">
        <v>348</v>
      </c>
      <c r="U138" s="2" t="s">
        <v>329</v>
      </c>
      <c r="V138" s="2" t="s">
        <v>932</v>
      </c>
      <c r="W138" s="2" t="s">
        <v>712</v>
      </c>
      <c r="X138" s="2" t="s">
        <v>233</v>
      </c>
      <c r="Y138" s="2" t="s">
        <v>963</v>
      </c>
      <c r="Z138" s="4">
        <v>5</v>
      </c>
      <c r="AA138" s="4">
        <f>=ROUNDDOWN(0.263157894736842,0)</f>
      </c>
      <c r="AB138" s="5">
        <v>19</v>
      </c>
      <c r="AC138" s="2" t="s">
        <v>138</v>
      </c>
      <c r="AD138" s="4">
        <v>378</v>
      </c>
      <c r="AE138" s="4">
        <v>900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233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233</v>
      </c>
      <c r="AW138" s="8" t="s">
        <v>233</v>
      </c>
      <c r="AX138" s="4" t="s">
        <v>233</v>
      </c>
      <c r="AY138" s="8" t="s">
        <v>233</v>
      </c>
      <c r="AZ138" s="7" t="s">
        <v>233</v>
      </c>
      <c r="BA138" s="7" t="s">
        <v>233</v>
      </c>
      <c r="BB138" s="7"/>
      <c r="BC138" s="4" t="s">
        <v>233</v>
      </c>
      <c r="BD138" s="8" t="s">
        <v>233</v>
      </c>
      <c r="BE138" s="4" t="s">
        <v>233</v>
      </c>
      <c r="BF138" s="8" t="s">
        <v>233</v>
      </c>
      <c r="BG138" s="7" t="s">
        <v>233</v>
      </c>
      <c r="BH138" s="7" t="s">
        <v>233</v>
      </c>
      <c r="BI138" s="7"/>
      <c r="BJ138" s="4">
        <v>110</v>
      </c>
      <c r="BK138" s="8">
        <v>1633.38</v>
      </c>
      <c r="BL138" s="2" t="s">
        <v>964</v>
      </c>
      <c r="BM138" s="7"/>
      <c r="BN138" s="7"/>
      <c r="BO138" s="4"/>
      <c r="BP138" s="8"/>
      <c r="BQ138" s="4"/>
      <c r="BR138" s="8"/>
      <c r="BS138" s="7"/>
      <c r="BT138" s="7"/>
      <c r="BU138" s="2" t="s">
        <v>936</v>
      </c>
      <c r="BV138" s="2" t="s">
        <v>233</v>
      </c>
      <c r="BW138" s="2" t="s">
        <v>233</v>
      </c>
      <c r="BX138" s="2" t="s">
        <v>241</v>
      </c>
      <c r="BY138" s="2" t="s">
        <v>242</v>
      </c>
      <c r="BZ138" s="2" t="s">
        <v>230</v>
      </c>
      <c r="CA138" s="2" t="s">
        <v>965</v>
      </c>
      <c r="CB138" s="2" t="s">
        <v>966</v>
      </c>
      <c r="CC138" s="2" t="s">
        <v>245</v>
      </c>
      <c r="CD138" s="2" t="s">
        <v>233</v>
      </c>
      <c r="CE138" s="4">
        <v>5</v>
      </c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>
        <v>378</v>
      </c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>
        <v>174</v>
      </c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>
        <v>348</v>
      </c>
      <c r="GB138" s="4"/>
      <c r="GC138" s="4">
        <v>11</v>
      </c>
      <c r="GD138" s="4"/>
      <c r="GE138" s="4">
        <v>378</v>
      </c>
      <c r="GF138" s="4">
        <v>352</v>
      </c>
      <c r="GG138" s="4">
        <v>320</v>
      </c>
      <c r="GH138" s="4">
        <v>297</v>
      </c>
      <c r="GI138" s="4">
        <v>274</v>
      </c>
      <c r="GJ138" s="4">
        <v>256</v>
      </c>
      <c r="GK138" s="4">
        <v>240</v>
      </c>
      <c r="GL138" s="4">
        <v>220</v>
      </c>
      <c r="GM138" s="4">
        <v>200</v>
      </c>
      <c r="GN138" s="4">
        <v>355</v>
      </c>
      <c r="GO138" s="4">
        <v>336</v>
      </c>
      <c r="GP138" s="4">
        <v>317</v>
      </c>
      <c r="GQ138" s="4">
        <v>298</v>
      </c>
      <c r="GR138" s="4">
        <v>279</v>
      </c>
      <c r="GS138" s="4">
        <v>260</v>
      </c>
      <c r="GT138" s="4">
        <v>240</v>
      </c>
      <c r="GU138" s="4">
        <v>221</v>
      </c>
      <c r="GV138" s="4">
        <v>202</v>
      </c>
      <c r="GW138" s="4">
        <v>531</v>
      </c>
      <c r="GX138" s="4">
        <v>512</v>
      </c>
      <c r="GY138" s="4">
        <v>493</v>
      </c>
      <c r="GZ138" s="4">
        <v>474</v>
      </c>
      <c r="HA138" s="4">
        <v>454</v>
      </c>
      <c r="HB138" s="4">
        <v>435</v>
      </c>
      <c r="HC138" s="19">
        <v>0.5</v>
      </c>
      <c r="HD138" s="20">
        <v>0</v>
      </c>
      <c r="HE138" s="19">
        <v>14.5</v>
      </c>
      <c r="HF138" s="19">
        <v>14.7</v>
      </c>
      <c r="HG138" s="19">
        <v>16</v>
      </c>
      <c r="HH138" s="19">
        <v>15.6</v>
      </c>
      <c r="HI138" s="19">
        <v>15.2</v>
      </c>
      <c r="HJ138" s="19">
        <v>13.5</v>
      </c>
      <c r="HK138" s="19">
        <v>12</v>
      </c>
      <c r="HL138" s="19">
        <v>11.6</v>
      </c>
      <c r="HM138" s="19">
        <v>10.5</v>
      </c>
      <c r="HN138" s="19">
        <v>18.7</v>
      </c>
      <c r="HO138" s="19">
        <v>17.7</v>
      </c>
      <c r="HP138" s="19">
        <v>16.7</v>
      </c>
      <c r="HQ138" s="19">
        <v>15.7</v>
      </c>
      <c r="HR138" s="19">
        <v>14.7</v>
      </c>
      <c r="HS138" s="19">
        <v>13.7</v>
      </c>
      <c r="HT138" s="19">
        <v>12.6</v>
      </c>
      <c r="HU138" s="19">
        <v>11.6</v>
      </c>
      <c r="HV138" s="19">
        <v>10.6</v>
      </c>
      <c r="HW138" s="19">
        <v>27.9</v>
      </c>
      <c r="HX138" s="19">
        <v>26.9</v>
      </c>
      <c r="HY138" s="19">
        <v>25.9</v>
      </c>
      <c r="HZ138" s="19">
        <v>24.9</v>
      </c>
      <c r="IA138" s="19">
        <v>23.9</v>
      </c>
      <c r="IB138" s="19">
        <v>22.9</v>
      </c>
    </row>
    <row r="139">
      <c r="A139" s="2" t="s">
        <v>967</v>
      </c>
      <c r="B139" s="2" t="s">
        <v>923</v>
      </c>
      <c r="C139" s="2" t="s">
        <v>280</v>
      </c>
      <c r="D139" s="2" t="s">
        <v>924</v>
      </c>
      <c r="E139" s="2" t="s">
        <v>925</v>
      </c>
      <c r="F139" s="2" t="s">
        <v>926</v>
      </c>
      <c r="G139" s="2" t="s">
        <v>927</v>
      </c>
      <c r="H139" s="2" t="s">
        <v>928</v>
      </c>
      <c r="I139" s="2" t="s">
        <v>929</v>
      </c>
      <c r="J139" s="2" t="s">
        <v>968</v>
      </c>
      <c r="K139" s="2" t="s">
        <v>870</v>
      </c>
      <c r="L139" s="3">
        <v>25.44</v>
      </c>
      <c r="M139" s="3">
        <v>26.71</v>
      </c>
      <c r="N139" s="3">
        <v>52.99</v>
      </c>
      <c r="O139" s="2" t="s">
        <v>230</v>
      </c>
      <c r="P139" s="2" t="s">
        <v>231</v>
      </c>
      <c r="Q139" s="2" t="s">
        <v>232</v>
      </c>
      <c r="R139" s="2" t="s">
        <v>233</v>
      </c>
      <c r="S139" s="2" t="s">
        <v>962</v>
      </c>
      <c r="T139" s="2" t="s">
        <v>348</v>
      </c>
      <c r="U139" s="2" t="s">
        <v>329</v>
      </c>
      <c r="V139" s="2" t="s">
        <v>932</v>
      </c>
      <c r="W139" s="2" t="s">
        <v>712</v>
      </c>
      <c r="X139" s="2" t="s">
        <v>233</v>
      </c>
      <c r="Y139" s="2" t="s">
        <v>963</v>
      </c>
      <c r="Z139" s="4">
        <v>177</v>
      </c>
      <c r="AA139" s="4">
        <f>=ROUNDDOWN(29.5,0)</f>
      </c>
      <c r="AB139" s="5">
        <v>6</v>
      </c>
      <c r="AC139" s="2" t="s">
        <v>138</v>
      </c>
      <c r="AD139" s="4">
        <v>30</v>
      </c>
      <c r="AE139" s="4">
        <v>60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233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233</v>
      </c>
      <c r="AW139" s="8" t="s">
        <v>233</v>
      </c>
      <c r="AX139" s="4" t="s">
        <v>233</v>
      </c>
      <c r="AY139" s="8" t="s">
        <v>233</v>
      </c>
      <c r="AZ139" s="7" t="s">
        <v>233</v>
      </c>
      <c r="BA139" s="7" t="s">
        <v>233</v>
      </c>
      <c r="BB139" s="7"/>
      <c r="BC139" s="4" t="s">
        <v>233</v>
      </c>
      <c r="BD139" s="8" t="s">
        <v>233</v>
      </c>
      <c r="BE139" s="4" t="s">
        <v>233</v>
      </c>
      <c r="BF139" s="8" t="s">
        <v>233</v>
      </c>
      <c r="BG139" s="7" t="s">
        <v>233</v>
      </c>
      <c r="BH139" s="7" t="s">
        <v>233</v>
      </c>
      <c r="BI139" s="7"/>
      <c r="BJ139" s="4">
        <v>31</v>
      </c>
      <c r="BK139" s="8">
        <v>847.85</v>
      </c>
      <c r="BL139" s="2" t="s">
        <v>969</v>
      </c>
      <c r="BM139" s="7"/>
      <c r="BN139" s="7"/>
      <c r="BO139" s="4"/>
      <c r="BP139" s="8"/>
      <c r="BQ139" s="4"/>
      <c r="BR139" s="8"/>
      <c r="BS139" s="7"/>
      <c r="BT139" s="7"/>
      <c r="BU139" s="2" t="s">
        <v>936</v>
      </c>
      <c r="BV139" s="2" t="s">
        <v>233</v>
      </c>
      <c r="BW139" s="2" t="s">
        <v>233</v>
      </c>
      <c r="BX139" s="2" t="s">
        <v>241</v>
      </c>
      <c r="BY139" s="2" t="s">
        <v>242</v>
      </c>
      <c r="BZ139" s="2" t="s">
        <v>230</v>
      </c>
      <c r="CA139" s="2" t="s">
        <v>728</v>
      </c>
      <c r="CB139" s="2" t="s">
        <v>970</v>
      </c>
      <c r="CC139" s="2" t="s">
        <v>245</v>
      </c>
      <c r="CD139" s="2" t="s">
        <v>233</v>
      </c>
      <c r="CE139" s="4">
        <v>177</v>
      </c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>
        <v>30</v>
      </c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>
        <v>30</v>
      </c>
      <c r="GB139" s="4"/>
      <c r="GC139" s="4">
        <v>191</v>
      </c>
      <c r="GD139" s="4">
        <v>170</v>
      </c>
      <c r="GE139" s="4">
        <v>194</v>
      </c>
      <c r="GF139" s="4">
        <v>188</v>
      </c>
      <c r="GG139" s="4">
        <v>179</v>
      </c>
      <c r="GH139" s="4">
        <v>172</v>
      </c>
      <c r="GI139" s="4">
        <v>165</v>
      </c>
      <c r="GJ139" s="4">
        <v>159</v>
      </c>
      <c r="GK139" s="4">
        <v>154</v>
      </c>
      <c r="GL139" s="4">
        <v>148</v>
      </c>
      <c r="GM139" s="4">
        <v>142</v>
      </c>
      <c r="GN139" s="4">
        <v>136</v>
      </c>
      <c r="GO139" s="4">
        <v>130</v>
      </c>
      <c r="GP139" s="4">
        <v>124</v>
      </c>
      <c r="GQ139" s="4">
        <v>118</v>
      </c>
      <c r="GR139" s="4">
        <v>112</v>
      </c>
      <c r="GS139" s="4">
        <v>106</v>
      </c>
      <c r="GT139" s="4">
        <v>100</v>
      </c>
      <c r="GU139" s="4">
        <v>94</v>
      </c>
      <c r="GV139" s="4">
        <v>88</v>
      </c>
      <c r="GW139" s="4">
        <v>112</v>
      </c>
      <c r="GX139" s="4">
        <v>106</v>
      </c>
      <c r="GY139" s="4">
        <v>100</v>
      </c>
      <c r="GZ139" s="4">
        <v>94</v>
      </c>
      <c r="HA139" s="4">
        <v>88</v>
      </c>
      <c r="HB139" s="4">
        <v>82</v>
      </c>
      <c r="HC139" s="19">
        <v>19.1</v>
      </c>
      <c r="HD139" s="19">
        <v>24.3</v>
      </c>
      <c r="HE139" s="19">
        <v>27.7</v>
      </c>
      <c r="HF139" s="19">
        <v>26.9</v>
      </c>
      <c r="HG139" s="19">
        <v>29.8</v>
      </c>
      <c r="HH139" s="19">
        <v>28.7</v>
      </c>
      <c r="HI139" s="19">
        <v>27.5</v>
      </c>
      <c r="HJ139" s="19">
        <v>26.5</v>
      </c>
      <c r="HK139" s="19">
        <v>25.7</v>
      </c>
      <c r="HL139" s="19">
        <v>24.7</v>
      </c>
      <c r="HM139" s="19">
        <v>23.7</v>
      </c>
      <c r="HN139" s="19">
        <v>22.7</v>
      </c>
      <c r="HO139" s="19">
        <v>21.7</v>
      </c>
      <c r="HP139" s="19">
        <v>20.7</v>
      </c>
      <c r="HQ139" s="19">
        <v>19.7</v>
      </c>
      <c r="HR139" s="19">
        <v>18.7</v>
      </c>
      <c r="HS139" s="19">
        <v>17.7</v>
      </c>
      <c r="HT139" s="19">
        <v>16.7</v>
      </c>
      <c r="HU139" s="19">
        <v>15.7</v>
      </c>
      <c r="HV139" s="19">
        <v>14.7</v>
      </c>
      <c r="HW139" s="19">
        <v>18.7</v>
      </c>
      <c r="HX139" s="19">
        <v>17.7</v>
      </c>
      <c r="HY139" s="19">
        <v>16.7</v>
      </c>
      <c r="HZ139" s="19">
        <v>15.7</v>
      </c>
      <c r="IA139" s="19">
        <v>14.7</v>
      </c>
      <c r="IB139" s="19">
        <v>13.7</v>
      </c>
    </row>
    <row r="140">
      <c r="A140" s="2" t="s">
        <v>971</v>
      </c>
      <c r="B140" s="2" t="s">
        <v>938</v>
      </c>
      <c r="C140" s="2" t="s">
        <v>280</v>
      </c>
      <c r="D140" s="2" t="s">
        <v>972</v>
      </c>
      <c r="E140" s="2" t="s">
        <v>973</v>
      </c>
      <c r="F140" s="2" t="s">
        <v>974</v>
      </c>
      <c r="G140" s="2" t="s">
        <v>975</v>
      </c>
      <c r="H140" s="2" t="s">
        <v>976</v>
      </c>
      <c r="I140" s="2" t="s">
        <v>977</v>
      </c>
      <c r="J140" s="2" t="s">
        <v>978</v>
      </c>
      <c r="K140" s="2" t="s">
        <v>300</v>
      </c>
      <c r="L140" s="3">
        <v>18.24</v>
      </c>
      <c r="M140" s="3">
        <v>19.15</v>
      </c>
      <c r="N140" s="3">
        <v>37.99</v>
      </c>
      <c r="O140" s="2" t="s">
        <v>230</v>
      </c>
      <c r="P140" s="2" t="s">
        <v>231</v>
      </c>
      <c r="Q140" s="2" t="s">
        <v>232</v>
      </c>
      <c r="R140" s="2" t="s">
        <v>233</v>
      </c>
      <c r="S140" s="2" t="s">
        <v>979</v>
      </c>
      <c r="T140" s="2" t="s">
        <v>233</v>
      </c>
      <c r="U140" s="2" t="s">
        <v>329</v>
      </c>
      <c r="V140" s="2" t="s">
        <v>914</v>
      </c>
      <c r="W140" s="2" t="s">
        <v>237</v>
      </c>
      <c r="X140" s="2" t="s">
        <v>980</v>
      </c>
      <c r="Y140" s="2" t="s">
        <v>614</v>
      </c>
      <c r="Z140" s="4">
        <v>190</v>
      </c>
      <c r="AA140" s="4">
        <f>=ROUNDDOWN(47.5,0)</f>
      </c>
      <c r="AB140" s="5">
        <v>4</v>
      </c>
      <c r="AC140" s="2" t="s">
        <v>233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233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/>
      <c r="AW140" s="8"/>
      <c r="AX140" s="4"/>
      <c r="AY140" s="8"/>
      <c r="AZ140" s="7"/>
      <c r="BA140" s="7"/>
      <c r="BB140" s="7"/>
      <c r="BC140" s="4"/>
      <c r="BD140" s="8"/>
      <c r="BE140" s="4"/>
      <c r="BF140" s="8"/>
      <c r="BG140" s="7"/>
      <c r="BH140" s="7"/>
      <c r="BI140" s="7"/>
      <c r="BJ140" s="4">
        <v>15</v>
      </c>
      <c r="BK140" s="8">
        <v>302.66</v>
      </c>
      <c r="BL140" s="2" t="s">
        <v>981</v>
      </c>
      <c r="BM140" s="7"/>
      <c r="BN140" s="7"/>
      <c r="BO140" s="4"/>
      <c r="BP140" s="8"/>
      <c r="BQ140" s="4"/>
      <c r="BR140" s="8"/>
      <c r="BS140" s="7"/>
      <c r="BT140" s="7"/>
      <c r="BU140" s="2" t="s">
        <v>982</v>
      </c>
      <c r="BV140" s="2" t="s">
        <v>233</v>
      </c>
      <c r="BW140" s="2" t="s">
        <v>233</v>
      </c>
      <c r="BX140" s="2" t="s">
        <v>624</v>
      </c>
      <c r="BY140" s="2" t="s">
        <v>242</v>
      </c>
      <c r="BZ140" s="2" t="s">
        <v>230</v>
      </c>
      <c r="CA140" s="2" t="s">
        <v>983</v>
      </c>
      <c r="CB140" s="2" t="s">
        <v>461</v>
      </c>
      <c r="CC140" s="2" t="s">
        <v>245</v>
      </c>
      <c r="CD140" s="2" t="s">
        <v>233</v>
      </c>
      <c r="CE140" s="4">
        <v>190</v>
      </c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>
        <v>190</v>
      </c>
      <c r="GD140" s="4">
        <v>186</v>
      </c>
      <c r="GE140" s="4">
        <v>181</v>
      </c>
      <c r="GF140" s="4">
        <v>177</v>
      </c>
      <c r="GG140" s="4">
        <v>172</v>
      </c>
      <c r="GH140" s="4">
        <v>168</v>
      </c>
      <c r="GI140" s="4">
        <v>163</v>
      </c>
      <c r="GJ140" s="4">
        <v>152</v>
      </c>
      <c r="GK140" s="4">
        <v>148</v>
      </c>
      <c r="GL140" s="4">
        <v>145</v>
      </c>
      <c r="GM140" s="4">
        <v>142</v>
      </c>
      <c r="GN140" s="4">
        <v>139</v>
      </c>
      <c r="GO140" s="4">
        <v>136</v>
      </c>
      <c r="GP140" s="4">
        <v>133</v>
      </c>
      <c r="GQ140" s="4">
        <v>130</v>
      </c>
      <c r="GR140" s="4">
        <v>127</v>
      </c>
      <c r="GS140" s="4">
        <v>124</v>
      </c>
      <c r="GT140" s="4">
        <v>120</v>
      </c>
      <c r="GU140" s="4">
        <v>117</v>
      </c>
      <c r="GV140" s="4">
        <v>114</v>
      </c>
      <c r="GW140" s="4">
        <v>111</v>
      </c>
      <c r="GX140" s="4">
        <v>108</v>
      </c>
      <c r="GY140" s="4">
        <v>105</v>
      </c>
      <c r="GZ140" s="4">
        <v>102</v>
      </c>
      <c r="HA140" s="4">
        <v>99</v>
      </c>
      <c r="HB140" s="4">
        <v>95</v>
      </c>
      <c r="HC140" s="19">
        <v>47.5</v>
      </c>
      <c r="HD140" s="19">
        <v>46.5</v>
      </c>
      <c r="HE140" s="19">
        <v>45.3</v>
      </c>
      <c r="HF140" s="19">
        <v>29.5</v>
      </c>
      <c r="HG140" s="19">
        <v>28.7</v>
      </c>
      <c r="HH140" s="19">
        <v>28</v>
      </c>
      <c r="HI140" s="19">
        <v>32.6</v>
      </c>
      <c r="HJ140" s="19">
        <v>50.7</v>
      </c>
      <c r="HK140" s="19">
        <v>49.3</v>
      </c>
      <c r="HL140" s="19">
        <v>48.3</v>
      </c>
      <c r="HM140" s="19">
        <v>47.3</v>
      </c>
      <c r="HN140" s="19">
        <v>46.3</v>
      </c>
      <c r="HO140" s="19">
        <v>45.3</v>
      </c>
      <c r="HP140" s="19">
        <v>44.3</v>
      </c>
      <c r="HQ140" s="19">
        <v>43.3</v>
      </c>
      <c r="HR140" s="19">
        <v>42.3</v>
      </c>
      <c r="HS140" s="19">
        <v>41.3</v>
      </c>
      <c r="HT140" s="19">
        <v>40</v>
      </c>
      <c r="HU140" s="19">
        <v>39</v>
      </c>
      <c r="HV140" s="19">
        <v>38</v>
      </c>
      <c r="HW140" s="19">
        <v>37</v>
      </c>
      <c r="HX140" s="19">
        <v>36</v>
      </c>
      <c r="HY140" s="19">
        <v>26.3</v>
      </c>
      <c r="HZ140" s="19">
        <v>25.5</v>
      </c>
      <c r="IA140" s="19">
        <v>24.8</v>
      </c>
      <c r="IB140" s="19">
        <v>23.8</v>
      </c>
    </row>
    <row r="141">
      <c r="A141" s="2" t="s">
        <v>984</v>
      </c>
      <c r="B141" s="2" t="s">
        <v>773</v>
      </c>
      <c r="C141" s="2" t="s">
        <v>908</v>
      </c>
      <c r="D141" s="2" t="s">
        <v>985</v>
      </c>
      <c r="E141" s="2" t="s">
        <v>986</v>
      </c>
      <c r="F141" s="2" t="s">
        <v>987</v>
      </c>
      <c r="G141" s="2" t="s">
        <v>987</v>
      </c>
      <c r="H141" s="2" t="s">
        <v>233</v>
      </c>
      <c r="I141" s="2" t="s">
        <v>988</v>
      </c>
      <c r="J141" s="2" t="s">
        <v>989</v>
      </c>
      <c r="K141" s="2" t="s">
        <v>300</v>
      </c>
      <c r="L141" s="3">
        <v>37.72</v>
      </c>
      <c r="M141" s="3">
        <v>39.61</v>
      </c>
      <c r="N141" s="3">
        <v>81.99</v>
      </c>
      <c r="O141" s="2" t="s">
        <v>230</v>
      </c>
      <c r="P141" s="2" t="s">
        <v>231</v>
      </c>
      <c r="Q141" s="2" t="s">
        <v>232</v>
      </c>
      <c r="R141" s="2" t="s">
        <v>233</v>
      </c>
      <c r="S141" s="2" t="s">
        <v>990</v>
      </c>
      <c r="T141" s="2" t="s">
        <v>913</v>
      </c>
      <c r="U141" s="2" t="s">
        <v>233</v>
      </c>
      <c r="V141" s="2" t="s">
        <v>782</v>
      </c>
      <c r="W141" s="2" t="s">
        <v>915</v>
      </c>
      <c r="X141" s="2" t="s">
        <v>916</v>
      </c>
      <c r="Y141" s="2" t="s">
        <v>238</v>
      </c>
      <c r="Z141" s="4">
        <v>217</v>
      </c>
      <c r="AA141" s="4">
        <f>=ROUNDDOWN(27.125,0)</f>
      </c>
      <c r="AB141" s="5">
        <v>8</v>
      </c>
      <c r="AC141" s="2" t="s">
        <v>233</v>
      </c>
      <c r="AD141" s="4"/>
      <c r="AE141" s="4"/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233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/>
      <c r="AW141" s="8"/>
      <c r="AX141" s="4"/>
      <c r="AY141" s="8"/>
      <c r="AZ141" s="7"/>
      <c r="BA141" s="7"/>
      <c r="BB141" s="7"/>
      <c r="BC141" s="4"/>
      <c r="BD141" s="8"/>
      <c r="BE141" s="4"/>
      <c r="BF141" s="8"/>
      <c r="BG141" s="7"/>
      <c r="BH141" s="7"/>
      <c r="BI141" s="7"/>
      <c r="BJ141" s="4">
        <v>33</v>
      </c>
      <c r="BK141" s="8">
        <v>1320.14</v>
      </c>
      <c r="BL141" s="2" t="s">
        <v>691</v>
      </c>
      <c r="BM141" s="7"/>
      <c r="BN141" s="7"/>
      <c r="BO141" s="4"/>
      <c r="BP141" s="8"/>
      <c r="BQ141" s="4"/>
      <c r="BR141" s="8"/>
      <c r="BS141" s="7"/>
      <c r="BT141" s="7"/>
      <c r="BU141" s="2" t="s">
        <v>991</v>
      </c>
      <c r="BV141" s="2" t="s">
        <v>233</v>
      </c>
      <c r="BW141" s="2" t="s">
        <v>233</v>
      </c>
      <c r="BX141" s="2" t="s">
        <v>241</v>
      </c>
      <c r="BY141" s="2" t="s">
        <v>242</v>
      </c>
      <c r="BZ141" s="2" t="s">
        <v>230</v>
      </c>
      <c r="CA141" s="2" t="s">
        <v>992</v>
      </c>
      <c r="CB141" s="2" t="s">
        <v>993</v>
      </c>
      <c r="CC141" s="2" t="s">
        <v>245</v>
      </c>
      <c r="CD141" s="2" t="s">
        <v>233</v>
      </c>
      <c r="CE141" s="4">
        <v>217</v>
      </c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>
        <v>223</v>
      </c>
      <c r="GD141" s="4">
        <v>189</v>
      </c>
      <c r="GE141" s="4">
        <v>172</v>
      </c>
      <c r="GF141" s="4">
        <v>152</v>
      </c>
      <c r="GG141" s="4">
        <v>108</v>
      </c>
      <c r="GH141" s="4">
        <v>66</v>
      </c>
      <c r="GI141" s="4">
        <v>14</v>
      </c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>
        <v>407</v>
      </c>
      <c r="GW141" s="4">
        <v>400</v>
      </c>
      <c r="GX141" s="4">
        <v>397</v>
      </c>
      <c r="GY141" s="4">
        <v>394</v>
      </c>
      <c r="GZ141" s="4">
        <v>393</v>
      </c>
      <c r="HA141" s="4">
        <v>392</v>
      </c>
      <c r="HB141" s="4">
        <v>391</v>
      </c>
      <c r="HC141" s="19">
        <v>7.7</v>
      </c>
      <c r="HD141" s="19">
        <v>6.1</v>
      </c>
      <c r="HE141" s="19">
        <v>4.3</v>
      </c>
      <c r="HF141" s="19">
        <v>3.8</v>
      </c>
      <c r="HG141" s="19">
        <v>3.5</v>
      </c>
      <c r="HH141" s="19">
        <v>2.9</v>
      </c>
      <c r="HI141" s="19">
        <v>1.2</v>
      </c>
      <c r="HJ141" s="20">
        <v>0</v>
      </c>
      <c r="HK141" s="20">
        <v>0</v>
      </c>
      <c r="HL141" s="20">
        <v>0</v>
      </c>
      <c r="HM141" s="20">
        <v>0</v>
      </c>
      <c r="HN141" s="20">
        <v>0</v>
      </c>
      <c r="HO141" s="20">
        <v>0</v>
      </c>
      <c r="HP141" s="20">
        <v>0</v>
      </c>
      <c r="HQ141" s="20">
        <v>0</v>
      </c>
      <c r="HR141" s="20">
        <v>0</v>
      </c>
      <c r="HS141" s="20">
        <v>0</v>
      </c>
      <c r="HT141" s="20">
        <v>0</v>
      </c>
      <c r="HU141" s="20">
        <v>0</v>
      </c>
      <c r="HV141" s="19">
        <v>101.8</v>
      </c>
      <c r="HW141" s="19">
        <v>200</v>
      </c>
      <c r="HX141" s="19">
        <v>198.5</v>
      </c>
      <c r="HY141" s="19">
        <v>394</v>
      </c>
      <c r="HZ141" s="19">
        <v>393</v>
      </c>
      <c r="IA141" s="19">
        <v>392</v>
      </c>
      <c r="IB141" s="19">
        <v>391</v>
      </c>
    </row>
    <row r="142">
      <c r="A142" s="2" t="s">
        <v>994</v>
      </c>
      <c r="B142" s="2" t="s">
        <v>938</v>
      </c>
      <c r="C142" s="2" t="s">
        <v>280</v>
      </c>
      <c r="D142" s="2" t="s">
        <v>972</v>
      </c>
      <c r="E142" s="2" t="s">
        <v>973</v>
      </c>
      <c r="F142" s="2" t="s">
        <v>995</v>
      </c>
      <c r="G142" s="2" t="s">
        <v>996</v>
      </c>
      <c r="H142" s="2" t="s">
        <v>997</v>
      </c>
      <c r="I142" s="2" t="s">
        <v>998</v>
      </c>
      <c r="J142" s="2" t="s">
        <v>978</v>
      </c>
      <c r="K142" s="2" t="s">
        <v>229</v>
      </c>
      <c r="L142" s="3">
        <v>16.65</v>
      </c>
      <c r="M142" s="3">
        <v>17.48</v>
      </c>
      <c r="N142" s="3">
        <v>36.99</v>
      </c>
      <c r="O142" s="2" t="s">
        <v>230</v>
      </c>
      <c r="P142" s="2" t="s">
        <v>586</v>
      </c>
      <c r="Q142" s="2" t="s">
        <v>232</v>
      </c>
      <c r="R142" s="2" t="s">
        <v>233</v>
      </c>
      <c r="S142" s="2" t="s">
        <v>999</v>
      </c>
      <c r="T142" s="2" t="s">
        <v>233</v>
      </c>
      <c r="U142" s="2" t="s">
        <v>233</v>
      </c>
      <c r="V142" s="2" t="s">
        <v>361</v>
      </c>
      <c r="W142" s="2" t="s">
        <v>712</v>
      </c>
      <c r="X142" s="2" t="s">
        <v>980</v>
      </c>
      <c r="Y142" s="2" t="s">
        <v>238</v>
      </c>
      <c r="Z142" s="4">
        <v>185</v>
      </c>
      <c r="AA142" s="4">
        <f>=ROUNDDOWN(15.4166666666667,0)</f>
      </c>
      <c r="AB142" s="5">
        <v>12</v>
      </c>
      <c r="AC142" s="2" t="s">
        <v>153</v>
      </c>
      <c r="AD142" s="4">
        <v>260</v>
      </c>
      <c r="AE142" s="4">
        <v>368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233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233</v>
      </c>
      <c r="AW142" s="8" t="s">
        <v>233</v>
      </c>
      <c r="AX142" s="4" t="s">
        <v>233</v>
      </c>
      <c r="AY142" s="8" t="s">
        <v>233</v>
      </c>
      <c r="AZ142" s="7" t="s">
        <v>233</v>
      </c>
      <c r="BA142" s="7" t="s">
        <v>233</v>
      </c>
      <c r="BB142" s="7"/>
      <c r="BC142" s="4" t="s">
        <v>233</v>
      </c>
      <c r="BD142" s="8" t="s">
        <v>233</v>
      </c>
      <c r="BE142" s="4" t="s">
        <v>233</v>
      </c>
      <c r="BF142" s="8" t="s">
        <v>233</v>
      </c>
      <c r="BG142" s="7" t="s">
        <v>233</v>
      </c>
      <c r="BH142" s="7" t="s">
        <v>233</v>
      </c>
      <c r="BI142" s="7"/>
      <c r="BJ142" s="4">
        <v>67</v>
      </c>
      <c r="BK142" s="8">
        <v>1202.88</v>
      </c>
      <c r="BL142" s="2" t="s">
        <v>1000</v>
      </c>
      <c r="BM142" s="7"/>
      <c r="BN142" s="7"/>
      <c r="BO142" s="4"/>
      <c r="BP142" s="8"/>
      <c r="BQ142" s="4"/>
      <c r="BR142" s="8"/>
      <c r="BS142" s="7"/>
      <c r="BT142" s="7"/>
      <c r="BU142" s="2" t="s">
        <v>1001</v>
      </c>
      <c r="BV142" s="2" t="s">
        <v>233</v>
      </c>
      <c r="BW142" s="2" t="s">
        <v>233</v>
      </c>
      <c r="BX142" s="2" t="s">
        <v>241</v>
      </c>
      <c r="BY142" s="2" t="s">
        <v>242</v>
      </c>
      <c r="BZ142" s="2" t="s">
        <v>230</v>
      </c>
      <c r="CA142" s="2" t="s">
        <v>243</v>
      </c>
      <c r="CB142" s="2" t="s">
        <v>1002</v>
      </c>
      <c r="CC142" s="2" t="s">
        <v>245</v>
      </c>
      <c r="CD142" s="2" t="s">
        <v>233</v>
      </c>
      <c r="CE142" s="4">
        <v>185</v>
      </c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>
        <v>260</v>
      </c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>
        <v>108</v>
      </c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>
        <v>199</v>
      </c>
      <c r="GD142" s="4">
        <v>172</v>
      </c>
      <c r="GE142" s="4">
        <v>157</v>
      </c>
      <c r="GF142" s="4">
        <v>144</v>
      </c>
      <c r="GG142" s="4">
        <v>387</v>
      </c>
      <c r="GH142" s="4">
        <v>374</v>
      </c>
      <c r="GI142" s="4">
        <v>357</v>
      </c>
      <c r="GJ142" s="4">
        <v>347</v>
      </c>
      <c r="GK142" s="4">
        <v>335</v>
      </c>
      <c r="GL142" s="4">
        <v>325</v>
      </c>
      <c r="GM142" s="4">
        <v>315</v>
      </c>
      <c r="GN142" s="4">
        <v>305</v>
      </c>
      <c r="GO142" s="4">
        <v>403</v>
      </c>
      <c r="GP142" s="4">
        <v>392</v>
      </c>
      <c r="GQ142" s="4">
        <v>380</v>
      </c>
      <c r="GR142" s="4">
        <v>368</v>
      </c>
      <c r="GS142" s="4">
        <v>356</v>
      </c>
      <c r="GT142" s="4">
        <v>342</v>
      </c>
      <c r="GU142" s="4">
        <v>330</v>
      </c>
      <c r="GV142" s="4">
        <v>318</v>
      </c>
      <c r="GW142" s="4">
        <v>306</v>
      </c>
      <c r="GX142" s="4">
        <v>294</v>
      </c>
      <c r="GY142" s="4">
        <v>282</v>
      </c>
      <c r="GZ142" s="4">
        <v>270</v>
      </c>
      <c r="HA142" s="4">
        <v>258</v>
      </c>
      <c r="HB142" s="4">
        <v>246</v>
      </c>
      <c r="HC142" s="19">
        <v>11.1</v>
      </c>
      <c r="HD142" s="19">
        <v>12.3</v>
      </c>
      <c r="HE142" s="19">
        <v>10.5</v>
      </c>
      <c r="HF142" s="19">
        <v>10.3</v>
      </c>
      <c r="HG142" s="19">
        <v>29.8</v>
      </c>
      <c r="HH142" s="19">
        <v>31.2</v>
      </c>
      <c r="HI142" s="19">
        <v>35.7</v>
      </c>
      <c r="HJ142" s="19">
        <v>34.7</v>
      </c>
      <c r="HK142" s="19">
        <v>33.5</v>
      </c>
      <c r="HL142" s="19">
        <v>32.5</v>
      </c>
      <c r="HM142" s="19">
        <v>28.6</v>
      </c>
      <c r="HN142" s="19">
        <v>27.7</v>
      </c>
      <c r="HO142" s="19">
        <v>33.6</v>
      </c>
      <c r="HP142" s="19">
        <v>32.7</v>
      </c>
      <c r="HQ142" s="19">
        <v>31.7</v>
      </c>
      <c r="HR142" s="19">
        <v>30.7</v>
      </c>
      <c r="HS142" s="19">
        <v>29.7</v>
      </c>
      <c r="HT142" s="19">
        <v>28.5</v>
      </c>
      <c r="HU142" s="19">
        <v>27.5</v>
      </c>
      <c r="HV142" s="19">
        <v>26.5</v>
      </c>
      <c r="HW142" s="19">
        <v>25.5</v>
      </c>
      <c r="HX142" s="19">
        <v>24.5</v>
      </c>
      <c r="HY142" s="19">
        <v>23.5</v>
      </c>
      <c r="HZ142" s="19">
        <v>22.5</v>
      </c>
      <c r="IA142" s="19">
        <v>21.5</v>
      </c>
      <c r="IB142" s="19">
        <v>20.5</v>
      </c>
    </row>
    <row r="143">
      <c r="A143" s="2" t="s">
        <v>1003</v>
      </c>
      <c r="B143" s="2" t="s">
        <v>938</v>
      </c>
      <c r="C143" s="2" t="s">
        <v>280</v>
      </c>
      <c r="D143" s="2" t="s">
        <v>972</v>
      </c>
      <c r="E143" s="2" t="s">
        <v>973</v>
      </c>
      <c r="F143" s="2" t="s">
        <v>995</v>
      </c>
      <c r="G143" s="2" t="s">
        <v>996</v>
      </c>
      <c r="H143" s="2" t="s">
        <v>997</v>
      </c>
      <c r="I143" s="2" t="s">
        <v>998</v>
      </c>
      <c r="J143" s="2" t="s">
        <v>1004</v>
      </c>
      <c r="K143" s="2" t="s">
        <v>229</v>
      </c>
      <c r="L143" s="3">
        <v>19.35</v>
      </c>
      <c r="M143" s="3">
        <v>20.32</v>
      </c>
      <c r="N143" s="3">
        <v>42.99</v>
      </c>
      <c r="O143" s="2" t="s">
        <v>230</v>
      </c>
      <c r="P143" s="2" t="s">
        <v>231</v>
      </c>
      <c r="Q143" s="2" t="s">
        <v>232</v>
      </c>
      <c r="R143" s="2" t="s">
        <v>233</v>
      </c>
      <c r="S143" s="2" t="s">
        <v>999</v>
      </c>
      <c r="T143" s="2" t="s">
        <v>233</v>
      </c>
      <c r="U143" s="2" t="s">
        <v>233</v>
      </c>
      <c r="V143" s="2" t="s">
        <v>361</v>
      </c>
      <c r="W143" s="2" t="s">
        <v>712</v>
      </c>
      <c r="X143" s="2" t="s">
        <v>980</v>
      </c>
      <c r="Y143" s="2" t="s">
        <v>238</v>
      </c>
      <c r="Z143" s="4">
        <v>197</v>
      </c>
      <c r="AA143" s="4">
        <f>=ROUNDDOWN(24.625,0)</f>
      </c>
      <c r="AB143" s="5">
        <v>8</v>
      </c>
      <c r="AC143" s="2" t="s">
        <v>153</v>
      </c>
      <c r="AD143" s="4">
        <v>12</v>
      </c>
      <c r="AE143" s="4">
        <v>180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233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233</v>
      </c>
      <c r="AW143" s="8" t="s">
        <v>233</v>
      </c>
      <c r="AX143" s="4" t="s">
        <v>233</v>
      </c>
      <c r="AY143" s="8" t="s">
        <v>233</v>
      </c>
      <c r="AZ143" s="7" t="s">
        <v>233</v>
      </c>
      <c r="BA143" s="7" t="s">
        <v>233</v>
      </c>
      <c r="BB143" s="7"/>
      <c r="BC143" s="4" t="s">
        <v>233</v>
      </c>
      <c r="BD143" s="8" t="s">
        <v>233</v>
      </c>
      <c r="BE143" s="4" t="s">
        <v>233</v>
      </c>
      <c r="BF143" s="8" t="s">
        <v>233</v>
      </c>
      <c r="BG143" s="7" t="s">
        <v>233</v>
      </c>
      <c r="BH143" s="7" t="s">
        <v>233</v>
      </c>
      <c r="BI143" s="7"/>
      <c r="BJ143" s="4">
        <v>57</v>
      </c>
      <c r="BK143" s="8">
        <v>1243.96</v>
      </c>
      <c r="BL143" s="2" t="s">
        <v>1005</v>
      </c>
      <c r="BM143" s="7"/>
      <c r="BN143" s="7"/>
      <c r="BO143" s="4"/>
      <c r="BP143" s="8"/>
      <c r="BQ143" s="4"/>
      <c r="BR143" s="8"/>
      <c r="BS143" s="7"/>
      <c r="BT143" s="7"/>
      <c r="BU143" s="2" t="s">
        <v>1001</v>
      </c>
      <c r="BV143" s="2" t="s">
        <v>233</v>
      </c>
      <c r="BW143" s="2" t="s">
        <v>233</v>
      </c>
      <c r="BX143" s="2" t="s">
        <v>241</v>
      </c>
      <c r="BY143" s="2" t="s">
        <v>242</v>
      </c>
      <c r="BZ143" s="2" t="s">
        <v>230</v>
      </c>
      <c r="CA143" s="2" t="s">
        <v>243</v>
      </c>
      <c r="CB143" s="2" t="s">
        <v>1006</v>
      </c>
      <c r="CC143" s="2" t="s">
        <v>245</v>
      </c>
      <c r="CD143" s="2" t="s">
        <v>233</v>
      </c>
      <c r="CE143" s="4">
        <v>197</v>
      </c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>
        <v>12</v>
      </c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>
        <v>168</v>
      </c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>
        <v>205</v>
      </c>
      <c r="GD143" s="4">
        <v>192</v>
      </c>
      <c r="GE143" s="4">
        <v>181</v>
      </c>
      <c r="GF143" s="4">
        <v>171</v>
      </c>
      <c r="GG143" s="4">
        <v>170</v>
      </c>
      <c r="GH143" s="4">
        <v>161</v>
      </c>
      <c r="GI143" s="4">
        <v>149</v>
      </c>
      <c r="GJ143" s="4">
        <v>142</v>
      </c>
      <c r="GK143" s="4">
        <v>134</v>
      </c>
      <c r="GL143" s="4">
        <v>127</v>
      </c>
      <c r="GM143" s="4">
        <v>120</v>
      </c>
      <c r="GN143" s="4">
        <v>113</v>
      </c>
      <c r="GO143" s="4">
        <v>274</v>
      </c>
      <c r="GP143" s="4">
        <v>266</v>
      </c>
      <c r="GQ143" s="4">
        <v>258</v>
      </c>
      <c r="GR143" s="4">
        <v>250</v>
      </c>
      <c r="GS143" s="4">
        <v>242</v>
      </c>
      <c r="GT143" s="4">
        <v>233</v>
      </c>
      <c r="GU143" s="4">
        <v>225</v>
      </c>
      <c r="GV143" s="4">
        <v>217</v>
      </c>
      <c r="GW143" s="4">
        <v>209</v>
      </c>
      <c r="GX143" s="4">
        <v>201</v>
      </c>
      <c r="GY143" s="4">
        <v>193</v>
      </c>
      <c r="GZ143" s="4">
        <v>185</v>
      </c>
      <c r="HA143" s="4">
        <v>177</v>
      </c>
      <c r="HB143" s="4">
        <v>169</v>
      </c>
      <c r="HC143" s="19">
        <v>17.1</v>
      </c>
      <c r="HD143" s="19">
        <v>17.5</v>
      </c>
      <c r="HE143" s="19">
        <v>16.5</v>
      </c>
      <c r="HF143" s="19">
        <v>17.1</v>
      </c>
      <c r="HG143" s="19">
        <v>18.9</v>
      </c>
      <c r="HH143" s="19">
        <v>20.1</v>
      </c>
      <c r="HI143" s="19">
        <v>21.3</v>
      </c>
      <c r="HJ143" s="19">
        <v>20.3</v>
      </c>
      <c r="HK143" s="19">
        <v>19.1</v>
      </c>
      <c r="HL143" s="19">
        <v>18.1</v>
      </c>
      <c r="HM143" s="19">
        <v>15</v>
      </c>
      <c r="HN143" s="19">
        <v>14.1</v>
      </c>
      <c r="HO143" s="19">
        <v>34.3</v>
      </c>
      <c r="HP143" s="19">
        <v>33.3</v>
      </c>
      <c r="HQ143" s="19">
        <v>32.3</v>
      </c>
      <c r="HR143" s="19">
        <v>31.3</v>
      </c>
      <c r="HS143" s="19">
        <v>30.3</v>
      </c>
      <c r="HT143" s="19">
        <v>29.1</v>
      </c>
      <c r="HU143" s="19">
        <v>28.1</v>
      </c>
      <c r="HV143" s="19">
        <v>27.1</v>
      </c>
      <c r="HW143" s="19">
        <v>26.1</v>
      </c>
      <c r="HX143" s="19">
        <v>25.1</v>
      </c>
      <c r="HY143" s="19">
        <v>24.1</v>
      </c>
      <c r="HZ143" s="19">
        <v>23.1</v>
      </c>
      <c r="IA143" s="19">
        <v>22.1</v>
      </c>
      <c r="IB143" s="19">
        <v>21.1</v>
      </c>
    </row>
    <row r="144">
      <c r="A144" s="2" t="s">
        <v>1007</v>
      </c>
      <c r="B144" s="2" t="s">
        <v>938</v>
      </c>
      <c r="C144" s="2" t="s">
        <v>280</v>
      </c>
      <c r="D144" s="2" t="s">
        <v>972</v>
      </c>
      <c r="E144" s="2" t="s">
        <v>973</v>
      </c>
      <c r="F144" s="2" t="s">
        <v>995</v>
      </c>
      <c r="G144" s="2" t="s">
        <v>996</v>
      </c>
      <c r="H144" s="2" t="s">
        <v>997</v>
      </c>
      <c r="I144" s="2" t="s">
        <v>998</v>
      </c>
      <c r="J144" s="2" t="s">
        <v>978</v>
      </c>
      <c r="K144" s="2" t="s">
        <v>300</v>
      </c>
      <c r="L144" s="3">
        <v>16.65</v>
      </c>
      <c r="M144" s="3">
        <v>17.48</v>
      </c>
      <c r="N144" s="3">
        <v>36.99</v>
      </c>
      <c r="O144" s="2" t="s">
        <v>230</v>
      </c>
      <c r="P144" s="2" t="s">
        <v>231</v>
      </c>
      <c r="Q144" s="2" t="s">
        <v>232</v>
      </c>
      <c r="R144" s="2" t="s">
        <v>233</v>
      </c>
      <c r="S144" s="2" t="s">
        <v>1008</v>
      </c>
      <c r="T144" s="2" t="s">
        <v>233</v>
      </c>
      <c r="U144" s="2" t="s">
        <v>233</v>
      </c>
      <c r="V144" s="2" t="s">
        <v>361</v>
      </c>
      <c r="W144" s="2" t="s">
        <v>712</v>
      </c>
      <c r="X144" s="2" t="s">
        <v>980</v>
      </c>
      <c r="Y144" s="2" t="s">
        <v>238</v>
      </c>
      <c r="Z144" s="4">
        <v>186</v>
      </c>
      <c r="AA144" s="4">
        <f>=ROUNDDOWN(18.6,0)</f>
      </c>
      <c r="AB144" s="5">
        <v>10</v>
      </c>
      <c r="AC144" s="2" t="s">
        <v>153</v>
      </c>
      <c r="AD144" s="4">
        <v>132</v>
      </c>
      <c r="AE144" s="4">
        <v>300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233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233</v>
      </c>
      <c r="AW144" s="8" t="s">
        <v>233</v>
      </c>
      <c r="AX144" s="4" t="s">
        <v>233</v>
      </c>
      <c r="AY144" s="8" t="s">
        <v>233</v>
      </c>
      <c r="AZ144" s="7" t="s">
        <v>233</v>
      </c>
      <c r="BA144" s="7" t="s">
        <v>233</v>
      </c>
      <c r="BB144" s="7"/>
      <c r="BC144" s="4" t="s">
        <v>233</v>
      </c>
      <c r="BD144" s="8" t="s">
        <v>233</v>
      </c>
      <c r="BE144" s="4" t="s">
        <v>233</v>
      </c>
      <c r="BF144" s="8" t="s">
        <v>233</v>
      </c>
      <c r="BG144" s="7" t="s">
        <v>233</v>
      </c>
      <c r="BH144" s="7" t="s">
        <v>233</v>
      </c>
      <c r="BI144" s="7"/>
      <c r="BJ144" s="4">
        <v>46</v>
      </c>
      <c r="BK144" s="8">
        <v>1084.48</v>
      </c>
      <c r="BL144" s="2" t="s">
        <v>1009</v>
      </c>
      <c r="BM144" s="7"/>
      <c r="BN144" s="7"/>
      <c r="BO144" s="4"/>
      <c r="BP144" s="8"/>
      <c r="BQ144" s="4"/>
      <c r="BR144" s="8"/>
      <c r="BS144" s="7"/>
      <c r="BT144" s="7"/>
      <c r="BU144" s="2" t="s">
        <v>1001</v>
      </c>
      <c r="BV144" s="2" t="s">
        <v>233</v>
      </c>
      <c r="BW144" s="2" t="s">
        <v>233</v>
      </c>
      <c r="BX144" s="2" t="s">
        <v>241</v>
      </c>
      <c r="BY144" s="2" t="s">
        <v>242</v>
      </c>
      <c r="BZ144" s="2" t="s">
        <v>230</v>
      </c>
      <c r="CA144" s="2" t="s">
        <v>243</v>
      </c>
      <c r="CB144" s="2" t="s">
        <v>1002</v>
      </c>
      <c r="CC144" s="2" t="s">
        <v>245</v>
      </c>
      <c r="CD144" s="2" t="s">
        <v>233</v>
      </c>
      <c r="CE144" s="4">
        <v>186</v>
      </c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>
        <v>132</v>
      </c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>
        <v>168</v>
      </c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>
        <v>190</v>
      </c>
      <c r="GD144" s="4">
        <v>174</v>
      </c>
      <c r="GE144" s="4">
        <v>160</v>
      </c>
      <c r="GF144" s="4">
        <v>148</v>
      </c>
      <c r="GG144" s="4">
        <v>265</v>
      </c>
      <c r="GH144" s="4">
        <v>252</v>
      </c>
      <c r="GI144" s="4">
        <v>236</v>
      </c>
      <c r="GJ144" s="4">
        <v>226</v>
      </c>
      <c r="GK144" s="4">
        <v>214</v>
      </c>
      <c r="GL144" s="4">
        <v>204</v>
      </c>
      <c r="GM144" s="4">
        <v>194</v>
      </c>
      <c r="GN144" s="4">
        <v>184</v>
      </c>
      <c r="GO144" s="4">
        <v>342</v>
      </c>
      <c r="GP144" s="4">
        <v>332</v>
      </c>
      <c r="GQ144" s="4">
        <v>322</v>
      </c>
      <c r="GR144" s="4">
        <v>312</v>
      </c>
      <c r="GS144" s="4">
        <v>302</v>
      </c>
      <c r="GT144" s="4">
        <v>290</v>
      </c>
      <c r="GU144" s="4">
        <v>280</v>
      </c>
      <c r="GV144" s="4">
        <v>270</v>
      </c>
      <c r="GW144" s="4">
        <v>260</v>
      </c>
      <c r="GX144" s="4">
        <v>250</v>
      </c>
      <c r="GY144" s="4">
        <v>240</v>
      </c>
      <c r="GZ144" s="4">
        <v>230</v>
      </c>
      <c r="HA144" s="4">
        <v>220</v>
      </c>
      <c r="HB144" s="4">
        <v>210</v>
      </c>
      <c r="HC144" s="19">
        <v>13.6</v>
      </c>
      <c r="HD144" s="19">
        <v>12.4</v>
      </c>
      <c r="HE144" s="19">
        <v>11.4</v>
      </c>
      <c r="HF144" s="19">
        <v>10.6</v>
      </c>
      <c r="HG144" s="19">
        <v>20.4</v>
      </c>
      <c r="HH144" s="19">
        <v>21</v>
      </c>
      <c r="HI144" s="19">
        <v>23.6</v>
      </c>
      <c r="HJ144" s="19">
        <v>22.6</v>
      </c>
      <c r="HK144" s="19">
        <v>21.4</v>
      </c>
      <c r="HL144" s="19">
        <v>20.4</v>
      </c>
      <c r="HM144" s="19">
        <v>19.4</v>
      </c>
      <c r="HN144" s="19">
        <v>18.4</v>
      </c>
      <c r="HO144" s="19">
        <v>34.2</v>
      </c>
      <c r="HP144" s="19">
        <v>33.2</v>
      </c>
      <c r="HQ144" s="19">
        <v>32.2</v>
      </c>
      <c r="HR144" s="19">
        <v>31.2</v>
      </c>
      <c r="HS144" s="19">
        <v>30.2</v>
      </c>
      <c r="HT144" s="19">
        <v>29</v>
      </c>
      <c r="HU144" s="19">
        <v>28</v>
      </c>
      <c r="HV144" s="19">
        <v>27</v>
      </c>
      <c r="HW144" s="19">
        <v>26</v>
      </c>
      <c r="HX144" s="19">
        <v>25</v>
      </c>
      <c r="HY144" s="19">
        <v>24</v>
      </c>
      <c r="HZ144" s="19">
        <v>23</v>
      </c>
      <c r="IA144" s="19">
        <v>22</v>
      </c>
      <c r="IB144" s="19">
        <v>21</v>
      </c>
    </row>
    <row r="145">
      <c r="A145" s="2" t="s">
        <v>1010</v>
      </c>
      <c r="B145" s="2" t="s">
        <v>938</v>
      </c>
      <c r="C145" s="2" t="s">
        <v>280</v>
      </c>
      <c r="D145" s="2" t="s">
        <v>972</v>
      </c>
      <c r="E145" s="2" t="s">
        <v>973</v>
      </c>
      <c r="F145" s="2" t="s">
        <v>995</v>
      </c>
      <c r="G145" s="2" t="s">
        <v>996</v>
      </c>
      <c r="H145" s="2" t="s">
        <v>997</v>
      </c>
      <c r="I145" s="2" t="s">
        <v>998</v>
      </c>
      <c r="J145" s="2" t="s">
        <v>1004</v>
      </c>
      <c r="K145" s="2" t="s">
        <v>300</v>
      </c>
      <c r="L145" s="3">
        <v>19.35</v>
      </c>
      <c r="M145" s="3">
        <v>20.32</v>
      </c>
      <c r="N145" s="3">
        <v>42.99</v>
      </c>
      <c r="O145" s="2" t="s">
        <v>230</v>
      </c>
      <c r="P145" s="2" t="s">
        <v>231</v>
      </c>
      <c r="Q145" s="2" t="s">
        <v>232</v>
      </c>
      <c r="R145" s="2" t="s">
        <v>233</v>
      </c>
      <c r="S145" s="2" t="s">
        <v>1008</v>
      </c>
      <c r="T145" s="2" t="s">
        <v>233</v>
      </c>
      <c r="U145" s="2" t="s">
        <v>233</v>
      </c>
      <c r="V145" s="2" t="s">
        <v>361</v>
      </c>
      <c r="W145" s="2" t="s">
        <v>712</v>
      </c>
      <c r="X145" s="2" t="s">
        <v>980</v>
      </c>
      <c r="Y145" s="2" t="s">
        <v>238</v>
      </c>
      <c r="Z145" s="4">
        <v>54</v>
      </c>
      <c r="AA145" s="4">
        <f>=ROUNDDOWN(10.8,0)</f>
      </c>
      <c r="AB145" s="5">
        <v>5</v>
      </c>
      <c r="AC145" s="2" t="s">
        <v>153</v>
      </c>
      <c r="AD145" s="4">
        <v>68</v>
      </c>
      <c r="AE145" s="4">
        <v>192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233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233</v>
      </c>
      <c r="AW145" s="8" t="s">
        <v>233</v>
      </c>
      <c r="AX145" s="4" t="s">
        <v>233</v>
      </c>
      <c r="AY145" s="8" t="s">
        <v>233</v>
      </c>
      <c r="AZ145" s="7" t="s">
        <v>233</v>
      </c>
      <c r="BA145" s="7" t="s">
        <v>233</v>
      </c>
      <c r="BB145" s="7"/>
      <c r="BC145" s="4" t="s">
        <v>233</v>
      </c>
      <c r="BD145" s="8" t="s">
        <v>233</v>
      </c>
      <c r="BE145" s="4" t="s">
        <v>233</v>
      </c>
      <c r="BF145" s="8" t="s">
        <v>233</v>
      </c>
      <c r="BG145" s="7" t="s">
        <v>233</v>
      </c>
      <c r="BH145" s="7" t="s">
        <v>233</v>
      </c>
      <c r="BI145" s="7"/>
      <c r="BJ145" s="4">
        <v>24</v>
      </c>
      <c r="BK145" s="8">
        <v>571.3</v>
      </c>
      <c r="BL145" s="2" t="s">
        <v>1011</v>
      </c>
      <c r="BM145" s="7"/>
      <c r="BN145" s="7"/>
      <c r="BO145" s="4"/>
      <c r="BP145" s="8"/>
      <c r="BQ145" s="4"/>
      <c r="BR145" s="8"/>
      <c r="BS145" s="7"/>
      <c r="BT145" s="7"/>
      <c r="BU145" s="2" t="s">
        <v>1001</v>
      </c>
      <c r="BV145" s="2" t="s">
        <v>233</v>
      </c>
      <c r="BW145" s="2" t="s">
        <v>233</v>
      </c>
      <c r="BX145" s="2" t="s">
        <v>241</v>
      </c>
      <c r="BY145" s="2" t="s">
        <v>242</v>
      </c>
      <c r="BZ145" s="2" t="s">
        <v>230</v>
      </c>
      <c r="CA145" s="2" t="s">
        <v>243</v>
      </c>
      <c r="CB145" s="2" t="s">
        <v>1012</v>
      </c>
      <c r="CC145" s="2" t="s">
        <v>245</v>
      </c>
      <c r="CD145" s="2" t="s">
        <v>233</v>
      </c>
      <c r="CE145" s="4">
        <v>54</v>
      </c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>
        <v>68</v>
      </c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>
        <v>124</v>
      </c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>
        <v>64</v>
      </c>
      <c r="GD145" s="4">
        <v>51</v>
      </c>
      <c r="GE145" s="4">
        <v>44</v>
      </c>
      <c r="GF145" s="4">
        <v>38</v>
      </c>
      <c r="GG145" s="4">
        <v>99</v>
      </c>
      <c r="GH145" s="4">
        <v>93</v>
      </c>
      <c r="GI145" s="4">
        <v>86</v>
      </c>
      <c r="GJ145" s="4">
        <v>81</v>
      </c>
      <c r="GK145" s="4">
        <v>75</v>
      </c>
      <c r="GL145" s="4">
        <v>70</v>
      </c>
      <c r="GM145" s="4">
        <v>65</v>
      </c>
      <c r="GN145" s="4">
        <v>60</v>
      </c>
      <c r="GO145" s="4">
        <v>179</v>
      </c>
      <c r="GP145" s="4">
        <v>174</v>
      </c>
      <c r="GQ145" s="4">
        <v>169</v>
      </c>
      <c r="GR145" s="4">
        <v>164</v>
      </c>
      <c r="GS145" s="4">
        <v>159</v>
      </c>
      <c r="GT145" s="4">
        <v>153</v>
      </c>
      <c r="GU145" s="4">
        <v>148</v>
      </c>
      <c r="GV145" s="4">
        <v>143</v>
      </c>
      <c r="GW145" s="4">
        <v>138</v>
      </c>
      <c r="GX145" s="4">
        <v>133</v>
      </c>
      <c r="GY145" s="4">
        <v>128</v>
      </c>
      <c r="GZ145" s="4">
        <v>123</v>
      </c>
      <c r="HA145" s="4">
        <v>118</v>
      </c>
      <c r="HB145" s="4">
        <v>113</v>
      </c>
      <c r="HC145" s="19">
        <v>8</v>
      </c>
      <c r="HD145" s="19">
        <v>8.5</v>
      </c>
      <c r="HE145" s="19">
        <v>7.3</v>
      </c>
      <c r="HF145" s="19">
        <v>6.3</v>
      </c>
      <c r="HG145" s="19">
        <v>16.5</v>
      </c>
      <c r="HH145" s="19">
        <v>15.5</v>
      </c>
      <c r="HI145" s="19">
        <v>17.2</v>
      </c>
      <c r="HJ145" s="19">
        <v>16.2</v>
      </c>
      <c r="HK145" s="19">
        <v>15</v>
      </c>
      <c r="HL145" s="19">
        <v>14</v>
      </c>
      <c r="HM145" s="19">
        <v>13</v>
      </c>
      <c r="HN145" s="19">
        <v>12</v>
      </c>
      <c r="HO145" s="19">
        <v>35.8</v>
      </c>
      <c r="HP145" s="19">
        <v>34.8</v>
      </c>
      <c r="HQ145" s="19">
        <v>33.8</v>
      </c>
      <c r="HR145" s="19">
        <v>32.8</v>
      </c>
      <c r="HS145" s="19">
        <v>31.8</v>
      </c>
      <c r="HT145" s="19">
        <v>30.6</v>
      </c>
      <c r="HU145" s="19">
        <v>29.6</v>
      </c>
      <c r="HV145" s="19">
        <v>28.6</v>
      </c>
      <c r="HW145" s="19">
        <v>27.6</v>
      </c>
      <c r="HX145" s="19">
        <v>26.6</v>
      </c>
      <c r="HY145" s="19">
        <v>25.6</v>
      </c>
      <c r="HZ145" s="19">
        <v>24.6</v>
      </c>
      <c r="IA145" s="19">
        <v>23.6</v>
      </c>
      <c r="IB145" s="19">
        <v>22.6</v>
      </c>
    </row>
    <row r="146">
      <c r="A146" s="2" t="s">
        <v>1013</v>
      </c>
      <c r="B146" s="2" t="s">
        <v>938</v>
      </c>
      <c r="C146" s="2" t="s">
        <v>280</v>
      </c>
      <c r="D146" s="2" t="s">
        <v>972</v>
      </c>
      <c r="E146" s="2" t="s">
        <v>973</v>
      </c>
      <c r="F146" s="2" t="s">
        <v>995</v>
      </c>
      <c r="G146" s="2" t="s">
        <v>996</v>
      </c>
      <c r="H146" s="2" t="s">
        <v>997</v>
      </c>
      <c r="I146" s="2" t="s">
        <v>998</v>
      </c>
      <c r="J146" s="2" t="s">
        <v>1004</v>
      </c>
      <c r="K146" s="2" t="s">
        <v>1014</v>
      </c>
      <c r="L146" s="3">
        <v>19.35</v>
      </c>
      <c r="M146" s="3">
        <v>20.32</v>
      </c>
      <c r="N146" s="3">
        <v>42.99</v>
      </c>
      <c r="O146" s="2" t="s">
        <v>230</v>
      </c>
      <c r="P146" s="2" t="s">
        <v>231</v>
      </c>
      <c r="Q146" s="2" t="s">
        <v>232</v>
      </c>
      <c r="R146" s="2" t="s">
        <v>233</v>
      </c>
      <c r="S146" s="2" t="s">
        <v>1015</v>
      </c>
      <c r="T146" s="2" t="s">
        <v>233</v>
      </c>
      <c r="U146" s="2" t="s">
        <v>233</v>
      </c>
      <c r="V146" s="2" t="s">
        <v>361</v>
      </c>
      <c r="W146" s="2" t="s">
        <v>712</v>
      </c>
      <c r="X146" s="2" t="s">
        <v>980</v>
      </c>
      <c r="Y146" s="2" t="s">
        <v>238</v>
      </c>
      <c r="Z146" s="4">
        <v>165</v>
      </c>
      <c r="AA146" s="4">
        <f>=ROUNDDOWN(20.625,0)</f>
      </c>
      <c r="AB146" s="5">
        <v>8</v>
      </c>
      <c r="AC146" s="2" t="s">
        <v>474</v>
      </c>
      <c r="AD146" s="4">
        <v>206</v>
      </c>
      <c r="AE146" s="4">
        <v>206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233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/>
      <c r="AW146" s="8"/>
      <c r="AX146" s="4"/>
      <c r="AY146" s="8"/>
      <c r="AZ146" s="7"/>
      <c r="BA146" s="7"/>
      <c r="BB146" s="7"/>
      <c r="BC146" s="4" t="s">
        <v>233</v>
      </c>
      <c r="BD146" s="8" t="s">
        <v>233</v>
      </c>
      <c r="BE146" s="4" t="s">
        <v>233</v>
      </c>
      <c r="BF146" s="8" t="s">
        <v>233</v>
      </c>
      <c r="BG146" s="7" t="s">
        <v>233</v>
      </c>
      <c r="BH146" s="7" t="s">
        <v>233</v>
      </c>
      <c r="BI146" s="7"/>
      <c r="BJ146" s="4">
        <v>36</v>
      </c>
      <c r="BK146" s="8">
        <v>727.67</v>
      </c>
      <c r="BL146" s="2" t="s">
        <v>1016</v>
      </c>
      <c r="BM146" s="7"/>
      <c r="BN146" s="7"/>
      <c r="BO146" s="4"/>
      <c r="BP146" s="8"/>
      <c r="BQ146" s="4"/>
      <c r="BR146" s="8"/>
      <c r="BS146" s="7"/>
      <c r="BT146" s="7"/>
      <c r="BU146" s="2" t="s">
        <v>1001</v>
      </c>
      <c r="BV146" s="2" t="s">
        <v>233</v>
      </c>
      <c r="BW146" s="2" t="s">
        <v>233</v>
      </c>
      <c r="BX146" s="2" t="s">
        <v>241</v>
      </c>
      <c r="BY146" s="2" t="s">
        <v>242</v>
      </c>
      <c r="BZ146" s="2" t="s">
        <v>230</v>
      </c>
      <c r="CA146" s="2" t="s">
        <v>1017</v>
      </c>
      <c r="CB146" s="2" t="s">
        <v>882</v>
      </c>
      <c r="CC146" s="2" t="s">
        <v>245</v>
      </c>
      <c r="CD146" s="2" t="s">
        <v>233</v>
      </c>
      <c r="CE146" s="4">
        <v>165</v>
      </c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>
        <v>206</v>
      </c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>
        <v>166</v>
      </c>
      <c r="GD146" s="4">
        <v>156</v>
      </c>
      <c r="GE146" s="4">
        <v>145</v>
      </c>
      <c r="GF146" s="4">
        <v>135</v>
      </c>
      <c r="GG146" s="4">
        <v>122</v>
      </c>
      <c r="GH146" s="4">
        <v>113</v>
      </c>
      <c r="GI146" s="4">
        <v>101</v>
      </c>
      <c r="GJ146" s="4">
        <v>94</v>
      </c>
      <c r="GK146" s="4">
        <v>86</v>
      </c>
      <c r="GL146" s="4">
        <v>79</v>
      </c>
      <c r="GM146" s="4">
        <v>72</v>
      </c>
      <c r="GN146" s="4">
        <v>65</v>
      </c>
      <c r="GO146" s="4">
        <v>263</v>
      </c>
      <c r="GP146" s="4">
        <v>255</v>
      </c>
      <c r="GQ146" s="4">
        <v>247</v>
      </c>
      <c r="GR146" s="4">
        <v>239</v>
      </c>
      <c r="GS146" s="4">
        <v>231</v>
      </c>
      <c r="GT146" s="4">
        <v>222</v>
      </c>
      <c r="GU146" s="4">
        <v>214</v>
      </c>
      <c r="GV146" s="4">
        <v>206</v>
      </c>
      <c r="GW146" s="4">
        <v>198</v>
      </c>
      <c r="GX146" s="4">
        <v>190</v>
      </c>
      <c r="GY146" s="4">
        <v>182</v>
      </c>
      <c r="GZ146" s="4">
        <v>174</v>
      </c>
      <c r="HA146" s="4">
        <v>166</v>
      </c>
      <c r="HB146" s="4">
        <v>158</v>
      </c>
      <c r="HC146" s="19">
        <v>15.1</v>
      </c>
      <c r="HD146" s="19">
        <v>14.2</v>
      </c>
      <c r="HE146" s="19">
        <v>13.2</v>
      </c>
      <c r="HF146" s="19">
        <v>13.5</v>
      </c>
      <c r="HG146" s="19">
        <v>13.6</v>
      </c>
      <c r="HH146" s="19">
        <v>14.1</v>
      </c>
      <c r="HI146" s="19">
        <v>14.4</v>
      </c>
      <c r="HJ146" s="19">
        <v>13.4</v>
      </c>
      <c r="HK146" s="19">
        <v>12.3</v>
      </c>
      <c r="HL146" s="19">
        <v>9.9</v>
      </c>
      <c r="HM146" s="19">
        <v>9</v>
      </c>
      <c r="HN146" s="19">
        <v>8.1</v>
      </c>
      <c r="HO146" s="19">
        <v>32.9</v>
      </c>
      <c r="HP146" s="19">
        <v>31.9</v>
      </c>
      <c r="HQ146" s="19">
        <v>30.9</v>
      </c>
      <c r="HR146" s="19">
        <v>29.9</v>
      </c>
      <c r="HS146" s="19">
        <v>28.9</v>
      </c>
      <c r="HT146" s="19">
        <v>27.8</v>
      </c>
      <c r="HU146" s="19">
        <v>26.8</v>
      </c>
      <c r="HV146" s="19">
        <v>25.8</v>
      </c>
      <c r="HW146" s="19">
        <v>24.8</v>
      </c>
      <c r="HX146" s="19">
        <v>23.8</v>
      </c>
      <c r="HY146" s="19">
        <v>22.8</v>
      </c>
      <c r="HZ146" s="19">
        <v>21.8</v>
      </c>
      <c r="IA146" s="19">
        <v>20.8</v>
      </c>
      <c r="IB146" s="19">
        <v>19.8</v>
      </c>
    </row>
    <row r="147">
      <c r="A147" s="2" t="s">
        <v>1018</v>
      </c>
      <c r="B147" s="2" t="s">
        <v>938</v>
      </c>
      <c r="C147" s="2" t="s">
        <v>280</v>
      </c>
      <c r="D147" s="2" t="s">
        <v>972</v>
      </c>
      <c r="E147" s="2" t="s">
        <v>973</v>
      </c>
      <c r="F147" s="2" t="s">
        <v>1019</v>
      </c>
      <c r="G147" s="2" t="s">
        <v>1020</v>
      </c>
      <c r="H147" s="2" t="s">
        <v>1021</v>
      </c>
      <c r="I147" s="2" t="s">
        <v>1022</v>
      </c>
      <c r="J147" s="2" t="s">
        <v>978</v>
      </c>
      <c r="K147" s="2" t="s">
        <v>266</v>
      </c>
      <c r="L147" s="3">
        <v>16.1</v>
      </c>
      <c r="M147" s="3">
        <v>16.9</v>
      </c>
      <c r="N147" s="3">
        <v>34.99</v>
      </c>
      <c r="O147" s="2" t="s">
        <v>230</v>
      </c>
      <c r="P147" s="2" t="s">
        <v>586</v>
      </c>
      <c r="Q147" s="2" t="s">
        <v>232</v>
      </c>
      <c r="R147" s="2" t="s">
        <v>233</v>
      </c>
      <c r="S147" s="2" t="s">
        <v>1023</v>
      </c>
      <c r="T147" s="2" t="s">
        <v>233</v>
      </c>
      <c r="U147" s="2" t="s">
        <v>233</v>
      </c>
      <c r="V147" s="2" t="s">
        <v>236</v>
      </c>
      <c r="W147" s="2" t="s">
        <v>916</v>
      </c>
      <c r="X147" s="2" t="s">
        <v>980</v>
      </c>
      <c r="Y147" s="2" t="s">
        <v>238</v>
      </c>
      <c r="Z147" s="4">
        <v>366</v>
      </c>
      <c r="AA147" s="4">
        <f>=ROUNDDOWN(14.64,0)</f>
      </c>
      <c r="AB147" s="5">
        <v>25</v>
      </c>
      <c r="AC147" s="2" t="s">
        <v>145</v>
      </c>
      <c r="AD147" s="4">
        <v>240</v>
      </c>
      <c r="AE147" s="4">
        <v>492</v>
      </c>
      <c r="AF147" s="6">
        <v>65</v>
      </c>
      <c r="AG147" s="6"/>
      <c r="AH147" s="7">
        <v>0.9032</v>
      </c>
      <c r="AI147" s="4"/>
      <c r="AJ147" s="4">
        <f>=ROUNDDOWN({0},0)</f>
      </c>
      <c r="AK147" s="5"/>
      <c r="AL147" s="2" t="s">
        <v>233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/>
      <c r="AW147" s="8"/>
      <c r="AX147" s="4"/>
      <c r="AY147" s="8"/>
      <c r="AZ147" s="7"/>
      <c r="BA147" s="7"/>
      <c r="BB147" s="7"/>
      <c r="BC147" s="4"/>
      <c r="BD147" s="8"/>
      <c r="BE147" s="4"/>
      <c r="BF147" s="8"/>
      <c r="BG147" s="7"/>
      <c r="BH147" s="7"/>
      <c r="BI147" s="7"/>
      <c r="BJ147" s="4">
        <v>49</v>
      </c>
      <c r="BK147" s="8">
        <v>893.39</v>
      </c>
      <c r="BL147" s="2" t="s">
        <v>1024</v>
      </c>
      <c r="BM147" s="7"/>
      <c r="BN147" s="7"/>
      <c r="BO147" s="4"/>
      <c r="BP147" s="8"/>
      <c r="BQ147" s="4"/>
      <c r="BR147" s="8"/>
      <c r="BS147" s="7"/>
      <c r="BT147" s="7"/>
      <c r="BU147" s="2" t="s">
        <v>1025</v>
      </c>
      <c r="BV147" s="2" t="s">
        <v>233</v>
      </c>
      <c r="BW147" s="2" t="s">
        <v>233</v>
      </c>
      <c r="BX147" s="2" t="s">
        <v>241</v>
      </c>
      <c r="BY147" s="2" t="s">
        <v>242</v>
      </c>
      <c r="BZ147" s="2" t="s">
        <v>230</v>
      </c>
      <c r="CA147" s="2" t="s">
        <v>243</v>
      </c>
      <c r="CB147" s="2" t="s">
        <v>1026</v>
      </c>
      <c r="CC147" s="2" t="s">
        <v>245</v>
      </c>
      <c r="CD147" s="2" t="s">
        <v>233</v>
      </c>
      <c r="CE147" s="4">
        <v>366</v>
      </c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>
        <v>240</v>
      </c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>
        <v>172</v>
      </c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>
        <v>80</v>
      </c>
      <c r="FX147" s="4"/>
      <c r="FY147" s="4"/>
      <c r="FZ147" s="4"/>
      <c r="GA147" s="4"/>
      <c r="GB147" s="4"/>
      <c r="GC147" s="4">
        <v>373</v>
      </c>
      <c r="GD147" s="4">
        <v>319</v>
      </c>
      <c r="GE147" s="4">
        <v>286</v>
      </c>
      <c r="GF147" s="4">
        <v>496</v>
      </c>
      <c r="GG147" s="4">
        <v>460</v>
      </c>
      <c r="GH147" s="4">
        <v>602</v>
      </c>
      <c r="GI147" s="4">
        <v>566</v>
      </c>
      <c r="GJ147" s="4">
        <v>541</v>
      </c>
      <c r="GK147" s="4">
        <v>513</v>
      </c>
      <c r="GL147" s="4">
        <v>488</v>
      </c>
      <c r="GM147" s="4">
        <v>461</v>
      </c>
      <c r="GN147" s="4">
        <v>436</v>
      </c>
      <c r="GO147" s="4">
        <v>411</v>
      </c>
      <c r="GP147" s="4">
        <v>386</v>
      </c>
      <c r="GQ147" s="4">
        <v>361</v>
      </c>
      <c r="GR147" s="4">
        <v>336</v>
      </c>
      <c r="GS147" s="4">
        <v>311</v>
      </c>
      <c r="GT147" s="4">
        <v>283</v>
      </c>
      <c r="GU147" s="4">
        <v>338</v>
      </c>
      <c r="GV147" s="4">
        <v>313</v>
      </c>
      <c r="GW147" s="4">
        <v>288</v>
      </c>
      <c r="GX147" s="4">
        <v>263</v>
      </c>
      <c r="GY147" s="4">
        <v>238</v>
      </c>
      <c r="GZ147" s="4">
        <v>213</v>
      </c>
      <c r="HA147" s="4">
        <v>486</v>
      </c>
      <c r="HB147" s="4">
        <v>461</v>
      </c>
      <c r="HC147" s="19">
        <v>9.8</v>
      </c>
      <c r="HD147" s="19">
        <v>10</v>
      </c>
      <c r="HE147" s="19">
        <v>8.7</v>
      </c>
      <c r="HF147" s="19">
        <v>15.5</v>
      </c>
      <c r="HG147" s="19">
        <v>15.3</v>
      </c>
      <c r="HH147" s="19">
        <v>21.5</v>
      </c>
      <c r="HI147" s="19">
        <v>21.8</v>
      </c>
      <c r="HJ147" s="19">
        <v>20.8</v>
      </c>
      <c r="HK147" s="19">
        <v>19.7</v>
      </c>
      <c r="HL147" s="19">
        <v>18.8</v>
      </c>
      <c r="HM147" s="19">
        <v>18.4</v>
      </c>
      <c r="HN147" s="19">
        <v>17.4</v>
      </c>
      <c r="HO147" s="19">
        <v>16.4</v>
      </c>
      <c r="HP147" s="19">
        <v>14.8</v>
      </c>
      <c r="HQ147" s="19">
        <v>13.9</v>
      </c>
      <c r="HR147" s="19">
        <v>12.9</v>
      </c>
      <c r="HS147" s="19">
        <v>12</v>
      </c>
      <c r="HT147" s="19">
        <v>11.3</v>
      </c>
      <c r="HU147" s="19">
        <v>13.5</v>
      </c>
      <c r="HV147" s="19">
        <v>12.5</v>
      </c>
      <c r="HW147" s="19">
        <v>11.1</v>
      </c>
      <c r="HX147" s="19">
        <v>10.1</v>
      </c>
      <c r="HY147" s="19">
        <v>9.2</v>
      </c>
      <c r="HZ147" s="19">
        <v>8.2</v>
      </c>
      <c r="IA147" s="19">
        <v>19.4</v>
      </c>
      <c r="IB147" s="19">
        <v>17.7</v>
      </c>
    </row>
    <row r="148">
      <c r="A148" s="2" t="s">
        <v>1027</v>
      </c>
      <c r="B148" s="2" t="s">
        <v>773</v>
      </c>
      <c r="C148" s="2" t="s">
        <v>280</v>
      </c>
      <c r="D148" s="2" t="s">
        <v>774</v>
      </c>
      <c r="E148" s="2" t="s">
        <v>775</v>
      </c>
      <c r="F148" s="2" t="s">
        <v>1028</v>
      </c>
      <c r="G148" s="2" t="s">
        <v>1029</v>
      </c>
      <c r="H148" s="2" t="s">
        <v>1030</v>
      </c>
      <c r="I148" s="2" t="s">
        <v>1031</v>
      </c>
      <c r="J148" s="2" t="s">
        <v>265</v>
      </c>
      <c r="K148" s="2" t="s">
        <v>452</v>
      </c>
      <c r="L148" s="3">
        <v>37.14</v>
      </c>
      <c r="M148" s="3">
        <v>39</v>
      </c>
      <c r="N148" s="3">
        <v>74.99</v>
      </c>
      <c r="O148" s="2" t="s">
        <v>230</v>
      </c>
      <c r="P148" s="2" t="s">
        <v>231</v>
      </c>
      <c r="Q148" s="2" t="s">
        <v>232</v>
      </c>
      <c r="R148" s="2" t="s">
        <v>233</v>
      </c>
      <c r="S148" s="2" t="s">
        <v>1032</v>
      </c>
      <c r="T148" s="2" t="s">
        <v>780</v>
      </c>
      <c r="U148" s="2" t="s">
        <v>781</v>
      </c>
      <c r="V148" s="2" t="s">
        <v>1033</v>
      </c>
      <c r="W148" s="2" t="s">
        <v>1034</v>
      </c>
      <c r="X148" s="2" t="s">
        <v>712</v>
      </c>
      <c r="Y148" s="2" t="s">
        <v>1035</v>
      </c>
      <c r="Z148" s="4">
        <v>335</v>
      </c>
      <c r="AA148" s="4">
        <f>=ROUNDDOWN(111.666666666667,0)</f>
      </c>
      <c r="AB148" s="5">
        <v>3</v>
      </c>
      <c r="AC148" s="2" t="s">
        <v>233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233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/>
      <c r="BD148" s="8"/>
      <c r="BE148" s="4"/>
      <c r="BF148" s="8"/>
      <c r="BG148" s="7"/>
      <c r="BH148" s="7"/>
      <c r="BI148" s="7"/>
      <c r="BJ148" s="4">
        <v>27</v>
      </c>
      <c r="BK148" s="8">
        <v>1111.1</v>
      </c>
      <c r="BL148" s="2" t="s">
        <v>784</v>
      </c>
      <c r="BM148" s="7"/>
      <c r="BN148" s="7"/>
      <c r="BO148" s="4"/>
      <c r="BP148" s="8"/>
      <c r="BQ148" s="4"/>
      <c r="BR148" s="8"/>
      <c r="BS148" s="7"/>
      <c r="BT148" s="7"/>
      <c r="BU148" s="2" t="s">
        <v>1036</v>
      </c>
      <c r="BV148" s="2" t="s">
        <v>233</v>
      </c>
      <c r="BW148" s="2" t="s">
        <v>233</v>
      </c>
      <c r="BX148" s="2" t="s">
        <v>241</v>
      </c>
      <c r="BY148" s="2" t="s">
        <v>242</v>
      </c>
      <c r="BZ148" s="2" t="s">
        <v>230</v>
      </c>
      <c r="CA148" s="2" t="s">
        <v>1037</v>
      </c>
      <c r="CB148" s="2" t="s">
        <v>1038</v>
      </c>
      <c r="CC148" s="2" t="s">
        <v>245</v>
      </c>
      <c r="CD148" s="2" t="s">
        <v>233</v>
      </c>
      <c r="CE148" s="4">
        <v>209</v>
      </c>
      <c r="CF148" s="4">
        <v>126</v>
      </c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>
        <v>340</v>
      </c>
      <c r="GD148" s="4">
        <v>322</v>
      </c>
      <c r="GE148" s="4">
        <v>306</v>
      </c>
      <c r="GF148" s="4">
        <v>281</v>
      </c>
      <c r="GG148" s="4">
        <v>229</v>
      </c>
      <c r="GH148" s="4">
        <v>203</v>
      </c>
      <c r="GI148" s="4">
        <v>178</v>
      </c>
      <c r="GJ148" s="4">
        <v>159</v>
      </c>
      <c r="GK148" s="4">
        <v>153</v>
      </c>
      <c r="GL148" s="4">
        <v>149</v>
      </c>
      <c r="GM148" s="4">
        <v>145</v>
      </c>
      <c r="GN148" s="4">
        <v>141</v>
      </c>
      <c r="GO148" s="4">
        <v>137</v>
      </c>
      <c r="GP148" s="4">
        <v>133</v>
      </c>
      <c r="GQ148" s="4">
        <v>129</v>
      </c>
      <c r="GR148" s="4">
        <v>124</v>
      </c>
      <c r="GS148" s="4">
        <v>119</v>
      </c>
      <c r="GT148" s="4">
        <v>114</v>
      </c>
      <c r="GU148" s="4">
        <v>109</v>
      </c>
      <c r="GV148" s="4">
        <v>105</v>
      </c>
      <c r="GW148" s="4">
        <v>100</v>
      </c>
      <c r="GX148" s="4">
        <v>98</v>
      </c>
      <c r="GY148" s="4">
        <v>96</v>
      </c>
      <c r="GZ148" s="4">
        <v>94</v>
      </c>
      <c r="HA148" s="4">
        <v>92</v>
      </c>
      <c r="HB148" s="4">
        <v>90</v>
      </c>
      <c r="HC148" s="19">
        <v>12.1</v>
      </c>
      <c r="HD148" s="19">
        <v>10.7</v>
      </c>
      <c r="HE148" s="19">
        <v>9.6</v>
      </c>
      <c r="HF148" s="19">
        <v>9.4</v>
      </c>
      <c r="HG148" s="19">
        <v>12.1</v>
      </c>
      <c r="HH148" s="19">
        <v>14.5</v>
      </c>
      <c r="HI148" s="19">
        <v>22.3</v>
      </c>
      <c r="HJ148" s="19">
        <v>39.8</v>
      </c>
      <c r="HK148" s="19">
        <v>38.3</v>
      </c>
      <c r="HL148" s="19">
        <v>37.3</v>
      </c>
      <c r="HM148" s="19">
        <v>36.3</v>
      </c>
      <c r="HN148" s="19">
        <v>35.3</v>
      </c>
      <c r="HO148" s="19">
        <v>34.3</v>
      </c>
      <c r="HP148" s="19">
        <v>26.6</v>
      </c>
      <c r="HQ148" s="19">
        <v>25.8</v>
      </c>
      <c r="HR148" s="19">
        <v>24.8</v>
      </c>
      <c r="HS148" s="19">
        <v>23.8</v>
      </c>
      <c r="HT148" s="19">
        <v>28.5</v>
      </c>
      <c r="HU148" s="19">
        <v>36.3</v>
      </c>
      <c r="HV148" s="19">
        <v>35</v>
      </c>
      <c r="HW148" s="19">
        <v>50</v>
      </c>
      <c r="HX148" s="19">
        <v>49</v>
      </c>
      <c r="HY148" s="19">
        <v>48</v>
      </c>
      <c r="HZ148" s="19">
        <v>47</v>
      </c>
      <c r="IA148" s="19">
        <v>46</v>
      </c>
      <c r="IB148" s="19">
        <v>45</v>
      </c>
    </row>
    <row r="149">
      <c r="A149" s="2" t="s">
        <v>1039</v>
      </c>
      <c r="B149" s="2" t="s">
        <v>736</v>
      </c>
      <c r="C149" s="2" t="s">
        <v>280</v>
      </c>
      <c r="D149" s="2" t="s">
        <v>737</v>
      </c>
      <c r="E149" s="2" t="s">
        <v>738</v>
      </c>
      <c r="F149" s="2" t="s">
        <v>1040</v>
      </c>
      <c r="G149" s="2" t="s">
        <v>1040</v>
      </c>
      <c r="H149" s="2" t="s">
        <v>1040</v>
      </c>
      <c r="I149" s="2" t="s">
        <v>1041</v>
      </c>
      <c r="J149" s="2" t="s">
        <v>741</v>
      </c>
      <c r="K149" s="2" t="s">
        <v>229</v>
      </c>
      <c r="L149" s="3">
        <v>45.33</v>
      </c>
      <c r="M149" s="3">
        <v>47.6</v>
      </c>
      <c r="N149" s="3">
        <v>101.99</v>
      </c>
      <c r="O149" s="2" t="s">
        <v>230</v>
      </c>
      <c r="P149" s="2" t="s">
        <v>231</v>
      </c>
      <c r="Q149" s="2" t="s">
        <v>232</v>
      </c>
      <c r="R149" s="2" t="s">
        <v>233</v>
      </c>
      <c r="S149" s="2" t="s">
        <v>233</v>
      </c>
      <c r="T149" s="2" t="s">
        <v>233</v>
      </c>
      <c r="U149" s="2" t="s">
        <v>329</v>
      </c>
      <c r="V149" s="2" t="s">
        <v>744</v>
      </c>
      <c r="W149" s="2" t="s">
        <v>620</v>
      </c>
      <c r="X149" s="2" t="s">
        <v>233</v>
      </c>
      <c r="Y149" s="2" t="s">
        <v>1042</v>
      </c>
      <c r="Z149" s="4">
        <v>94</v>
      </c>
      <c r="AA149" s="4">
        <f>=ROUNDDOWN(13.4285714285714,0)</f>
      </c>
      <c r="AB149" s="5">
        <v>7</v>
      </c>
      <c r="AC149" s="2" t="s">
        <v>1043</v>
      </c>
      <c r="AD149" s="4">
        <v>100</v>
      </c>
      <c r="AE149" s="4">
        <v>100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233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/>
      <c r="BD149" s="8"/>
      <c r="BE149" s="4"/>
      <c r="BF149" s="8"/>
      <c r="BG149" s="7"/>
      <c r="BH149" s="7"/>
      <c r="BI149" s="7"/>
      <c r="BJ149" s="4">
        <v>45</v>
      </c>
      <c r="BK149" s="8">
        <v>2379.77</v>
      </c>
      <c r="BL149" s="2" t="s">
        <v>1044</v>
      </c>
      <c r="BM149" s="7"/>
      <c r="BN149" s="7"/>
      <c r="BO149" s="4"/>
      <c r="BP149" s="8"/>
      <c r="BQ149" s="4"/>
      <c r="BR149" s="8"/>
      <c r="BS149" s="7"/>
      <c r="BT149" s="7"/>
      <c r="BU149" s="2" t="s">
        <v>1045</v>
      </c>
      <c r="BV149" s="2" t="s">
        <v>233</v>
      </c>
      <c r="BW149" s="2" t="s">
        <v>233</v>
      </c>
      <c r="BX149" s="2" t="s">
        <v>241</v>
      </c>
      <c r="BY149" s="2" t="s">
        <v>242</v>
      </c>
      <c r="BZ149" s="2" t="s">
        <v>230</v>
      </c>
      <c r="CA149" s="2" t="s">
        <v>1046</v>
      </c>
      <c r="CB149" s="2" t="s">
        <v>350</v>
      </c>
      <c r="CC149" s="2" t="s">
        <v>245</v>
      </c>
      <c r="CD149" s="2" t="s">
        <v>233</v>
      </c>
      <c r="CE149" s="4"/>
      <c r="CF149" s="4">
        <v>94</v>
      </c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>
        <v>100</v>
      </c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>
        <v>100</v>
      </c>
      <c r="GD149" s="4">
        <v>89</v>
      </c>
      <c r="GE149" s="4">
        <v>82</v>
      </c>
      <c r="GF149" s="4">
        <v>74</v>
      </c>
      <c r="GG149" s="4">
        <v>65</v>
      </c>
      <c r="GH149" s="4">
        <v>57</v>
      </c>
      <c r="GI149" s="4">
        <v>48</v>
      </c>
      <c r="GJ149" s="4">
        <v>41</v>
      </c>
      <c r="GK149" s="4">
        <v>34</v>
      </c>
      <c r="GL149" s="4">
        <v>27</v>
      </c>
      <c r="GM149" s="4">
        <v>20</v>
      </c>
      <c r="GN149" s="4">
        <v>13</v>
      </c>
      <c r="GO149" s="4">
        <v>6</v>
      </c>
      <c r="GP149" s="4"/>
      <c r="GQ149" s="4">
        <v>100</v>
      </c>
      <c r="GR149" s="4">
        <v>91</v>
      </c>
      <c r="GS149" s="4">
        <v>84</v>
      </c>
      <c r="GT149" s="4">
        <v>76</v>
      </c>
      <c r="GU149" s="4">
        <v>69</v>
      </c>
      <c r="GV149" s="4">
        <v>62</v>
      </c>
      <c r="GW149" s="4">
        <v>55</v>
      </c>
      <c r="GX149" s="4">
        <v>48</v>
      </c>
      <c r="GY149" s="4">
        <v>41</v>
      </c>
      <c r="GZ149" s="4">
        <v>34</v>
      </c>
      <c r="HA149" s="4">
        <v>27</v>
      </c>
      <c r="HB149" s="4">
        <v>49</v>
      </c>
      <c r="HC149" s="19">
        <v>11.1</v>
      </c>
      <c r="HD149" s="19">
        <v>11.1</v>
      </c>
      <c r="HE149" s="19">
        <v>10.3</v>
      </c>
      <c r="HF149" s="19">
        <v>9.3</v>
      </c>
      <c r="HG149" s="19">
        <v>8.1</v>
      </c>
      <c r="HH149" s="19">
        <v>7.1</v>
      </c>
      <c r="HI149" s="19">
        <v>6.9</v>
      </c>
      <c r="HJ149" s="19">
        <v>5.9</v>
      </c>
      <c r="HK149" s="19">
        <v>4.9</v>
      </c>
      <c r="HL149" s="19">
        <v>3.9</v>
      </c>
      <c r="HM149" s="19">
        <v>3.3</v>
      </c>
      <c r="HN149" s="19">
        <v>1.9</v>
      </c>
      <c r="HO149" s="19">
        <v>0.9</v>
      </c>
      <c r="HP149" s="20">
        <v>0</v>
      </c>
      <c r="HQ149" s="19">
        <v>12.5</v>
      </c>
      <c r="HR149" s="19">
        <v>13</v>
      </c>
      <c r="HS149" s="19">
        <v>12</v>
      </c>
      <c r="HT149" s="19">
        <v>10.9</v>
      </c>
      <c r="HU149" s="19">
        <v>9.9</v>
      </c>
      <c r="HV149" s="19">
        <v>8.9</v>
      </c>
      <c r="HW149" s="19">
        <v>7.9</v>
      </c>
      <c r="HX149" s="19">
        <v>6.9</v>
      </c>
      <c r="HY149" s="19">
        <v>5.9</v>
      </c>
      <c r="HZ149" s="19">
        <v>4.9</v>
      </c>
      <c r="IA149" s="19">
        <v>3.9</v>
      </c>
      <c r="IB149" s="19">
        <v>7</v>
      </c>
    </row>
    <row r="150">
      <c r="A150" s="2" t="s">
        <v>1047</v>
      </c>
      <c r="B150" s="2" t="s">
        <v>825</v>
      </c>
      <c r="C150" s="2" t="s">
        <v>826</v>
      </c>
      <c r="D150" s="2" t="s">
        <v>261</v>
      </c>
      <c r="E150" s="2" t="s">
        <v>603</v>
      </c>
      <c r="F150" s="2" t="s">
        <v>1048</v>
      </c>
      <c r="G150" s="2" t="s">
        <v>1049</v>
      </c>
      <c r="H150" s="2" t="s">
        <v>1050</v>
      </c>
      <c r="I150" s="2" t="s">
        <v>1051</v>
      </c>
      <c r="J150" s="2" t="s">
        <v>1052</v>
      </c>
      <c r="K150" s="2" t="s">
        <v>1053</v>
      </c>
      <c r="L150" s="3">
        <v>29.81</v>
      </c>
      <c r="M150" s="3">
        <v>31.3</v>
      </c>
      <c r="N150" s="3">
        <v>69.99</v>
      </c>
      <c r="O150" s="2" t="s">
        <v>230</v>
      </c>
      <c r="P150" s="2" t="s">
        <v>597</v>
      </c>
      <c r="Q150" s="2" t="s">
        <v>232</v>
      </c>
      <c r="R150" s="2" t="s">
        <v>233</v>
      </c>
      <c r="S150" s="2" t="s">
        <v>1054</v>
      </c>
      <c r="T150" s="2" t="s">
        <v>469</v>
      </c>
      <c r="U150" s="2" t="s">
        <v>781</v>
      </c>
      <c r="V150" s="2" t="s">
        <v>349</v>
      </c>
      <c r="W150" s="2" t="s">
        <v>237</v>
      </c>
      <c r="X150" s="2" t="s">
        <v>620</v>
      </c>
      <c r="Y150" s="2" t="s">
        <v>238</v>
      </c>
      <c r="Z150" s="4">
        <v>462</v>
      </c>
      <c r="AA150" s="4">
        <f>=ROUNDDOWN(46.2,0)</f>
      </c>
      <c r="AB150" s="5">
        <v>10</v>
      </c>
      <c r="AC150" s="2" t="s">
        <v>139</v>
      </c>
      <c r="AD150" s="4">
        <v>150</v>
      </c>
      <c r="AE150" s="4">
        <v>200</v>
      </c>
      <c r="AF150" s="6">
        <v>65</v>
      </c>
      <c r="AG150" s="6">
        <v>48</v>
      </c>
      <c r="AH150" s="7">
        <v>1</v>
      </c>
      <c r="AI150" s="4"/>
      <c r="AJ150" s="4">
        <f>=ROUNDDOWN({0},0)</f>
      </c>
      <c r="AK150" s="5"/>
      <c r="AL150" s="2" t="s">
        <v>233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233</v>
      </c>
      <c r="AW150" s="8" t="s">
        <v>233</v>
      </c>
      <c r="AX150" s="4" t="s">
        <v>233</v>
      </c>
      <c r="AY150" s="8" t="s">
        <v>233</v>
      </c>
      <c r="AZ150" s="7" t="s">
        <v>233</v>
      </c>
      <c r="BA150" s="7" t="s">
        <v>233</v>
      </c>
      <c r="BB150" s="7" t="s">
        <v>233</v>
      </c>
      <c r="BC150" s="4" t="s">
        <v>233</v>
      </c>
      <c r="BD150" s="8" t="s">
        <v>233</v>
      </c>
      <c r="BE150" s="4" t="s">
        <v>233</v>
      </c>
      <c r="BF150" s="8" t="s">
        <v>233</v>
      </c>
      <c r="BG150" s="7" t="s">
        <v>233</v>
      </c>
      <c r="BH150" s="7" t="s">
        <v>233</v>
      </c>
      <c r="BI150" s="7"/>
      <c r="BJ150" s="4">
        <v>11</v>
      </c>
      <c r="BK150" s="8">
        <v>342.75</v>
      </c>
      <c r="BL150" s="2" t="s">
        <v>1055</v>
      </c>
      <c r="BM150" s="7"/>
      <c r="BN150" s="7"/>
      <c r="BO150" s="4"/>
      <c r="BP150" s="8"/>
      <c r="BQ150" s="4"/>
      <c r="BR150" s="8"/>
      <c r="BS150" s="7"/>
      <c r="BT150" s="7"/>
      <c r="BU150" s="2" t="s">
        <v>1056</v>
      </c>
      <c r="BV150" s="2" t="s">
        <v>233</v>
      </c>
      <c r="BW150" s="2" t="s">
        <v>233</v>
      </c>
      <c r="BX150" s="2" t="s">
        <v>241</v>
      </c>
      <c r="BY150" s="2" t="s">
        <v>242</v>
      </c>
      <c r="BZ150" s="2" t="s">
        <v>230</v>
      </c>
      <c r="CA150" s="2" t="s">
        <v>243</v>
      </c>
      <c r="CB150" s="2" t="s">
        <v>1057</v>
      </c>
      <c r="CC150" s="2" t="s">
        <v>245</v>
      </c>
      <c r="CD150" s="2" t="s">
        <v>233</v>
      </c>
      <c r="CE150" s="4">
        <v>328</v>
      </c>
      <c r="CF150" s="4"/>
      <c r="CG150" s="4"/>
      <c r="CH150" s="4">
        <v>134</v>
      </c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>
        <v>150</v>
      </c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>
        <v>50</v>
      </c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>
        <v>482</v>
      </c>
      <c r="GD150" s="4">
        <v>451</v>
      </c>
      <c r="GE150" s="4">
        <v>585</v>
      </c>
      <c r="GF150" s="4">
        <v>568</v>
      </c>
      <c r="GG150" s="4">
        <v>543</v>
      </c>
      <c r="GH150" s="4">
        <v>523</v>
      </c>
      <c r="GI150" s="4">
        <v>503</v>
      </c>
      <c r="GJ150" s="4">
        <v>489</v>
      </c>
      <c r="GK150" s="4">
        <v>482</v>
      </c>
      <c r="GL150" s="4">
        <v>471</v>
      </c>
      <c r="GM150" s="4">
        <v>461</v>
      </c>
      <c r="GN150" s="4">
        <v>451</v>
      </c>
      <c r="GO150" s="4">
        <v>491</v>
      </c>
      <c r="GP150" s="4">
        <v>481</v>
      </c>
      <c r="GQ150" s="4">
        <v>471</v>
      </c>
      <c r="GR150" s="4">
        <v>461</v>
      </c>
      <c r="GS150" s="4">
        <v>451</v>
      </c>
      <c r="GT150" s="4">
        <v>440</v>
      </c>
      <c r="GU150" s="4">
        <v>430</v>
      </c>
      <c r="GV150" s="4">
        <v>419</v>
      </c>
      <c r="GW150" s="4">
        <v>408</v>
      </c>
      <c r="GX150" s="4">
        <v>397</v>
      </c>
      <c r="GY150" s="4">
        <v>386</v>
      </c>
      <c r="GZ150" s="4">
        <v>376</v>
      </c>
      <c r="HA150" s="4">
        <v>366</v>
      </c>
      <c r="HB150" s="4">
        <v>356</v>
      </c>
      <c r="HC150" s="19">
        <v>23.1</v>
      </c>
      <c r="HD150" s="19">
        <v>23.7</v>
      </c>
      <c r="HE150" s="19">
        <v>26.9</v>
      </c>
      <c r="HF150" s="19">
        <v>27</v>
      </c>
      <c r="HG150" s="19">
        <v>32.3</v>
      </c>
      <c r="HH150" s="19">
        <v>39</v>
      </c>
      <c r="HI150" s="19">
        <v>51.2</v>
      </c>
      <c r="HJ150" s="19">
        <v>49.7</v>
      </c>
      <c r="HK150" s="19">
        <v>49.1</v>
      </c>
      <c r="HL150" s="19">
        <v>48</v>
      </c>
      <c r="HM150" s="19">
        <v>47</v>
      </c>
      <c r="HN150" s="19">
        <v>46</v>
      </c>
      <c r="HO150" s="19">
        <v>57.5</v>
      </c>
      <c r="HP150" s="19">
        <v>56.5</v>
      </c>
      <c r="HQ150" s="19">
        <v>55.5</v>
      </c>
      <c r="HR150" s="19">
        <v>54.5</v>
      </c>
      <c r="HS150" s="19">
        <v>51.3</v>
      </c>
      <c r="HT150" s="19">
        <v>50.3</v>
      </c>
      <c r="HU150" s="19">
        <v>49.4</v>
      </c>
      <c r="HV150" s="19">
        <v>48.4</v>
      </c>
      <c r="HW150" s="19">
        <v>49.3</v>
      </c>
      <c r="HX150" s="19">
        <v>48.3</v>
      </c>
      <c r="HY150" s="19">
        <v>47.2</v>
      </c>
      <c r="HZ150" s="19">
        <v>46.2</v>
      </c>
      <c r="IA150" s="19">
        <v>45.2</v>
      </c>
      <c r="IB150" s="19">
        <v>44.2</v>
      </c>
    </row>
    <row r="151">
      <c r="A151" s="2" t="s">
        <v>1058</v>
      </c>
      <c r="B151" s="2" t="s">
        <v>825</v>
      </c>
      <c r="C151" s="2" t="s">
        <v>826</v>
      </c>
      <c r="D151" s="2" t="s">
        <v>774</v>
      </c>
      <c r="E151" s="2" t="s">
        <v>827</v>
      </c>
      <c r="F151" s="2" t="s">
        <v>1048</v>
      </c>
      <c r="G151" s="2" t="s">
        <v>1049</v>
      </c>
      <c r="H151" s="2" t="s">
        <v>1050</v>
      </c>
      <c r="I151" s="2" t="s">
        <v>1059</v>
      </c>
      <c r="J151" s="2" t="s">
        <v>1052</v>
      </c>
      <c r="K151" s="2" t="s">
        <v>1053</v>
      </c>
      <c r="L151" s="3">
        <v>22.5</v>
      </c>
      <c r="M151" s="3">
        <v>23.62</v>
      </c>
      <c r="N151" s="3">
        <v>44.99</v>
      </c>
      <c r="O151" s="2" t="s">
        <v>230</v>
      </c>
      <c r="P151" s="2" t="s">
        <v>597</v>
      </c>
      <c r="Q151" s="2" t="s">
        <v>232</v>
      </c>
      <c r="R151" s="2" t="s">
        <v>233</v>
      </c>
      <c r="S151" s="2" t="s">
        <v>1054</v>
      </c>
      <c r="T151" s="2" t="s">
        <v>469</v>
      </c>
      <c r="U151" s="2" t="s">
        <v>781</v>
      </c>
      <c r="V151" s="2" t="s">
        <v>349</v>
      </c>
      <c r="W151" s="2" t="s">
        <v>237</v>
      </c>
      <c r="X151" s="2" t="s">
        <v>620</v>
      </c>
      <c r="Y151" s="2" t="s">
        <v>238</v>
      </c>
      <c r="Z151" s="4">
        <v>190</v>
      </c>
      <c r="AA151" s="4">
        <f>=ROUNDDOWN(31.6666666666667,0)</f>
      </c>
      <c r="AB151" s="5">
        <v>6</v>
      </c>
      <c r="AC151" s="2" t="s">
        <v>139</v>
      </c>
      <c r="AD151" s="4">
        <v>140</v>
      </c>
      <c r="AE151" s="4">
        <v>140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233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233</v>
      </c>
      <c r="AW151" s="8" t="s">
        <v>233</v>
      </c>
      <c r="AX151" s="4" t="s">
        <v>233</v>
      </c>
      <c r="AY151" s="8" t="s">
        <v>233</v>
      </c>
      <c r="AZ151" s="7" t="s">
        <v>233</v>
      </c>
      <c r="BA151" s="7" t="s">
        <v>233</v>
      </c>
      <c r="BB151" s="7" t="s">
        <v>233</v>
      </c>
      <c r="BC151" s="4" t="s">
        <v>233</v>
      </c>
      <c r="BD151" s="8" t="s">
        <v>233</v>
      </c>
      <c r="BE151" s="4" t="s">
        <v>233</v>
      </c>
      <c r="BF151" s="8" t="s">
        <v>233</v>
      </c>
      <c r="BG151" s="7" t="s">
        <v>233</v>
      </c>
      <c r="BH151" s="7" t="s">
        <v>233</v>
      </c>
      <c r="BI151" s="7"/>
      <c r="BJ151" s="4">
        <v>7</v>
      </c>
      <c r="BK151" s="8">
        <v>152.8</v>
      </c>
      <c r="BL151" s="2" t="s">
        <v>1060</v>
      </c>
      <c r="BM151" s="7"/>
      <c r="BN151" s="7"/>
      <c r="BO151" s="4"/>
      <c r="BP151" s="8"/>
      <c r="BQ151" s="4"/>
      <c r="BR151" s="8"/>
      <c r="BS151" s="7"/>
      <c r="BT151" s="7"/>
      <c r="BU151" s="2" t="s">
        <v>1061</v>
      </c>
      <c r="BV151" s="2" t="s">
        <v>233</v>
      </c>
      <c r="BW151" s="2" t="s">
        <v>233</v>
      </c>
      <c r="BX151" s="2" t="s">
        <v>241</v>
      </c>
      <c r="BY151" s="2" t="s">
        <v>242</v>
      </c>
      <c r="BZ151" s="2" t="s">
        <v>230</v>
      </c>
      <c r="CA151" s="2" t="s">
        <v>243</v>
      </c>
      <c r="CB151" s="2" t="s">
        <v>1062</v>
      </c>
      <c r="CC151" s="2" t="s">
        <v>245</v>
      </c>
      <c r="CD151" s="2" t="s">
        <v>233</v>
      </c>
      <c r="CE151" s="4">
        <v>190</v>
      </c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>
        <v>140</v>
      </c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>
        <v>198</v>
      </c>
      <c r="GD151" s="4">
        <v>191</v>
      </c>
      <c r="GE151" s="4">
        <v>325</v>
      </c>
      <c r="GF151" s="4">
        <v>317</v>
      </c>
      <c r="GG151" s="4">
        <v>305</v>
      </c>
      <c r="GH151" s="4">
        <v>294</v>
      </c>
      <c r="GI151" s="4">
        <v>283</v>
      </c>
      <c r="GJ151" s="4">
        <v>275</v>
      </c>
      <c r="GK151" s="4">
        <v>270</v>
      </c>
      <c r="GL151" s="4">
        <v>262</v>
      </c>
      <c r="GM151" s="4">
        <v>255</v>
      </c>
      <c r="GN151" s="4">
        <v>248</v>
      </c>
      <c r="GO151" s="4">
        <v>242</v>
      </c>
      <c r="GP151" s="4">
        <v>236</v>
      </c>
      <c r="GQ151" s="4">
        <v>230</v>
      </c>
      <c r="GR151" s="4">
        <v>223</v>
      </c>
      <c r="GS151" s="4">
        <v>216</v>
      </c>
      <c r="GT151" s="4">
        <v>208</v>
      </c>
      <c r="GU151" s="4">
        <v>201</v>
      </c>
      <c r="GV151" s="4">
        <v>195</v>
      </c>
      <c r="GW151" s="4">
        <v>189</v>
      </c>
      <c r="GX151" s="4">
        <v>183</v>
      </c>
      <c r="GY151" s="4">
        <v>177</v>
      </c>
      <c r="GZ151" s="4">
        <v>172</v>
      </c>
      <c r="HA151" s="4">
        <v>167</v>
      </c>
      <c r="HB151" s="4">
        <v>163</v>
      </c>
      <c r="HC151" s="19">
        <v>24.8</v>
      </c>
      <c r="HD151" s="19">
        <v>21.2</v>
      </c>
      <c r="HE151" s="19">
        <v>32.5</v>
      </c>
      <c r="HF151" s="19">
        <v>31.7</v>
      </c>
      <c r="HG151" s="19">
        <v>33.9</v>
      </c>
      <c r="HH151" s="19">
        <v>36.8</v>
      </c>
      <c r="HI151" s="19">
        <v>40.4</v>
      </c>
      <c r="HJ151" s="19">
        <v>39.3</v>
      </c>
      <c r="HK151" s="19">
        <v>38.6</v>
      </c>
      <c r="HL151" s="19">
        <v>43.7</v>
      </c>
      <c r="HM151" s="19">
        <v>42.5</v>
      </c>
      <c r="HN151" s="19">
        <v>41.3</v>
      </c>
      <c r="HO151" s="19">
        <v>40.3</v>
      </c>
      <c r="HP151" s="19">
        <v>33.7</v>
      </c>
      <c r="HQ151" s="19">
        <v>32.9</v>
      </c>
      <c r="HR151" s="19">
        <v>31.9</v>
      </c>
      <c r="HS151" s="19">
        <v>30.9</v>
      </c>
      <c r="HT151" s="19">
        <v>34.7</v>
      </c>
      <c r="HU151" s="19">
        <v>33.5</v>
      </c>
      <c r="HV151" s="19">
        <v>32.5</v>
      </c>
      <c r="HW151" s="19">
        <v>31.5</v>
      </c>
      <c r="HX151" s="19">
        <v>36.6</v>
      </c>
      <c r="HY151" s="19">
        <v>44.3</v>
      </c>
      <c r="HZ151" s="19">
        <v>43</v>
      </c>
      <c r="IA151" s="19">
        <v>41.8</v>
      </c>
      <c r="IB151" s="19">
        <v>32.6</v>
      </c>
    </row>
    <row r="152">
      <c r="A152" s="2" t="s">
        <v>1063</v>
      </c>
      <c r="B152" s="2" t="s">
        <v>825</v>
      </c>
      <c r="C152" s="2" t="s">
        <v>826</v>
      </c>
      <c r="D152" s="2" t="s">
        <v>261</v>
      </c>
      <c r="E152" s="2" t="s">
        <v>603</v>
      </c>
      <c r="F152" s="2" t="s">
        <v>1048</v>
      </c>
      <c r="G152" s="2" t="s">
        <v>1049</v>
      </c>
      <c r="H152" s="2" t="s">
        <v>1050</v>
      </c>
      <c r="I152" s="2" t="s">
        <v>1051</v>
      </c>
      <c r="J152" s="2" t="s">
        <v>265</v>
      </c>
      <c r="K152" s="2" t="s">
        <v>1053</v>
      </c>
      <c r="L152" s="3">
        <v>34.77</v>
      </c>
      <c r="M152" s="3">
        <v>36.51</v>
      </c>
      <c r="N152" s="3">
        <v>79.99</v>
      </c>
      <c r="O152" s="2" t="s">
        <v>230</v>
      </c>
      <c r="P152" s="2" t="s">
        <v>597</v>
      </c>
      <c r="Q152" s="2" t="s">
        <v>232</v>
      </c>
      <c r="R152" s="2" t="s">
        <v>233</v>
      </c>
      <c r="S152" s="2" t="s">
        <v>1054</v>
      </c>
      <c r="T152" s="2" t="s">
        <v>469</v>
      </c>
      <c r="U152" s="2" t="s">
        <v>287</v>
      </c>
      <c r="V152" s="2" t="s">
        <v>349</v>
      </c>
      <c r="W152" s="2" t="s">
        <v>237</v>
      </c>
      <c r="X152" s="2" t="s">
        <v>620</v>
      </c>
      <c r="Y152" s="2" t="s">
        <v>238</v>
      </c>
      <c r="Z152" s="4">
        <v>609</v>
      </c>
      <c r="AA152" s="4">
        <f>=ROUNDDOWN(43.5,0)</f>
      </c>
      <c r="AB152" s="5">
        <v>14</v>
      </c>
      <c r="AC152" s="2" t="s">
        <v>139</v>
      </c>
      <c r="AD152" s="4">
        <v>210</v>
      </c>
      <c r="AE152" s="4">
        <v>270</v>
      </c>
      <c r="AF152" s="6">
        <v>65</v>
      </c>
      <c r="AG152" s="6">
        <v>48</v>
      </c>
      <c r="AH152" s="7">
        <v>1</v>
      </c>
      <c r="AI152" s="4"/>
      <c r="AJ152" s="4">
        <f>=ROUNDDOWN({0},0)</f>
      </c>
      <c r="AK152" s="5"/>
      <c r="AL152" s="2" t="s">
        <v>233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233</v>
      </c>
      <c r="AW152" s="8" t="s">
        <v>233</v>
      </c>
      <c r="AX152" s="4" t="s">
        <v>233</v>
      </c>
      <c r="AY152" s="8" t="s">
        <v>233</v>
      </c>
      <c r="AZ152" s="7" t="s">
        <v>233</v>
      </c>
      <c r="BA152" s="7" t="s">
        <v>233</v>
      </c>
      <c r="BB152" s="7"/>
      <c r="BC152" s="4" t="s">
        <v>233</v>
      </c>
      <c r="BD152" s="8" t="s">
        <v>233</v>
      </c>
      <c r="BE152" s="4" t="s">
        <v>233</v>
      </c>
      <c r="BF152" s="8" t="s">
        <v>233</v>
      </c>
      <c r="BG152" s="7" t="s">
        <v>233</v>
      </c>
      <c r="BH152" s="7" t="s">
        <v>233</v>
      </c>
      <c r="BI152" s="7"/>
      <c r="BJ152" s="4">
        <v>45</v>
      </c>
      <c r="BK152" s="8">
        <v>1677.47</v>
      </c>
      <c r="BL152" s="2" t="s">
        <v>1064</v>
      </c>
      <c r="BM152" s="7"/>
      <c r="BN152" s="7"/>
      <c r="BO152" s="4"/>
      <c r="BP152" s="8"/>
      <c r="BQ152" s="4"/>
      <c r="BR152" s="8"/>
      <c r="BS152" s="7"/>
      <c r="BT152" s="7"/>
      <c r="BU152" s="2" t="s">
        <v>1056</v>
      </c>
      <c r="BV152" s="2" t="s">
        <v>233</v>
      </c>
      <c r="BW152" s="2" t="s">
        <v>233</v>
      </c>
      <c r="BX152" s="2" t="s">
        <v>241</v>
      </c>
      <c r="BY152" s="2" t="s">
        <v>242</v>
      </c>
      <c r="BZ152" s="2" t="s">
        <v>230</v>
      </c>
      <c r="CA152" s="2" t="s">
        <v>243</v>
      </c>
      <c r="CB152" s="2" t="s">
        <v>1057</v>
      </c>
      <c r="CC152" s="2" t="s">
        <v>245</v>
      </c>
      <c r="CD152" s="2" t="s">
        <v>233</v>
      </c>
      <c r="CE152" s="4">
        <v>490</v>
      </c>
      <c r="CF152" s="4"/>
      <c r="CG152" s="4"/>
      <c r="CH152" s="4">
        <v>119</v>
      </c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>
        <v>210</v>
      </c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>
        <v>60</v>
      </c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>
        <v>618</v>
      </c>
      <c r="GD152" s="4">
        <v>531</v>
      </c>
      <c r="GE152" s="4">
        <v>722</v>
      </c>
      <c r="GF152" s="4">
        <v>700</v>
      </c>
      <c r="GG152" s="4">
        <v>671</v>
      </c>
      <c r="GH152" s="4">
        <v>645</v>
      </c>
      <c r="GI152" s="4">
        <v>619</v>
      </c>
      <c r="GJ152" s="4">
        <v>600</v>
      </c>
      <c r="GK152" s="4">
        <v>590</v>
      </c>
      <c r="GL152" s="4">
        <v>576</v>
      </c>
      <c r="GM152" s="4">
        <v>561</v>
      </c>
      <c r="GN152" s="4">
        <v>547</v>
      </c>
      <c r="GO152" s="4">
        <v>591</v>
      </c>
      <c r="GP152" s="4">
        <v>575</v>
      </c>
      <c r="GQ152" s="4">
        <v>559</v>
      </c>
      <c r="GR152" s="4">
        <v>543</v>
      </c>
      <c r="GS152" s="4">
        <v>529</v>
      </c>
      <c r="GT152" s="4">
        <v>514</v>
      </c>
      <c r="GU152" s="4">
        <v>500</v>
      </c>
      <c r="GV152" s="4">
        <v>483</v>
      </c>
      <c r="GW152" s="4">
        <v>467</v>
      </c>
      <c r="GX152" s="4">
        <v>451</v>
      </c>
      <c r="GY152" s="4">
        <v>435</v>
      </c>
      <c r="GZ152" s="4">
        <v>422</v>
      </c>
      <c r="HA152" s="4">
        <v>408</v>
      </c>
      <c r="HB152" s="4">
        <v>394</v>
      </c>
      <c r="HC152" s="19">
        <v>15.3</v>
      </c>
      <c r="HD152" s="19">
        <v>21.7</v>
      </c>
      <c r="HE152" s="19">
        <v>23.9</v>
      </c>
      <c r="HF152" s="19">
        <v>23.1</v>
      </c>
      <c r="HG152" s="19">
        <v>29.4</v>
      </c>
      <c r="HH152" s="19">
        <v>30.5</v>
      </c>
      <c r="HI152" s="19">
        <v>35.5</v>
      </c>
      <c r="HJ152" s="19">
        <v>38.5</v>
      </c>
      <c r="HK152" s="19">
        <v>33.5</v>
      </c>
      <c r="HL152" s="19">
        <v>32.5</v>
      </c>
      <c r="HM152" s="19">
        <v>31.5</v>
      </c>
      <c r="HN152" s="19">
        <v>29</v>
      </c>
      <c r="HO152" s="19">
        <v>39.5</v>
      </c>
      <c r="HP152" s="19">
        <v>38.5</v>
      </c>
      <c r="HQ152" s="19">
        <v>37.5</v>
      </c>
      <c r="HR152" s="19">
        <v>36.4</v>
      </c>
      <c r="HS152" s="19">
        <v>31</v>
      </c>
      <c r="HT152" s="19">
        <v>30.1</v>
      </c>
      <c r="HU152" s="19">
        <v>29.3</v>
      </c>
      <c r="HV152" s="19">
        <v>28.3</v>
      </c>
      <c r="HW152" s="19">
        <v>28.7</v>
      </c>
      <c r="HX152" s="19">
        <v>31.3</v>
      </c>
      <c r="HY152" s="19">
        <v>30.1</v>
      </c>
      <c r="HZ152" s="19">
        <v>29.1</v>
      </c>
      <c r="IA152" s="19">
        <v>29.6</v>
      </c>
      <c r="IB152" s="19">
        <v>27.1</v>
      </c>
    </row>
    <row r="153">
      <c r="A153" s="2" t="s">
        <v>1065</v>
      </c>
      <c r="B153" s="2" t="s">
        <v>825</v>
      </c>
      <c r="C153" s="2" t="s">
        <v>826</v>
      </c>
      <c r="D153" s="2" t="s">
        <v>261</v>
      </c>
      <c r="E153" s="2" t="s">
        <v>603</v>
      </c>
      <c r="F153" s="2" t="s">
        <v>1048</v>
      </c>
      <c r="G153" s="2" t="s">
        <v>1049</v>
      </c>
      <c r="H153" s="2" t="s">
        <v>1050</v>
      </c>
      <c r="I153" s="2" t="s">
        <v>1051</v>
      </c>
      <c r="J153" s="2" t="s">
        <v>275</v>
      </c>
      <c r="K153" s="2" t="s">
        <v>1053</v>
      </c>
      <c r="L153" s="3">
        <v>39.74</v>
      </c>
      <c r="M153" s="3">
        <v>41.73</v>
      </c>
      <c r="N153" s="3">
        <v>89.99</v>
      </c>
      <c r="O153" s="2" t="s">
        <v>230</v>
      </c>
      <c r="P153" s="2" t="s">
        <v>597</v>
      </c>
      <c r="Q153" s="2" t="s">
        <v>232</v>
      </c>
      <c r="R153" s="2" t="s">
        <v>233</v>
      </c>
      <c r="S153" s="2" t="s">
        <v>1054</v>
      </c>
      <c r="T153" s="2" t="s">
        <v>469</v>
      </c>
      <c r="U153" s="2" t="s">
        <v>287</v>
      </c>
      <c r="V153" s="2" t="s">
        <v>349</v>
      </c>
      <c r="W153" s="2" t="s">
        <v>237</v>
      </c>
      <c r="X153" s="2" t="s">
        <v>620</v>
      </c>
      <c r="Y153" s="2" t="s">
        <v>238</v>
      </c>
      <c r="Z153" s="4">
        <v>230</v>
      </c>
      <c r="AA153" s="4">
        <f>=ROUNDDOWN(46,0)</f>
      </c>
      <c r="AB153" s="5">
        <v>5</v>
      </c>
      <c r="AC153" s="2" t="s">
        <v>139</v>
      </c>
      <c r="AD153" s="4">
        <v>70</v>
      </c>
      <c r="AE153" s="4">
        <v>70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233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233</v>
      </c>
      <c r="AW153" s="8" t="s">
        <v>233</v>
      </c>
      <c r="AX153" s="4" t="s">
        <v>233</v>
      </c>
      <c r="AY153" s="8" t="s">
        <v>233</v>
      </c>
      <c r="AZ153" s="7" t="s">
        <v>233</v>
      </c>
      <c r="BA153" s="7" t="s">
        <v>233</v>
      </c>
      <c r="BB153" s="7"/>
      <c r="BC153" s="4" t="s">
        <v>233</v>
      </c>
      <c r="BD153" s="8" t="s">
        <v>233</v>
      </c>
      <c r="BE153" s="4" t="s">
        <v>233</v>
      </c>
      <c r="BF153" s="8" t="s">
        <v>233</v>
      </c>
      <c r="BG153" s="7" t="s">
        <v>233</v>
      </c>
      <c r="BH153" s="7" t="s">
        <v>233</v>
      </c>
      <c r="BI153" s="7"/>
      <c r="BJ153" s="4">
        <v>32</v>
      </c>
      <c r="BK153" s="8">
        <v>1374.95</v>
      </c>
      <c r="BL153" s="2" t="s">
        <v>1066</v>
      </c>
      <c r="BM153" s="7"/>
      <c r="BN153" s="7"/>
      <c r="BO153" s="4"/>
      <c r="BP153" s="8"/>
      <c r="BQ153" s="4"/>
      <c r="BR153" s="8"/>
      <c r="BS153" s="7"/>
      <c r="BT153" s="7"/>
      <c r="BU153" s="2" t="s">
        <v>1056</v>
      </c>
      <c r="BV153" s="2" t="s">
        <v>233</v>
      </c>
      <c r="BW153" s="2" t="s">
        <v>233</v>
      </c>
      <c r="BX153" s="2" t="s">
        <v>241</v>
      </c>
      <c r="BY153" s="2" t="s">
        <v>242</v>
      </c>
      <c r="BZ153" s="2" t="s">
        <v>230</v>
      </c>
      <c r="CA153" s="2" t="s">
        <v>1067</v>
      </c>
      <c r="CB153" s="2" t="s">
        <v>1068</v>
      </c>
      <c r="CC153" s="2" t="s">
        <v>245</v>
      </c>
      <c r="CD153" s="2" t="s">
        <v>233</v>
      </c>
      <c r="CE153" s="4">
        <v>230</v>
      </c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>
        <v>70</v>
      </c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>
        <v>241</v>
      </c>
      <c r="GD153" s="4">
        <v>233</v>
      </c>
      <c r="GE153" s="4">
        <v>299</v>
      </c>
      <c r="GF153" s="4">
        <v>295</v>
      </c>
      <c r="GG153" s="4">
        <v>289</v>
      </c>
      <c r="GH153" s="4">
        <v>283</v>
      </c>
      <c r="GI153" s="4">
        <v>276</v>
      </c>
      <c r="GJ153" s="4">
        <v>270</v>
      </c>
      <c r="GK153" s="4">
        <v>266</v>
      </c>
      <c r="GL153" s="4">
        <v>261</v>
      </c>
      <c r="GM153" s="4">
        <v>256</v>
      </c>
      <c r="GN153" s="4">
        <v>251</v>
      </c>
      <c r="GO153" s="4">
        <v>246</v>
      </c>
      <c r="GP153" s="4">
        <v>241</v>
      </c>
      <c r="GQ153" s="4">
        <v>236</v>
      </c>
      <c r="GR153" s="4">
        <v>231</v>
      </c>
      <c r="GS153" s="4">
        <v>226</v>
      </c>
      <c r="GT153" s="4">
        <v>220</v>
      </c>
      <c r="GU153" s="4">
        <v>215</v>
      </c>
      <c r="GV153" s="4">
        <v>210</v>
      </c>
      <c r="GW153" s="4">
        <v>205</v>
      </c>
      <c r="GX153" s="4">
        <v>200</v>
      </c>
      <c r="GY153" s="4">
        <v>195</v>
      </c>
      <c r="GZ153" s="4">
        <v>189</v>
      </c>
      <c r="HA153" s="4">
        <v>183</v>
      </c>
      <c r="HB153" s="4">
        <v>177</v>
      </c>
      <c r="HC153" s="19">
        <v>40.2</v>
      </c>
      <c r="HD153" s="19">
        <v>46.6</v>
      </c>
      <c r="HE153" s="19">
        <v>49.8</v>
      </c>
      <c r="HF153" s="19">
        <v>49.2</v>
      </c>
      <c r="HG153" s="19">
        <v>48.2</v>
      </c>
      <c r="HH153" s="19">
        <v>47.2</v>
      </c>
      <c r="HI153" s="19">
        <v>55.2</v>
      </c>
      <c r="HJ153" s="19">
        <v>54</v>
      </c>
      <c r="HK153" s="19">
        <v>53.2</v>
      </c>
      <c r="HL153" s="19">
        <v>52.2</v>
      </c>
      <c r="HM153" s="19">
        <v>51.2</v>
      </c>
      <c r="HN153" s="19">
        <v>50.2</v>
      </c>
      <c r="HO153" s="19">
        <v>49.2</v>
      </c>
      <c r="HP153" s="19">
        <v>48.2</v>
      </c>
      <c r="HQ153" s="19">
        <v>47.2</v>
      </c>
      <c r="HR153" s="19">
        <v>46.2</v>
      </c>
      <c r="HS153" s="19">
        <v>45.2</v>
      </c>
      <c r="HT153" s="19">
        <v>44</v>
      </c>
      <c r="HU153" s="19">
        <v>43</v>
      </c>
      <c r="HV153" s="19">
        <v>42</v>
      </c>
      <c r="HW153" s="19">
        <v>34.2</v>
      </c>
      <c r="HX153" s="19">
        <v>33.3</v>
      </c>
      <c r="HY153" s="19">
        <v>32.5</v>
      </c>
      <c r="HZ153" s="19">
        <v>31.5</v>
      </c>
      <c r="IA153" s="19">
        <v>30.5</v>
      </c>
      <c r="IB153" s="19">
        <v>29.5</v>
      </c>
    </row>
    <row r="154">
      <c r="A154" s="2" t="s">
        <v>1069</v>
      </c>
      <c r="B154" s="2" t="s">
        <v>811</v>
      </c>
      <c r="C154" s="2" t="s">
        <v>789</v>
      </c>
      <c r="D154" s="2" t="s">
        <v>1070</v>
      </c>
      <c r="E154" s="2" t="s">
        <v>1071</v>
      </c>
      <c r="F154" s="2" t="s">
        <v>1072</v>
      </c>
      <c r="G154" s="2" t="s">
        <v>1072</v>
      </c>
      <c r="H154" s="2" t="s">
        <v>1072</v>
      </c>
      <c r="I154" s="2" t="s">
        <v>1073</v>
      </c>
      <c r="J154" s="2" t="s">
        <v>741</v>
      </c>
      <c r="K154" s="2" t="s">
        <v>629</v>
      </c>
      <c r="L154" s="3">
        <v>63</v>
      </c>
      <c r="M154" s="3">
        <v>66.15</v>
      </c>
      <c r="N154" s="3">
        <v>134.99</v>
      </c>
      <c r="O154" s="2" t="s">
        <v>230</v>
      </c>
      <c r="P154" s="2" t="s">
        <v>231</v>
      </c>
      <c r="Q154" s="2" t="s">
        <v>232</v>
      </c>
      <c r="R154" s="2" t="s">
        <v>233</v>
      </c>
      <c r="S154" s="2" t="s">
        <v>233</v>
      </c>
      <c r="T154" s="2" t="s">
        <v>233</v>
      </c>
      <c r="U154" s="2" t="s">
        <v>329</v>
      </c>
      <c r="V154" s="2" t="s">
        <v>609</v>
      </c>
      <c r="W154" s="2" t="s">
        <v>712</v>
      </c>
      <c r="X154" s="2" t="s">
        <v>233</v>
      </c>
      <c r="Y154" s="2" t="s">
        <v>1074</v>
      </c>
      <c r="Z154" s="4">
        <v>291</v>
      </c>
      <c r="AA154" s="4">
        <f>=ROUNDDOWN(58.2,0)</f>
      </c>
      <c r="AB154" s="5">
        <v>5</v>
      </c>
      <c r="AC154" s="2" t="s">
        <v>233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233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/>
      <c r="BD154" s="8"/>
      <c r="BE154" s="4"/>
      <c r="BF154" s="8"/>
      <c r="BG154" s="7"/>
      <c r="BH154" s="7"/>
      <c r="BI154" s="7"/>
      <c r="BJ154" s="4">
        <v>23</v>
      </c>
      <c r="BK154" s="8">
        <v>1623.59</v>
      </c>
      <c r="BL154" s="2" t="s">
        <v>1075</v>
      </c>
      <c r="BM154" s="7"/>
      <c r="BN154" s="7"/>
      <c r="BO154" s="4"/>
      <c r="BP154" s="8"/>
      <c r="BQ154" s="4"/>
      <c r="BR154" s="8"/>
      <c r="BS154" s="7"/>
      <c r="BT154" s="7"/>
      <c r="BU154" s="2" t="s">
        <v>1076</v>
      </c>
      <c r="BV154" s="2" t="s">
        <v>233</v>
      </c>
      <c r="BW154" s="2" t="s">
        <v>233</v>
      </c>
      <c r="BX154" s="2" t="s">
        <v>241</v>
      </c>
      <c r="BY154" s="2" t="s">
        <v>242</v>
      </c>
      <c r="BZ154" s="2" t="s">
        <v>230</v>
      </c>
      <c r="CA154" s="2" t="s">
        <v>1077</v>
      </c>
      <c r="CB154" s="2" t="s">
        <v>1078</v>
      </c>
      <c r="CC154" s="2" t="s">
        <v>245</v>
      </c>
      <c r="CD154" s="2" t="s">
        <v>233</v>
      </c>
      <c r="CE154" s="4"/>
      <c r="CF154" s="4">
        <v>291</v>
      </c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>
        <v>299</v>
      </c>
      <c r="GD154" s="4">
        <v>286</v>
      </c>
      <c r="GE154" s="4">
        <v>279</v>
      </c>
      <c r="GF154" s="4">
        <v>273</v>
      </c>
      <c r="GG154" s="4">
        <v>266</v>
      </c>
      <c r="GH154" s="4">
        <v>261</v>
      </c>
      <c r="GI154" s="4">
        <v>255</v>
      </c>
      <c r="GJ154" s="4">
        <v>250</v>
      </c>
      <c r="GK154" s="4">
        <v>245</v>
      </c>
      <c r="GL154" s="4">
        <v>240</v>
      </c>
      <c r="GM154" s="4">
        <v>235</v>
      </c>
      <c r="GN154" s="4">
        <v>230</v>
      </c>
      <c r="GO154" s="4">
        <v>225</v>
      </c>
      <c r="GP154" s="4">
        <v>220</v>
      </c>
      <c r="GQ154" s="4">
        <v>215</v>
      </c>
      <c r="GR154" s="4">
        <v>210</v>
      </c>
      <c r="GS154" s="4">
        <v>205</v>
      </c>
      <c r="GT154" s="4">
        <v>199</v>
      </c>
      <c r="GU154" s="4">
        <v>194</v>
      </c>
      <c r="GV154" s="4">
        <v>189</v>
      </c>
      <c r="GW154" s="4">
        <v>184</v>
      </c>
      <c r="GX154" s="4">
        <v>179</v>
      </c>
      <c r="GY154" s="4">
        <v>174</v>
      </c>
      <c r="GZ154" s="4">
        <v>169</v>
      </c>
      <c r="HA154" s="4">
        <v>164</v>
      </c>
      <c r="HB154" s="4">
        <v>159</v>
      </c>
      <c r="HC154" s="19">
        <v>37.4</v>
      </c>
      <c r="HD154" s="19">
        <v>47.7</v>
      </c>
      <c r="HE154" s="19">
        <v>46.5</v>
      </c>
      <c r="HF154" s="19">
        <v>45.5</v>
      </c>
      <c r="HG154" s="19">
        <v>53.2</v>
      </c>
      <c r="HH154" s="19">
        <v>52.2</v>
      </c>
      <c r="HI154" s="19">
        <v>51</v>
      </c>
      <c r="HJ154" s="19">
        <v>50</v>
      </c>
      <c r="HK154" s="19">
        <v>49</v>
      </c>
      <c r="HL154" s="19">
        <v>48</v>
      </c>
      <c r="HM154" s="19">
        <v>47</v>
      </c>
      <c r="HN154" s="19">
        <v>46</v>
      </c>
      <c r="HO154" s="19">
        <v>45</v>
      </c>
      <c r="HP154" s="19">
        <v>44</v>
      </c>
      <c r="HQ154" s="19">
        <v>43</v>
      </c>
      <c r="HR154" s="19">
        <v>42</v>
      </c>
      <c r="HS154" s="19">
        <v>41</v>
      </c>
      <c r="HT154" s="19">
        <v>39.8</v>
      </c>
      <c r="HU154" s="19">
        <v>38.8</v>
      </c>
      <c r="HV154" s="19">
        <v>37.8</v>
      </c>
      <c r="HW154" s="19">
        <v>36.8</v>
      </c>
      <c r="HX154" s="19">
        <v>35.8</v>
      </c>
      <c r="HY154" s="19">
        <v>34.8</v>
      </c>
      <c r="HZ154" s="19">
        <v>33.8</v>
      </c>
      <c r="IA154" s="19">
        <v>32.8</v>
      </c>
      <c r="IB154" s="19">
        <v>31.8</v>
      </c>
    </row>
    <row r="155">
      <c r="A155" s="2" t="s">
        <v>1079</v>
      </c>
      <c r="B155" s="2" t="s">
        <v>761</v>
      </c>
      <c r="C155" s="2" t="s">
        <v>280</v>
      </c>
      <c r="D155" s="2" t="s">
        <v>1080</v>
      </c>
      <c r="E155" s="2" t="s">
        <v>1081</v>
      </c>
      <c r="F155" s="2" t="s">
        <v>1082</v>
      </c>
      <c r="G155" s="2" t="s">
        <v>1083</v>
      </c>
      <c r="H155" s="2" t="s">
        <v>1084</v>
      </c>
      <c r="I155" s="2" t="s">
        <v>1085</v>
      </c>
      <c r="J155" s="2" t="s">
        <v>741</v>
      </c>
      <c r="K155" s="2" t="s">
        <v>452</v>
      </c>
      <c r="L155" s="3">
        <v>270.75</v>
      </c>
      <c r="M155" s="3">
        <v>284.29</v>
      </c>
      <c r="N155" s="3">
        <v>569</v>
      </c>
      <c r="O155" s="2" t="s">
        <v>230</v>
      </c>
      <c r="P155" s="2" t="s">
        <v>721</v>
      </c>
      <c r="Q155" s="2" t="s">
        <v>232</v>
      </c>
      <c r="R155" s="2" t="s">
        <v>233</v>
      </c>
      <c r="S155" s="2" t="s">
        <v>233</v>
      </c>
      <c r="T155" s="2" t="s">
        <v>233</v>
      </c>
      <c r="U155" s="2" t="s">
        <v>329</v>
      </c>
      <c r="V155" s="2" t="s">
        <v>236</v>
      </c>
      <c r="W155" s="2" t="s">
        <v>712</v>
      </c>
      <c r="X155" s="2" t="s">
        <v>233</v>
      </c>
      <c r="Y155" s="2" t="s">
        <v>1086</v>
      </c>
      <c r="Z155" s="4">
        <v>68</v>
      </c>
      <c r="AA155" s="4">
        <f>=ROUNDDOWN(22.6666666666667,0)</f>
      </c>
      <c r="AB155" s="5">
        <v>3</v>
      </c>
      <c r="AC155" s="2" t="s">
        <v>233</v>
      </c>
      <c r="AD155" s="4"/>
      <c r="AE155" s="4"/>
      <c r="AF155" s="6">
        <v>69</v>
      </c>
      <c r="AG155" s="6">
        <v>52</v>
      </c>
      <c r="AH155" s="7">
        <v>1</v>
      </c>
      <c r="AI155" s="4"/>
      <c r="AJ155" s="4">
        <f>=ROUNDDOWN({0},0)</f>
      </c>
      <c r="AK155" s="5"/>
      <c r="AL155" s="2" t="s">
        <v>233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/>
      <c r="BD155" s="8"/>
      <c r="BE155" s="4"/>
      <c r="BF155" s="8"/>
      <c r="BG155" s="7"/>
      <c r="BH155" s="7"/>
      <c r="BI155" s="7"/>
      <c r="BJ155" s="4">
        <v>19</v>
      </c>
      <c r="BK155" s="8">
        <v>4866.1</v>
      </c>
      <c r="BL155" s="2" t="s">
        <v>1087</v>
      </c>
      <c r="BM155" s="7"/>
      <c r="BN155" s="7"/>
      <c r="BO155" s="4"/>
      <c r="BP155" s="8"/>
      <c r="BQ155" s="4"/>
      <c r="BR155" s="8"/>
      <c r="BS155" s="7"/>
      <c r="BT155" s="7"/>
      <c r="BU155" s="2" t="s">
        <v>1088</v>
      </c>
      <c r="BV155" s="2" t="s">
        <v>233</v>
      </c>
      <c r="BW155" s="2" t="s">
        <v>233</v>
      </c>
      <c r="BX155" s="2" t="s">
        <v>241</v>
      </c>
      <c r="BY155" s="2" t="s">
        <v>242</v>
      </c>
      <c r="BZ155" s="2" t="s">
        <v>230</v>
      </c>
      <c r="CA155" s="2" t="s">
        <v>1089</v>
      </c>
      <c r="CB155" s="2" t="s">
        <v>1090</v>
      </c>
      <c r="CC155" s="2" t="s">
        <v>245</v>
      </c>
      <c r="CD155" s="2" t="s">
        <v>233</v>
      </c>
      <c r="CE155" s="4"/>
      <c r="CF155" s="4">
        <v>68</v>
      </c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>
        <v>68</v>
      </c>
      <c r="GD155" s="4">
        <v>65</v>
      </c>
      <c r="GE155" s="4">
        <v>61</v>
      </c>
      <c r="GF155" s="4">
        <v>58</v>
      </c>
      <c r="GG155" s="4">
        <v>52</v>
      </c>
      <c r="GH155" s="4">
        <v>47</v>
      </c>
      <c r="GI155" s="4">
        <v>44</v>
      </c>
      <c r="GJ155" s="4">
        <v>42</v>
      </c>
      <c r="GK155" s="4">
        <v>40</v>
      </c>
      <c r="GL155" s="4">
        <v>37</v>
      </c>
      <c r="GM155" s="4">
        <v>35</v>
      </c>
      <c r="GN155" s="4">
        <v>32</v>
      </c>
      <c r="GO155" s="4">
        <v>30</v>
      </c>
      <c r="GP155" s="4">
        <v>28</v>
      </c>
      <c r="GQ155" s="4">
        <v>25</v>
      </c>
      <c r="GR155" s="4">
        <v>22</v>
      </c>
      <c r="GS155" s="4">
        <v>19</v>
      </c>
      <c r="GT155" s="4">
        <v>16</v>
      </c>
      <c r="GU155" s="4">
        <v>13</v>
      </c>
      <c r="GV155" s="4">
        <v>10</v>
      </c>
      <c r="GW155" s="4">
        <v>7</v>
      </c>
      <c r="GX155" s="4">
        <v>4</v>
      </c>
      <c r="GY155" s="4">
        <v>1</v>
      </c>
      <c r="GZ155" s="4"/>
      <c r="HA155" s="4"/>
      <c r="HB155" s="4">
        <v>6</v>
      </c>
      <c r="HC155" s="19">
        <v>8.5</v>
      </c>
      <c r="HD155" s="19">
        <v>8.2</v>
      </c>
      <c r="HE155" s="19">
        <v>7.7</v>
      </c>
      <c r="HF155" s="19">
        <v>7.3</v>
      </c>
      <c r="HG155" s="19">
        <v>8.7</v>
      </c>
      <c r="HH155" s="19">
        <v>11.8</v>
      </c>
      <c r="HI155" s="19">
        <v>11</v>
      </c>
      <c r="HJ155" s="19">
        <v>10.5</v>
      </c>
      <c r="HK155" s="19">
        <v>10</v>
      </c>
      <c r="HL155" s="19">
        <v>9.3</v>
      </c>
      <c r="HM155" s="19">
        <v>8.8</v>
      </c>
      <c r="HN155" s="19">
        <v>8</v>
      </c>
      <c r="HO155" s="19">
        <v>5</v>
      </c>
      <c r="HP155" s="19">
        <v>4.7</v>
      </c>
      <c r="HQ155" s="19">
        <v>4.2</v>
      </c>
      <c r="HR155" s="19">
        <v>3.7</v>
      </c>
      <c r="HS155" s="19">
        <v>3.2</v>
      </c>
      <c r="HT155" s="19">
        <v>2.7</v>
      </c>
      <c r="HU155" s="19">
        <v>2.2</v>
      </c>
      <c r="HV155" s="19">
        <v>1.7</v>
      </c>
      <c r="HW155" s="19">
        <v>1.2</v>
      </c>
      <c r="HX155" s="19">
        <v>0.7</v>
      </c>
      <c r="HY155" s="19">
        <v>0.3</v>
      </c>
      <c r="HZ155" s="20">
        <v>0</v>
      </c>
      <c r="IA155" s="20">
        <v>0</v>
      </c>
      <c r="IB155" s="19">
        <v>1.5</v>
      </c>
    </row>
    <row r="156">
      <c r="A156" s="2" t="s">
        <v>1091</v>
      </c>
      <c r="B156" s="2" t="s">
        <v>938</v>
      </c>
      <c r="C156" s="2" t="s">
        <v>280</v>
      </c>
      <c r="D156" s="2" t="s">
        <v>972</v>
      </c>
      <c r="E156" s="2" t="s">
        <v>1092</v>
      </c>
      <c r="F156" s="2" t="s">
        <v>1093</v>
      </c>
      <c r="G156" s="2" t="s">
        <v>1094</v>
      </c>
      <c r="H156" s="2" t="s">
        <v>1095</v>
      </c>
      <c r="I156" s="2" t="s">
        <v>1096</v>
      </c>
      <c r="J156" s="2" t="s">
        <v>1004</v>
      </c>
      <c r="K156" s="2" t="s">
        <v>1097</v>
      </c>
      <c r="L156" s="3">
        <v>29.9</v>
      </c>
      <c r="M156" s="3">
        <v>31.4</v>
      </c>
      <c r="N156" s="3">
        <v>64.99</v>
      </c>
      <c r="O156" s="2" t="s">
        <v>230</v>
      </c>
      <c r="P156" s="2" t="s">
        <v>586</v>
      </c>
      <c r="Q156" s="2" t="s">
        <v>232</v>
      </c>
      <c r="R156" s="2" t="s">
        <v>233</v>
      </c>
      <c r="S156" s="2" t="s">
        <v>1098</v>
      </c>
      <c r="T156" s="2" t="s">
        <v>233</v>
      </c>
      <c r="U156" s="2" t="s">
        <v>233</v>
      </c>
      <c r="V156" s="2" t="s">
        <v>1099</v>
      </c>
      <c r="W156" s="2" t="s">
        <v>818</v>
      </c>
      <c r="X156" s="2" t="s">
        <v>980</v>
      </c>
      <c r="Y156" s="2" t="s">
        <v>238</v>
      </c>
      <c r="Z156" s="4">
        <v>323</v>
      </c>
      <c r="AA156" s="4">
        <f>=ROUNDDOWN(46.1428571428571,0)</f>
      </c>
      <c r="AB156" s="5">
        <v>7</v>
      </c>
      <c r="AC156" s="2" t="s">
        <v>233</v>
      </c>
      <c r="AD156" s="4"/>
      <c r="AE156" s="4"/>
      <c r="AF156" s="6">
        <v>66</v>
      </c>
      <c r="AG156" s="6"/>
      <c r="AH156" s="7">
        <v>1</v>
      </c>
      <c r="AI156" s="4"/>
      <c r="AJ156" s="4">
        <f>=ROUNDDOWN({0},0)</f>
      </c>
      <c r="AK156" s="5"/>
      <c r="AL156" s="2" t="s">
        <v>233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233</v>
      </c>
      <c r="AW156" s="8" t="s">
        <v>233</v>
      </c>
      <c r="AX156" s="4" t="s">
        <v>233</v>
      </c>
      <c r="AY156" s="8" t="s">
        <v>233</v>
      </c>
      <c r="AZ156" s="7" t="s">
        <v>233</v>
      </c>
      <c r="BA156" s="7" t="s">
        <v>233</v>
      </c>
      <c r="BB156" s="7"/>
      <c r="BC156" s="4" t="s">
        <v>233</v>
      </c>
      <c r="BD156" s="8" t="s">
        <v>233</v>
      </c>
      <c r="BE156" s="4" t="s">
        <v>233</v>
      </c>
      <c r="BF156" s="8" t="s">
        <v>233</v>
      </c>
      <c r="BG156" s="7" t="s">
        <v>233</v>
      </c>
      <c r="BH156" s="7" t="s">
        <v>233</v>
      </c>
      <c r="BI156" s="7"/>
      <c r="BJ156" s="4">
        <v>32</v>
      </c>
      <c r="BK156" s="8">
        <v>1155.19</v>
      </c>
      <c r="BL156" s="2" t="s">
        <v>1100</v>
      </c>
      <c r="BM156" s="7"/>
      <c r="BN156" s="7"/>
      <c r="BO156" s="4"/>
      <c r="BP156" s="8"/>
      <c r="BQ156" s="4"/>
      <c r="BR156" s="8"/>
      <c r="BS156" s="7"/>
      <c r="BT156" s="7"/>
      <c r="BU156" s="2" t="s">
        <v>1101</v>
      </c>
      <c r="BV156" s="2" t="s">
        <v>233</v>
      </c>
      <c r="BW156" s="2" t="s">
        <v>233</v>
      </c>
      <c r="BX156" s="2" t="s">
        <v>241</v>
      </c>
      <c r="BY156" s="2" t="s">
        <v>242</v>
      </c>
      <c r="BZ156" s="2" t="s">
        <v>230</v>
      </c>
      <c r="CA156" s="2" t="s">
        <v>243</v>
      </c>
      <c r="CB156" s="2" t="s">
        <v>1102</v>
      </c>
      <c r="CC156" s="2" t="s">
        <v>245</v>
      </c>
      <c r="CD156" s="2" t="s">
        <v>233</v>
      </c>
      <c r="CE156" s="4">
        <v>323</v>
      </c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>
        <v>323</v>
      </c>
      <c r="GD156" s="4">
        <v>189</v>
      </c>
      <c r="GE156" s="4">
        <v>180</v>
      </c>
      <c r="GF156" s="4">
        <v>172</v>
      </c>
      <c r="GG156" s="4">
        <v>163</v>
      </c>
      <c r="GH156" s="4">
        <v>155</v>
      </c>
      <c r="GI156" s="4">
        <v>146</v>
      </c>
      <c r="GJ156" s="4">
        <v>139</v>
      </c>
      <c r="GK156" s="4">
        <v>131</v>
      </c>
      <c r="GL156" s="4">
        <v>124</v>
      </c>
      <c r="GM156" s="4">
        <v>116</v>
      </c>
      <c r="GN156" s="4">
        <v>109</v>
      </c>
      <c r="GO156" s="4">
        <v>102</v>
      </c>
      <c r="GP156" s="4">
        <v>95</v>
      </c>
      <c r="GQ156" s="4">
        <v>88</v>
      </c>
      <c r="GR156" s="4">
        <v>81</v>
      </c>
      <c r="GS156" s="4">
        <v>74</v>
      </c>
      <c r="GT156" s="4">
        <v>66</v>
      </c>
      <c r="GU156" s="4">
        <v>59</v>
      </c>
      <c r="GV156" s="4">
        <v>52</v>
      </c>
      <c r="GW156" s="4">
        <v>45</v>
      </c>
      <c r="GX156" s="4">
        <v>38</v>
      </c>
      <c r="GY156" s="4">
        <v>31</v>
      </c>
      <c r="GZ156" s="4">
        <v>24</v>
      </c>
      <c r="HA156" s="4">
        <v>93</v>
      </c>
      <c r="HB156" s="4">
        <v>86</v>
      </c>
      <c r="HC156" s="19">
        <v>8.1</v>
      </c>
      <c r="HD156" s="19">
        <v>23.6</v>
      </c>
      <c r="HE156" s="19">
        <v>22.5</v>
      </c>
      <c r="HF156" s="19">
        <v>21.5</v>
      </c>
      <c r="HG156" s="19">
        <v>20.4</v>
      </c>
      <c r="HH156" s="19">
        <v>19.4</v>
      </c>
      <c r="HI156" s="19">
        <v>18.3</v>
      </c>
      <c r="HJ156" s="19">
        <v>17.4</v>
      </c>
      <c r="HK156" s="19">
        <v>18.7</v>
      </c>
      <c r="HL156" s="19">
        <v>17.7</v>
      </c>
      <c r="HM156" s="19">
        <v>16.6</v>
      </c>
      <c r="HN156" s="19">
        <v>15.6</v>
      </c>
      <c r="HO156" s="19">
        <v>14.6</v>
      </c>
      <c r="HP156" s="19">
        <v>13.6</v>
      </c>
      <c r="HQ156" s="19">
        <v>12.6</v>
      </c>
      <c r="HR156" s="19">
        <v>11.6</v>
      </c>
      <c r="HS156" s="19">
        <v>10.6</v>
      </c>
      <c r="HT156" s="19">
        <v>9.4</v>
      </c>
      <c r="HU156" s="19">
        <v>8.4</v>
      </c>
      <c r="HV156" s="19">
        <v>7.4</v>
      </c>
      <c r="HW156" s="19">
        <v>6.4</v>
      </c>
      <c r="HX156" s="19">
        <v>5.4</v>
      </c>
      <c r="HY156" s="19">
        <v>4.4</v>
      </c>
      <c r="HZ156" s="19">
        <v>3.4</v>
      </c>
      <c r="IA156" s="19">
        <v>13.3</v>
      </c>
      <c r="IB156" s="19">
        <v>12.3</v>
      </c>
    </row>
    <row r="157">
      <c r="A157" s="2" t="s">
        <v>1103</v>
      </c>
      <c r="B157" s="2" t="s">
        <v>938</v>
      </c>
      <c r="C157" s="2" t="s">
        <v>280</v>
      </c>
      <c r="D157" s="2" t="s">
        <v>972</v>
      </c>
      <c r="E157" s="2" t="s">
        <v>1092</v>
      </c>
      <c r="F157" s="2" t="s">
        <v>1093</v>
      </c>
      <c r="G157" s="2" t="s">
        <v>1094</v>
      </c>
      <c r="H157" s="2" t="s">
        <v>1095</v>
      </c>
      <c r="I157" s="2" t="s">
        <v>1096</v>
      </c>
      <c r="J157" s="2" t="s">
        <v>1104</v>
      </c>
      <c r="K157" s="2" t="s">
        <v>1097</v>
      </c>
      <c r="L157" s="3">
        <v>31.5</v>
      </c>
      <c r="M157" s="3">
        <v>33.08</v>
      </c>
      <c r="N157" s="3">
        <v>69.99</v>
      </c>
      <c r="O157" s="2" t="s">
        <v>230</v>
      </c>
      <c r="P157" s="2" t="s">
        <v>586</v>
      </c>
      <c r="Q157" s="2" t="s">
        <v>232</v>
      </c>
      <c r="R157" s="2" t="s">
        <v>233</v>
      </c>
      <c r="S157" s="2" t="s">
        <v>1098</v>
      </c>
      <c r="T157" s="2" t="s">
        <v>233</v>
      </c>
      <c r="U157" s="2" t="s">
        <v>233</v>
      </c>
      <c r="V157" s="2" t="s">
        <v>1099</v>
      </c>
      <c r="W157" s="2" t="s">
        <v>818</v>
      </c>
      <c r="X157" s="2" t="s">
        <v>980</v>
      </c>
      <c r="Y157" s="2" t="s">
        <v>238</v>
      </c>
      <c r="Z157" s="4">
        <v>317</v>
      </c>
      <c r="AA157" s="4">
        <f>=ROUNDDOWN(63.4,0)</f>
      </c>
      <c r="AB157" s="5">
        <v>5</v>
      </c>
      <c r="AC157" s="2" t="s">
        <v>233</v>
      </c>
      <c r="AD157" s="4"/>
      <c r="AE157" s="4"/>
      <c r="AF157" s="6">
        <v>66</v>
      </c>
      <c r="AG157" s="6"/>
      <c r="AH157" s="7">
        <v>1</v>
      </c>
      <c r="AI157" s="4"/>
      <c r="AJ157" s="4">
        <f>=ROUNDDOWN({0},0)</f>
      </c>
      <c r="AK157" s="5"/>
      <c r="AL157" s="2" t="s">
        <v>233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233</v>
      </c>
      <c r="AW157" s="8" t="s">
        <v>233</v>
      </c>
      <c r="AX157" s="4" t="s">
        <v>233</v>
      </c>
      <c r="AY157" s="8" t="s">
        <v>233</v>
      </c>
      <c r="AZ157" s="7" t="s">
        <v>233</v>
      </c>
      <c r="BA157" s="7" t="s">
        <v>233</v>
      </c>
      <c r="BB157" s="7"/>
      <c r="BC157" s="4" t="s">
        <v>233</v>
      </c>
      <c r="BD157" s="8" t="s">
        <v>233</v>
      </c>
      <c r="BE157" s="4" t="s">
        <v>233</v>
      </c>
      <c r="BF157" s="8" t="s">
        <v>233</v>
      </c>
      <c r="BG157" s="7" t="s">
        <v>233</v>
      </c>
      <c r="BH157" s="7" t="s">
        <v>233</v>
      </c>
      <c r="BI157" s="7"/>
      <c r="BJ157" s="4">
        <v>8</v>
      </c>
      <c r="BK157" s="8">
        <v>358.09</v>
      </c>
      <c r="BL157" s="2" t="s">
        <v>1105</v>
      </c>
      <c r="BM157" s="7"/>
      <c r="BN157" s="7"/>
      <c r="BO157" s="4"/>
      <c r="BP157" s="8"/>
      <c r="BQ157" s="4"/>
      <c r="BR157" s="8"/>
      <c r="BS157" s="7"/>
      <c r="BT157" s="7"/>
      <c r="BU157" s="2" t="s">
        <v>1101</v>
      </c>
      <c r="BV157" s="2" t="s">
        <v>233</v>
      </c>
      <c r="BW157" s="2" t="s">
        <v>233</v>
      </c>
      <c r="BX157" s="2" t="s">
        <v>241</v>
      </c>
      <c r="BY157" s="2" t="s">
        <v>242</v>
      </c>
      <c r="BZ157" s="2" t="s">
        <v>230</v>
      </c>
      <c r="CA157" s="2" t="s">
        <v>243</v>
      </c>
      <c r="CB157" s="2" t="s">
        <v>1106</v>
      </c>
      <c r="CC157" s="2" t="s">
        <v>245</v>
      </c>
      <c r="CD157" s="2" t="s">
        <v>233</v>
      </c>
      <c r="CE157" s="4">
        <v>317</v>
      </c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>
        <v>320</v>
      </c>
      <c r="GD157" s="4">
        <v>209</v>
      </c>
      <c r="GE157" s="4">
        <v>192</v>
      </c>
      <c r="GF157" s="4">
        <v>182</v>
      </c>
      <c r="GG157" s="4">
        <v>170</v>
      </c>
      <c r="GH157" s="4">
        <v>160</v>
      </c>
      <c r="GI157" s="4">
        <v>149</v>
      </c>
      <c r="GJ157" s="4">
        <v>134</v>
      </c>
      <c r="GK157" s="4">
        <v>131</v>
      </c>
      <c r="GL157" s="4">
        <v>128</v>
      </c>
      <c r="GM157" s="4">
        <v>120</v>
      </c>
      <c r="GN157" s="4">
        <v>114</v>
      </c>
      <c r="GO157" s="4">
        <v>108</v>
      </c>
      <c r="GP157" s="4">
        <v>102</v>
      </c>
      <c r="GQ157" s="4">
        <v>96</v>
      </c>
      <c r="GR157" s="4">
        <v>90</v>
      </c>
      <c r="GS157" s="4">
        <v>85</v>
      </c>
      <c r="GT157" s="4">
        <v>79</v>
      </c>
      <c r="GU157" s="4">
        <v>74</v>
      </c>
      <c r="GV157" s="4">
        <v>69</v>
      </c>
      <c r="GW157" s="4">
        <v>64</v>
      </c>
      <c r="GX157" s="4">
        <v>59</v>
      </c>
      <c r="GY157" s="4">
        <v>54</v>
      </c>
      <c r="GZ157" s="4">
        <v>49</v>
      </c>
      <c r="HA157" s="4">
        <v>66</v>
      </c>
      <c r="HB157" s="4">
        <v>61</v>
      </c>
      <c r="HC157" s="19">
        <v>8.4</v>
      </c>
      <c r="HD157" s="19">
        <v>17.4</v>
      </c>
      <c r="HE157" s="19">
        <v>17.5</v>
      </c>
      <c r="HF157" s="19">
        <v>15.2</v>
      </c>
      <c r="HG157" s="19">
        <v>17</v>
      </c>
      <c r="HH157" s="19">
        <v>20</v>
      </c>
      <c r="HI157" s="19">
        <v>21.3</v>
      </c>
      <c r="HJ157" s="19">
        <v>26.8</v>
      </c>
      <c r="HK157" s="19">
        <v>21.8</v>
      </c>
      <c r="HL157" s="19">
        <v>21.3</v>
      </c>
      <c r="HM157" s="19">
        <v>20</v>
      </c>
      <c r="HN157" s="19">
        <v>19</v>
      </c>
      <c r="HO157" s="19">
        <v>18</v>
      </c>
      <c r="HP157" s="19">
        <v>17</v>
      </c>
      <c r="HQ157" s="19">
        <v>16</v>
      </c>
      <c r="HR157" s="19">
        <v>18</v>
      </c>
      <c r="HS157" s="19">
        <v>17</v>
      </c>
      <c r="HT157" s="19">
        <v>15.8</v>
      </c>
      <c r="HU157" s="19">
        <v>14.8</v>
      </c>
      <c r="HV157" s="19">
        <v>13.8</v>
      </c>
      <c r="HW157" s="19">
        <v>12.8</v>
      </c>
      <c r="HX157" s="19">
        <v>11.8</v>
      </c>
      <c r="HY157" s="19">
        <v>10.8</v>
      </c>
      <c r="HZ157" s="19">
        <v>9.8</v>
      </c>
      <c r="IA157" s="19">
        <v>13.2</v>
      </c>
      <c r="IB157" s="19">
        <v>12.2</v>
      </c>
    </row>
    <row r="158">
      <c r="A158" s="2" t="s">
        <v>1107</v>
      </c>
      <c r="B158" s="2" t="s">
        <v>938</v>
      </c>
      <c r="C158" s="2" t="s">
        <v>280</v>
      </c>
      <c r="D158" s="2" t="s">
        <v>972</v>
      </c>
      <c r="E158" s="2" t="s">
        <v>1092</v>
      </c>
      <c r="F158" s="2" t="s">
        <v>1093</v>
      </c>
      <c r="G158" s="2" t="s">
        <v>1094</v>
      </c>
      <c r="H158" s="2" t="s">
        <v>1095</v>
      </c>
      <c r="I158" s="2" t="s">
        <v>1096</v>
      </c>
      <c r="J158" s="2" t="s">
        <v>1104</v>
      </c>
      <c r="K158" s="2" t="s">
        <v>1108</v>
      </c>
      <c r="L158" s="3">
        <v>31.5</v>
      </c>
      <c r="M158" s="3">
        <v>33.08</v>
      </c>
      <c r="N158" s="3">
        <v>69.99</v>
      </c>
      <c r="O158" s="2" t="s">
        <v>230</v>
      </c>
      <c r="P158" s="2" t="s">
        <v>231</v>
      </c>
      <c r="Q158" s="2" t="s">
        <v>232</v>
      </c>
      <c r="R158" s="2" t="s">
        <v>233</v>
      </c>
      <c r="S158" s="2" t="s">
        <v>1109</v>
      </c>
      <c r="T158" s="2" t="s">
        <v>233</v>
      </c>
      <c r="U158" s="2" t="s">
        <v>233</v>
      </c>
      <c r="V158" s="2" t="s">
        <v>1099</v>
      </c>
      <c r="W158" s="2" t="s">
        <v>818</v>
      </c>
      <c r="X158" s="2" t="s">
        <v>980</v>
      </c>
      <c r="Y158" s="2" t="s">
        <v>238</v>
      </c>
      <c r="Z158" s="4">
        <v>342</v>
      </c>
      <c r="AA158" s="4">
        <f>=ROUNDDOWN(57,0)</f>
      </c>
      <c r="AB158" s="5">
        <v>6</v>
      </c>
      <c r="AC158" s="2" t="s">
        <v>233</v>
      </c>
      <c r="AD158" s="4"/>
      <c r="AE158" s="4"/>
      <c r="AF158" s="6">
        <v>66</v>
      </c>
      <c r="AG158" s="6"/>
      <c r="AH158" s="7">
        <v>1</v>
      </c>
      <c r="AI158" s="4"/>
      <c r="AJ158" s="4">
        <f>=ROUNDDOWN({0},0)</f>
      </c>
      <c r="AK158" s="5"/>
      <c r="AL158" s="2" t="s">
        <v>233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 t="s">
        <v>233</v>
      </c>
      <c r="BD158" s="8" t="s">
        <v>233</v>
      </c>
      <c r="BE158" s="4" t="s">
        <v>233</v>
      </c>
      <c r="BF158" s="8" t="s">
        <v>233</v>
      </c>
      <c r="BG158" s="7" t="s">
        <v>233</v>
      </c>
      <c r="BH158" s="7" t="s">
        <v>233</v>
      </c>
      <c r="BI158" s="7"/>
      <c r="BJ158" s="4">
        <v>23</v>
      </c>
      <c r="BK158" s="8">
        <v>789.67</v>
      </c>
      <c r="BL158" s="2" t="s">
        <v>1110</v>
      </c>
      <c r="BM158" s="7"/>
      <c r="BN158" s="7"/>
      <c r="BO158" s="4"/>
      <c r="BP158" s="8"/>
      <c r="BQ158" s="4"/>
      <c r="BR158" s="8"/>
      <c r="BS158" s="7"/>
      <c r="BT158" s="7"/>
      <c r="BU158" s="2" t="s">
        <v>1101</v>
      </c>
      <c r="BV158" s="2" t="s">
        <v>233</v>
      </c>
      <c r="BW158" s="2" t="s">
        <v>233</v>
      </c>
      <c r="BX158" s="2" t="s">
        <v>241</v>
      </c>
      <c r="BY158" s="2" t="s">
        <v>242</v>
      </c>
      <c r="BZ158" s="2" t="s">
        <v>230</v>
      </c>
      <c r="CA158" s="2" t="s">
        <v>243</v>
      </c>
      <c r="CB158" s="2" t="s">
        <v>1111</v>
      </c>
      <c r="CC158" s="2" t="s">
        <v>245</v>
      </c>
      <c r="CD158" s="2" t="s">
        <v>233</v>
      </c>
      <c r="CE158" s="4">
        <v>342</v>
      </c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>
        <v>342</v>
      </c>
      <c r="GD158" s="4">
        <v>162</v>
      </c>
      <c r="GE158" s="4">
        <v>154</v>
      </c>
      <c r="GF158" s="4">
        <v>146</v>
      </c>
      <c r="GG158" s="4">
        <v>137</v>
      </c>
      <c r="GH158" s="4">
        <v>129</v>
      </c>
      <c r="GI158" s="4">
        <v>120</v>
      </c>
      <c r="GJ158" s="4">
        <v>114</v>
      </c>
      <c r="GK158" s="4">
        <v>108</v>
      </c>
      <c r="GL158" s="4">
        <v>102</v>
      </c>
      <c r="GM158" s="4">
        <v>95</v>
      </c>
      <c r="GN158" s="4">
        <v>89</v>
      </c>
      <c r="GO158" s="4">
        <v>83</v>
      </c>
      <c r="GP158" s="4">
        <v>77</v>
      </c>
      <c r="GQ158" s="4">
        <v>71</v>
      </c>
      <c r="GR158" s="4">
        <v>65</v>
      </c>
      <c r="GS158" s="4">
        <v>59</v>
      </c>
      <c r="GT158" s="4">
        <v>53</v>
      </c>
      <c r="GU158" s="4">
        <v>47</v>
      </c>
      <c r="GV158" s="4">
        <v>41</v>
      </c>
      <c r="GW158" s="4">
        <v>35</v>
      </c>
      <c r="GX158" s="4">
        <v>29</v>
      </c>
      <c r="GY158" s="4">
        <v>23</v>
      </c>
      <c r="GZ158" s="4">
        <v>17</v>
      </c>
      <c r="HA158" s="4">
        <v>79</v>
      </c>
      <c r="HB158" s="4">
        <v>73</v>
      </c>
      <c r="HC158" s="19">
        <v>6.7</v>
      </c>
      <c r="HD158" s="19">
        <v>20.3</v>
      </c>
      <c r="HE158" s="19">
        <v>19.3</v>
      </c>
      <c r="HF158" s="19">
        <v>18.3</v>
      </c>
      <c r="HG158" s="19">
        <v>19.6</v>
      </c>
      <c r="HH158" s="19">
        <v>18.4</v>
      </c>
      <c r="HI158" s="19">
        <v>20</v>
      </c>
      <c r="HJ158" s="19">
        <v>19</v>
      </c>
      <c r="HK158" s="19">
        <v>18</v>
      </c>
      <c r="HL158" s="19">
        <v>17</v>
      </c>
      <c r="HM158" s="19">
        <v>15.8</v>
      </c>
      <c r="HN158" s="19">
        <v>14.8</v>
      </c>
      <c r="HO158" s="19">
        <v>13.8</v>
      </c>
      <c r="HP158" s="19">
        <v>12.8</v>
      </c>
      <c r="HQ158" s="19">
        <v>11.8</v>
      </c>
      <c r="HR158" s="19">
        <v>10.8</v>
      </c>
      <c r="HS158" s="19">
        <v>9.8</v>
      </c>
      <c r="HT158" s="19">
        <v>8.8</v>
      </c>
      <c r="HU158" s="19">
        <v>7.8</v>
      </c>
      <c r="HV158" s="19">
        <v>6.8</v>
      </c>
      <c r="HW158" s="19">
        <v>5.8</v>
      </c>
      <c r="HX158" s="19">
        <v>4.8</v>
      </c>
      <c r="HY158" s="19">
        <v>3.8</v>
      </c>
      <c r="HZ158" s="19">
        <v>2.8</v>
      </c>
      <c r="IA158" s="19">
        <v>13.2</v>
      </c>
      <c r="IB158" s="19">
        <v>12.2</v>
      </c>
    </row>
    <row r="159">
      <c r="A159" s="2" t="s">
        <v>1112</v>
      </c>
      <c r="B159" s="2" t="s">
        <v>938</v>
      </c>
      <c r="C159" s="2" t="s">
        <v>280</v>
      </c>
      <c r="D159" s="2" t="s">
        <v>972</v>
      </c>
      <c r="E159" s="2" t="s">
        <v>1092</v>
      </c>
      <c r="F159" s="2" t="s">
        <v>1093</v>
      </c>
      <c r="G159" s="2" t="s">
        <v>1094</v>
      </c>
      <c r="H159" s="2" t="s">
        <v>1095</v>
      </c>
      <c r="I159" s="2" t="s">
        <v>1096</v>
      </c>
      <c r="J159" s="2" t="s">
        <v>1104</v>
      </c>
      <c r="K159" s="2" t="s">
        <v>870</v>
      </c>
      <c r="L159" s="3">
        <v>31.5</v>
      </c>
      <c r="M159" s="3">
        <v>33.08</v>
      </c>
      <c r="N159" s="3">
        <v>69.99</v>
      </c>
      <c r="O159" s="2" t="s">
        <v>230</v>
      </c>
      <c r="P159" s="2" t="s">
        <v>597</v>
      </c>
      <c r="Q159" s="2" t="s">
        <v>232</v>
      </c>
      <c r="R159" s="2" t="s">
        <v>233</v>
      </c>
      <c r="S159" s="2" t="s">
        <v>1113</v>
      </c>
      <c r="T159" s="2" t="s">
        <v>233</v>
      </c>
      <c r="U159" s="2" t="s">
        <v>233</v>
      </c>
      <c r="V159" s="2" t="s">
        <v>1099</v>
      </c>
      <c r="W159" s="2" t="s">
        <v>818</v>
      </c>
      <c r="X159" s="2" t="s">
        <v>980</v>
      </c>
      <c r="Y159" s="2" t="s">
        <v>1114</v>
      </c>
      <c r="Z159" s="4">
        <v>218</v>
      </c>
      <c r="AA159" s="4">
        <f>=ROUNDDOWN(36.3333333333333,0)</f>
      </c>
      <c r="AB159" s="5">
        <v>6</v>
      </c>
      <c r="AC159" s="2" t="s">
        <v>168</v>
      </c>
      <c r="AD159" s="4">
        <v>52</v>
      </c>
      <c r="AE159" s="4">
        <v>52</v>
      </c>
      <c r="AF159" s="6">
        <v>66</v>
      </c>
      <c r="AG159" s="6"/>
      <c r="AH159" s="7">
        <v>1</v>
      </c>
      <c r="AI159" s="4"/>
      <c r="AJ159" s="4">
        <f>=ROUNDDOWN({0},0)</f>
      </c>
      <c r="AK159" s="5"/>
      <c r="AL159" s="2" t="s">
        <v>233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 t="s">
        <v>233</v>
      </c>
      <c r="BD159" s="8" t="s">
        <v>233</v>
      </c>
      <c r="BE159" s="4" t="s">
        <v>233</v>
      </c>
      <c r="BF159" s="8" t="s">
        <v>233</v>
      </c>
      <c r="BG159" s="7" t="s">
        <v>233</v>
      </c>
      <c r="BH159" s="7" t="s">
        <v>233</v>
      </c>
      <c r="BI159" s="7"/>
      <c r="BJ159" s="4">
        <v>24</v>
      </c>
      <c r="BK159" s="8">
        <v>815.57</v>
      </c>
      <c r="BL159" s="2" t="s">
        <v>1115</v>
      </c>
      <c r="BM159" s="7"/>
      <c r="BN159" s="7"/>
      <c r="BO159" s="4"/>
      <c r="BP159" s="8"/>
      <c r="BQ159" s="4"/>
      <c r="BR159" s="8"/>
      <c r="BS159" s="7"/>
      <c r="BT159" s="7"/>
      <c r="BU159" s="2" t="s">
        <v>1101</v>
      </c>
      <c r="BV159" s="2" t="s">
        <v>233</v>
      </c>
      <c r="BW159" s="2" t="s">
        <v>233</v>
      </c>
      <c r="BX159" s="2" t="s">
        <v>241</v>
      </c>
      <c r="BY159" s="2" t="s">
        <v>242</v>
      </c>
      <c r="BZ159" s="2" t="s">
        <v>230</v>
      </c>
      <c r="CA159" s="2" t="s">
        <v>1116</v>
      </c>
      <c r="CB159" s="2" t="s">
        <v>1117</v>
      </c>
      <c r="CC159" s="2" t="s">
        <v>245</v>
      </c>
      <c r="CD159" s="2" t="s">
        <v>233</v>
      </c>
      <c r="CE159" s="4">
        <v>218</v>
      </c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>
        <v>52</v>
      </c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>
        <v>222</v>
      </c>
      <c r="GD159" s="4">
        <v>200</v>
      </c>
      <c r="GE159" s="4">
        <v>197</v>
      </c>
      <c r="GF159" s="4">
        <v>194</v>
      </c>
      <c r="GG159" s="4">
        <v>190</v>
      </c>
      <c r="GH159" s="4">
        <v>186</v>
      </c>
      <c r="GI159" s="4">
        <v>178</v>
      </c>
      <c r="GJ159" s="4">
        <v>216</v>
      </c>
      <c r="GK159" s="4">
        <v>214</v>
      </c>
      <c r="GL159" s="4">
        <v>212</v>
      </c>
      <c r="GM159" s="4">
        <v>205</v>
      </c>
      <c r="GN159" s="4">
        <v>199</v>
      </c>
      <c r="GO159" s="4">
        <v>193</v>
      </c>
      <c r="GP159" s="4">
        <v>187</v>
      </c>
      <c r="GQ159" s="4">
        <v>181</v>
      </c>
      <c r="GR159" s="4">
        <v>175</v>
      </c>
      <c r="GS159" s="4">
        <v>169</v>
      </c>
      <c r="GT159" s="4">
        <v>163</v>
      </c>
      <c r="GU159" s="4">
        <v>157</v>
      </c>
      <c r="GV159" s="4">
        <v>151</v>
      </c>
      <c r="GW159" s="4">
        <v>145</v>
      </c>
      <c r="GX159" s="4">
        <v>139</v>
      </c>
      <c r="GY159" s="4">
        <v>133</v>
      </c>
      <c r="GZ159" s="4">
        <v>127</v>
      </c>
      <c r="HA159" s="4">
        <v>120</v>
      </c>
      <c r="HB159" s="4">
        <v>114</v>
      </c>
      <c r="HC159" s="19">
        <v>27.8</v>
      </c>
      <c r="HD159" s="19">
        <v>50</v>
      </c>
      <c r="HE159" s="19">
        <v>39.4</v>
      </c>
      <c r="HF159" s="19">
        <v>24.3</v>
      </c>
      <c r="HG159" s="19">
        <v>27.1</v>
      </c>
      <c r="HH159" s="19">
        <v>31</v>
      </c>
      <c r="HI159" s="19">
        <v>29.7</v>
      </c>
      <c r="HJ159" s="19">
        <v>54</v>
      </c>
      <c r="HK159" s="19">
        <v>42.8</v>
      </c>
      <c r="HL159" s="19">
        <v>35.3</v>
      </c>
      <c r="HM159" s="19">
        <v>34.2</v>
      </c>
      <c r="HN159" s="19">
        <v>33.2</v>
      </c>
      <c r="HO159" s="19">
        <v>32.2</v>
      </c>
      <c r="HP159" s="19">
        <v>31.2</v>
      </c>
      <c r="HQ159" s="19">
        <v>30.2</v>
      </c>
      <c r="HR159" s="19">
        <v>29.2</v>
      </c>
      <c r="HS159" s="19">
        <v>28.2</v>
      </c>
      <c r="HT159" s="19">
        <v>27.2</v>
      </c>
      <c r="HU159" s="19">
        <v>26.2</v>
      </c>
      <c r="HV159" s="19">
        <v>25.2</v>
      </c>
      <c r="HW159" s="19">
        <v>24.2</v>
      </c>
      <c r="HX159" s="19">
        <v>23.2</v>
      </c>
      <c r="HY159" s="19">
        <v>22.2</v>
      </c>
      <c r="HZ159" s="19">
        <v>21.2</v>
      </c>
      <c r="IA159" s="19">
        <v>20</v>
      </c>
      <c r="IB159" s="19">
        <v>19</v>
      </c>
    </row>
    <row r="160">
      <c r="A160" s="2" t="s">
        <v>1118</v>
      </c>
      <c r="B160" s="2" t="s">
        <v>872</v>
      </c>
      <c r="C160" s="2" t="s">
        <v>280</v>
      </c>
      <c r="D160" s="2" t="s">
        <v>261</v>
      </c>
      <c r="E160" s="2" t="s">
        <v>1119</v>
      </c>
      <c r="F160" s="2" t="s">
        <v>1093</v>
      </c>
      <c r="G160" s="2" t="s">
        <v>1094</v>
      </c>
      <c r="H160" s="2" t="s">
        <v>1095</v>
      </c>
      <c r="I160" s="2" t="s">
        <v>1120</v>
      </c>
      <c r="J160" s="2" t="s">
        <v>285</v>
      </c>
      <c r="K160" s="2" t="s">
        <v>1121</v>
      </c>
      <c r="L160" s="3">
        <v>94.5</v>
      </c>
      <c r="M160" s="3">
        <v>99.22</v>
      </c>
      <c r="N160" s="3">
        <v>199.99</v>
      </c>
      <c r="O160" s="2" t="s">
        <v>230</v>
      </c>
      <c r="P160" s="2" t="s">
        <v>231</v>
      </c>
      <c r="Q160" s="2" t="s">
        <v>232</v>
      </c>
      <c r="R160" s="2" t="s">
        <v>233</v>
      </c>
      <c r="S160" s="2" t="s">
        <v>1109</v>
      </c>
      <c r="T160" s="2" t="s">
        <v>233</v>
      </c>
      <c r="U160" s="2" t="s">
        <v>1122</v>
      </c>
      <c r="V160" s="2" t="s">
        <v>1099</v>
      </c>
      <c r="W160" s="2" t="s">
        <v>818</v>
      </c>
      <c r="X160" s="2" t="s">
        <v>1123</v>
      </c>
      <c r="Y160" s="2" t="s">
        <v>238</v>
      </c>
      <c r="Z160" s="4">
        <v>223</v>
      </c>
      <c r="AA160" s="4">
        <f>=ROUNDDOWN(44.6,0)</f>
      </c>
      <c r="AB160" s="5">
        <v>5</v>
      </c>
      <c r="AC160" s="2" t="s">
        <v>145</v>
      </c>
      <c r="AD160" s="4">
        <v>70</v>
      </c>
      <c r="AE160" s="4">
        <v>70</v>
      </c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233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 t="s">
        <v>233</v>
      </c>
      <c r="BD160" s="8" t="s">
        <v>233</v>
      </c>
      <c r="BE160" s="4" t="s">
        <v>233</v>
      </c>
      <c r="BF160" s="8" t="s">
        <v>233</v>
      </c>
      <c r="BG160" s="7" t="s">
        <v>233</v>
      </c>
      <c r="BH160" s="7" t="s">
        <v>233</v>
      </c>
      <c r="BI160" s="7"/>
      <c r="BJ160" s="4">
        <v>36</v>
      </c>
      <c r="BK160" s="8">
        <v>3858.34</v>
      </c>
      <c r="BL160" s="2" t="s">
        <v>1124</v>
      </c>
      <c r="BM160" s="7"/>
      <c r="BN160" s="7"/>
      <c r="BO160" s="4"/>
      <c r="BP160" s="8"/>
      <c r="BQ160" s="4"/>
      <c r="BR160" s="8"/>
      <c r="BS160" s="7"/>
      <c r="BT160" s="7"/>
      <c r="BU160" s="2" t="s">
        <v>1125</v>
      </c>
      <c r="BV160" s="2" t="s">
        <v>233</v>
      </c>
      <c r="BW160" s="2" t="s">
        <v>233</v>
      </c>
      <c r="BX160" s="2" t="s">
        <v>293</v>
      </c>
      <c r="BY160" s="2" t="s">
        <v>242</v>
      </c>
      <c r="BZ160" s="2" t="s">
        <v>230</v>
      </c>
      <c r="CA160" s="2" t="s">
        <v>243</v>
      </c>
      <c r="CB160" s="2" t="s">
        <v>1126</v>
      </c>
      <c r="CC160" s="2" t="s">
        <v>245</v>
      </c>
      <c r="CD160" s="2" t="s">
        <v>233</v>
      </c>
      <c r="CE160" s="4">
        <v>223</v>
      </c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>
        <v>70</v>
      </c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>
        <v>228</v>
      </c>
      <c r="GD160" s="4">
        <v>218</v>
      </c>
      <c r="GE160" s="4">
        <v>212</v>
      </c>
      <c r="GF160" s="4">
        <v>277</v>
      </c>
      <c r="GG160" s="4">
        <v>268</v>
      </c>
      <c r="GH160" s="4">
        <v>261</v>
      </c>
      <c r="GI160" s="4">
        <v>257</v>
      </c>
      <c r="GJ160" s="4">
        <v>250</v>
      </c>
      <c r="GK160" s="4">
        <v>245</v>
      </c>
      <c r="GL160" s="4">
        <v>220</v>
      </c>
      <c r="GM160" s="4">
        <v>215</v>
      </c>
      <c r="GN160" s="4">
        <v>210</v>
      </c>
      <c r="GO160" s="4">
        <v>205</v>
      </c>
      <c r="GP160" s="4">
        <v>200</v>
      </c>
      <c r="GQ160" s="4">
        <v>195</v>
      </c>
      <c r="GR160" s="4">
        <v>190</v>
      </c>
      <c r="GS160" s="4">
        <v>185</v>
      </c>
      <c r="GT160" s="4">
        <v>179</v>
      </c>
      <c r="GU160" s="4">
        <v>174</v>
      </c>
      <c r="GV160" s="4">
        <v>169</v>
      </c>
      <c r="GW160" s="4">
        <v>164</v>
      </c>
      <c r="GX160" s="4">
        <v>159</v>
      </c>
      <c r="GY160" s="4">
        <v>154</v>
      </c>
      <c r="GZ160" s="4">
        <v>149</v>
      </c>
      <c r="HA160" s="4">
        <v>144</v>
      </c>
      <c r="HB160" s="4">
        <v>139</v>
      </c>
      <c r="HC160" s="19">
        <v>28.5</v>
      </c>
      <c r="HD160" s="19">
        <v>31.1</v>
      </c>
      <c r="HE160" s="19">
        <v>35.3</v>
      </c>
      <c r="HF160" s="19">
        <v>39.6</v>
      </c>
      <c r="HG160" s="19">
        <v>44.7</v>
      </c>
      <c r="HH160" s="19">
        <v>26.1</v>
      </c>
      <c r="HI160" s="19">
        <v>25.7</v>
      </c>
      <c r="HJ160" s="19">
        <v>25</v>
      </c>
      <c r="HK160" s="19">
        <v>24.5</v>
      </c>
      <c r="HL160" s="19">
        <v>44</v>
      </c>
      <c r="HM160" s="19">
        <v>43</v>
      </c>
      <c r="HN160" s="19">
        <v>42</v>
      </c>
      <c r="HO160" s="19">
        <v>41</v>
      </c>
      <c r="HP160" s="19">
        <v>40</v>
      </c>
      <c r="HQ160" s="19">
        <v>39</v>
      </c>
      <c r="HR160" s="19">
        <v>38</v>
      </c>
      <c r="HS160" s="19">
        <v>37</v>
      </c>
      <c r="HT160" s="19">
        <v>35.8</v>
      </c>
      <c r="HU160" s="19">
        <v>34.8</v>
      </c>
      <c r="HV160" s="19">
        <v>33.8</v>
      </c>
      <c r="HW160" s="19">
        <v>32.8</v>
      </c>
      <c r="HX160" s="19">
        <v>31.8</v>
      </c>
      <c r="HY160" s="19">
        <v>30.8</v>
      </c>
      <c r="HZ160" s="19">
        <v>29.8</v>
      </c>
      <c r="IA160" s="19">
        <v>28.8</v>
      </c>
      <c r="IB160" s="19">
        <v>27.8</v>
      </c>
    </row>
    <row r="161">
      <c r="A161" s="2" t="s">
        <v>1127</v>
      </c>
      <c r="B161" s="2" t="s">
        <v>811</v>
      </c>
      <c r="C161" s="2" t="s">
        <v>762</v>
      </c>
      <c r="D161" s="2" t="s">
        <v>1070</v>
      </c>
      <c r="E161" s="2" t="s">
        <v>1071</v>
      </c>
      <c r="F161" s="2" t="s">
        <v>1128</v>
      </c>
      <c r="G161" s="2" t="s">
        <v>1128</v>
      </c>
      <c r="H161" s="2" t="s">
        <v>1128</v>
      </c>
      <c r="I161" s="2" t="s">
        <v>1129</v>
      </c>
      <c r="J161" s="2" t="s">
        <v>741</v>
      </c>
      <c r="K161" s="2" t="s">
        <v>629</v>
      </c>
      <c r="L161" s="3">
        <v>86.4</v>
      </c>
      <c r="M161" s="3">
        <v>90.72</v>
      </c>
      <c r="N161" s="3">
        <v>179.99</v>
      </c>
      <c r="O161" s="2" t="s">
        <v>230</v>
      </c>
      <c r="P161" s="2" t="s">
        <v>231</v>
      </c>
      <c r="Q161" s="2" t="s">
        <v>232</v>
      </c>
      <c r="R161" s="2" t="s">
        <v>233</v>
      </c>
      <c r="S161" s="2" t="s">
        <v>233</v>
      </c>
      <c r="T161" s="2" t="s">
        <v>233</v>
      </c>
      <c r="U161" s="2" t="s">
        <v>329</v>
      </c>
      <c r="V161" s="2" t="s">
        <v>609</v>
      </c>
      <c r="W161" s="2" t="s">
        <v>712</v>
      </c>
      <c r="X161" s="2" t="s">
        <v>233</v>
      </c>
      <c r="Y161" s="2" t="s">
        <v>1130</v>
      </c>
      <c r="Z161" s="4">
        <v>78</v>
      </c>
      <c r="AA161" s="4">
        <f>=ROUNDDOWN(26,0)</f>
      </c>
      <c r="AB161" s="5">
        <v>3</v>
      </c>
      <c r="AC161" s="2" t="s">
        <v>233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233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 t="s">
        <v>233</v>
      </c>
      <c r="BD161" s="8" t="s">
        <v>233</v>
      </c>
      <c r="BE161" s="4" t="s">
        <v>233</v>
      </c>
      <c r="BF161" s="8" t="s">
        <v>233</v>
      </c>
      <c r="BG161" s="7" t="s">
        <v>233</v>
      </c>
      <c r="BH161" s="7" t="s">
        <v>233</v>
      </c>
      <c r="BI161" s="7"/>
      <c r="BJ161" s="4">
        <v>9</v>
      </c>
      <c r="BK161" s="8">
        <v>923.56</v>
      </c>
      <c r="BL161" s="2" t="s">
        <v>1131</v>
      </c>
      <c r="BM161" s="7"/>
      <c r="BN161" s="7"/>
      <c r="BO161" s="4"/>
      <c r="BP161" s="8"/>
      <c r="BQ161" s="4"/>
      <c r="BR161" s="8"/>
      <c r="BS161" s="7"/>
      <c r="BT161" s="7"/>
      <c r="BU161" s="2" t="s">
        <v>1132</v>
      </c>
      <c r="BV161" s="2" t="s">
        <v>233</v>
      </c>
      <c r="BW161" s="2" t="s">
        <v>233</v>
      </c>
      <c r="BX161" s="2" t="s">
        <v>241</v>
      </c>
      <c r="BY161" s="2" t="s">
        <v>242</v>
      </c>
      <c r="BZ161" s="2" t="s">
        <v>230</v>
      </c>
      <c r="CA161" s="2" t="s">
        <v>1133</v>
      </c>
      <c r="CB161" s="2" t="s">
        <v>1134</v>
      </c>
      <c r="CC161" s="2" t="s">
        <v>245</v>
      </c>
      <c r="CD161" s="2" t="s">
        <v>233</v>
      </c>
      <c r="CE161" s="4"/>
      <c r="CF161" s="4">
        <v>78</v>
      </c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>
        <v>83</v>
      </c>
      <c r="GD161" s="4">
        <v>75</v>
      </c>
      <c r="GE161" s="4">
        <v>71</v>
      </c>
      <c r="GF161" s="4">
        <v>67</v>
      </c>
      <c r="GG161" s="4">
        <v>64</v>
      </c>
      <c r="GH161" s="4">
        <v>61</v>
      </c>
      <c r="GI161" s="4">
        <v>57</v>
      </c>
      <c r="GJ161" s="4">
        <v>54</v>
      </c>
      <c r="GK161" s="4">
        <v>51</v>
      </c>
      <c r="GL161" s="4">
        <v>48</v>
      </c>
      <c r="GM161" s="4">
        <v>45</v>
      </c>
      <c r="GN161" s="4">
        <v>42</v>
      </c>
      <c r="GO161" s="4">
        <v>39</v>
      </c>
      <c r="GP161" s="4">
        <v>36</v>
      </c>
      <c r="GQ161" s="4">
        <v>33</v>
      </c>
      <c r="GR161" s="4">
        <v>30</v>
      </c>
      <c r="GS161" s="4">
        <v>27</v>
      </c>
      <c r="GT161" s="4">
        <v>23</v>
      </c>
      <c r="GU161" s="4">
        <v>20</v>
      </c>
      <c r="GV161" s="4">
        <v>17</v>
      </c>
      <c r="GW161" s="4">
        <v>14</v>
      </c>
      <c r="GX161" s="4">
        <v>11</v>
      </c>
      <c r="GY161" s="4">
        <v>8</v>
      </c>
      <c r="GZ161" s="4">
        <v>33</v>
      </c>
      <c r="HA161" s="4">
        <v>30</v>
      </c>
      <c r="HB161" s="4">
        <v>27</v>
      </c>
      <c r="HC161" s="19">
        <v>16.6</v>
      </c>
      <c r="HD161" s="19">
        <v>18.8</v>
      </c>
      <c r="HE161" s="19">
        <v>17.8</v>
      </c>
      <c r="HF161" s="19">
        <v>22.3</v>
      </c>
      <c r="HG161" s="19">
        <v>21.3</v>
      </c>
      <c r="HH161" s="19">
        <v>20.3</v>
      </c>
      <c r="HI161" s="19">
        <v>19</v>
      </c>
      <c r="HJ161" s="19">
        <v>18</v>
      </c>
      <c r="HK161" s="19">
        <v>17</v>
      </c>
      <c r="HL161" s="19">
        <v>16</v>
      </c>
      <c r="HM161" s="19">
        <v>15</v>
      </c>
      <c r="HN161" s="19">
        <v>14</v>
      </c>
      <c r="HO161" s="19">
        <v>13</v>
      </c>
      <c r="HP161" s="19">
        <v>12</v>
      </c>
      <c r="HQ161" s="19">
        <v>11</v>
      </c>
      <c r="HR161" s="19">
        <v>10</v>
      </c>
      <c r="HS161" s="19">
        <v>9</v>
      </c>
      <c r="HT161" s="19">
        <v>7.7</v>
      </c>
      <c r="HU161" s="19">
        <v>6.7</v>
      </c>
      <c r="HV161" s="19">
        <v>5.7</v>
      </c>
      <c r="HW161" s="19">
        <v>4.7</v>
      </c>
      <c r="HX161" s="19">
        <v>3.7</v>
      </c>
      <c r="HY161" s="19">
        <v>2.7</v>
      </c>
      <c r="HZ161" s="19">
        <v>11</v>
      </c>
      <c r="IA161" s="19">
        <v>10</v>
      </c>
      <c r="IB161" s="19">
        <v>9</v>
      </c>
    </row>
    <row r="162">
      <c r="A162" s="2" t="s">
        <v>1135</v>
      </c>
      <c r="B162" s="2" t="s">
        <v>811</v>
      </c>
      <c r="C162" s="2" t="s">
        <v>762</v>
      </c>
      <c r="D162" s="2" t="s">
        <v>1136</v>
      </c>
      <c r="E162" s="2" t="s">
        <v>1137</v>
      </c>
      <c r="F162" s="2" t="s">
        <v>1128</v>
      </c>
      <c r="G162" s="2" t="s">
        <v>1128</v>
      </c>
      <c r="H162" s="2" t="s">
        <v>1128</v>
      </c>
      <c r="I162" s="2" t="s">
        <v>1138</v>
      </c>
      <c r="J162" s="2" t="s">
        <v>1139</v>
      </c>
      <c r="K162" s="2" t="s">
        <v>1140</v>
      </c>
      <c r="L162" s="3">
        <v>47.52</v>
      </c>
      <c r="M162" s="3">
        <v>49.9</v>
      </c>
      <c r="N162" s="3">
        <v>109.99</v>
      </c>
      <c r="O162" s="2" t="s">
        <v>230</v>
      </c>
      <c r="P162" s="2" t="s">
        <v>231</v>
      </c>
      <c r="Q162" s="2" t="s">
        <v>232</v>
      </c>
      <c r="R162" s="2" t="s">
        <v>233</v>
      </c>
      <c r="S162" s="2" t="s">
        <v>233</v>
      </c>
      <c r="T162" s="2" t="s">
        <v>233</v>
      </c>
      <c r="U162" s="2" t="s">
        <v>329</v>
      </c>
      <c r="V162" s="2" t="s">
        <v>609</v>
      </c>
      <c r="W162" s="2" t="s">
        <v>712</v>
      </c>
      <c r="X162" s="2" t="s">
        <v>1141</v>
      </c>
      <c r="Y162" s="2" t="s">
        <v>820</v>
      </c>
      <c r="Z162" s="4">
        <v>74</v>
      </c>
      <c r="AA162" s="4">
        <f>=ROUNDDOWN(46.25,0)</f>
      </c>
      <c r="AB162" s="5">
        <v>1.6</v>
      </c>
      <c r="AC162" s="2" t="s">
        <v>233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233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 t="s">
        <v>233</v>
      </c>
      <c r="BD162" s="8" t="s">
        <v>233</v>
      </c>
      <c r="BE162" s="4" t="s">
        <v>233</v>
      </c>
      <c r="BF162" s="8" t="s">
        <v>233</v>
      </c>
      <c r="BG162" s="7" t="s">
        <v>233</v>
      </c>
      <c r="BH162" s="7" t="s">
        <v>233</v>
      </c>
      <c r="BI162" s="7"/>
      <c r="BJ162" s="4">
        <v>6</v>
      </c>
      <c r="BK162" s="8">
        <v>305.86</v>
      </c>
      <c r="BL162" s="2" t="s">
        <v>868</v>
      </c>
      <c r="BM162" s="7"/>
      <c r="BN162" s="7"/>
      <c r="BO162" s="4"/>
      <c r="BP162" s="8"/>
      <c r="BQ162" s="4"/>
      <c r="BR162" s="8"/>
      <c r="BS162" s="7"/>
      <c r="BT162" s="7"/>
      <c r="BU162" s="2" t="s">
        <v>1142</v>
      </c>
      <c r="BV162" s="2" t="s">
        <v>233</v>
      </c>
      <c r="BW162" s="2" t="s">
        <v>233</v>
      </c>
      <c r="BX162" s="2" t="s">
        <v>293</v>
      </c>
      <c r="BY162" s="2" t="s">
        <v>242</v>
      </c>
      <c r="BZ162" s="2" t="s">
        <v>230</v>
      </c>
      <c r="CA162" s="2" t="s">
        <v>1143</v>
      </c>
      <c r="CB162" s="2" t="s">
        <v>1144</v>
      </c>
      <c r="CC162" s="2" t="s">
        <v>245</v>
      </c>
      <c r="CD162" s="2" t="s">
        <v>233</v>
      </c>
      <c r="CE162" s="4"/>
      <c r="CF162" s="4">
        <v>74</v>
      </c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>
        <v>74</v>
      </c>
      <c r="GD162" s="4">
        <v>74</v>
      </c>
      <c r="GE162" s="4">
        <v>74</v>
      </c>
      <c r="GF162" s="4">
        <v>74</v>
      </c>
      <c r="GG162" s="4">
        <v>74</v>
      </c>
      <c r="GH162" s="4">
        <v>74</v>
      </c>
      <c r="GI162" s="4">
        <v>73</v>
      </c>
      <c r="GJ162" s="4">
        <v>72</v>
      </c>
      <c r="GK162" s="4">
        <v>71</v>
      </c>
      <c r="GL162" s="4">
        <v>70</v>
      </c>
      <c r="GM162" s="4">
        <v>69</v>
      </c>
      <c r="GN162" s="4">
        <v>68</v>
      </c>
      <c r="GO162" s="4">
        <v>67</v>
      </c>
      <c r="GP162" s="4">
        <v>66</v>
      </c>
      <c r="GQ162" s="4">
        <v>65</v>
      </c>
      <c r="GR162" s="4">
        <v>64</v>
      </c>
      <c r="GS162" s="4">
        <v>63</v>
      </c>
      <c r="GT162" s="4">
        <v>62</v>
      </c>
      <c r="GU162" s="4">
        <v>61</v>
      </c>
      <c r="GV162" s="4">
        <v>60</v>
      </c>
      <c r="GW162" s="4">
        <v>59</v>
      </c>
      <c r="GX162" s="4">
        <v>58</v>
      </c>
      <c r="GY162" s="4">
        <v>57</v>
      </c>
      <c r="GZ162" s="4">
        <v>56</v>
      </c>
      <c r="HA162" s="4">
        <v>55</v>
      </c>
      <c r="HB162" s="4">
        <v>54</v>
      </c>
      <c r="HC162" s="9"/>
      <c r="HD162" s="9"/>
      <c r="HE162" s="9"/>
      <c r="HF162" s="9"/>
      <c r="HG162" s="19">
        <v>74</v>
      </c>
      <c r="HH162" s="19">
        <v>74</v>
      </c>
      <c r="HI162" s="19">
        <v>73</v>
      </c>
      <c r="HJ162" s="19">
        <v>72</v>
      </c>
      <c r="HK162" s="19">
        <v>71</v>
      </c>
      <c r="HL162" s="19">
        <v>70</v>
      </c>
      <c r="HM162" s="19">
        <v>69</v>
      </c>
      <c r="HN162" s="19">
        <v>68</v>
      </c>
      <c r="HO162" s="19">
        <v>67</v>
      </c>
      <c r="HP162" s="19">
        <v>66</v>
      </c>
      <c r="HQ162" s="19">
        <v>65</v>
      </c>
      <c r="HR162" s="19">
        <v>64</v>
      </c>
      <c r="HS162" s="19">
        <v>63</v>
      </c>
      <c r="HT162" s="19">
        <v>62</v>
      </c>
      <c r="HU162" s="19">
        <v>61</v>
      </c>
      <c r="HV162" s="19">
        <v>60</v>
      </c>
      <c r="HW162" s="19">
        <v>59</v>
      </c>
      <c r="HX162" s="19">
        <v>58</v>
      </c>
      <c r="HY162" s="19">
        <v>57</v>
      </c>
      <c r="HZ162" s="19">
        <v>56</v>
      </c>
      <c r="IA162" s="19">
        <v>55</v>
      </c>
      <c r="IB162" s="19">
        <v>54</v>
      </c>
    </row>
    <row r="163">
      <c r="A163" s="2" t="s">
        <v>1145</v>
      </c>
      <c r="B163" s="2" t="s">
        <v>811</v>
      </c>
      <c r="C163" s="2" t="s">
        <v>762</v>
      </c>
      <c r="D163" s="2" t="s">
        <v>1136</v>
      </c>
      <c r="E163" s="2" t="s">
        <v>1137</v>
      </c>
      <c r="F163" s="2" t="s">
        <v>1128</v>
      </c>
      <c r="G163" s="2" t="s">
        <v>1128</v>
      </c>
      <c r="H163" s="2" t="s">
        <v>1128</v>
      </c>
      <c r="I163" s="2" t="s">
        <v>1138</v>
      </c>
      <c r="J163" s="2" t="s">
        <v>1139</v>
      </c>
      <c r="K163" s="2" t="s">
        <v>1146</v>
      </c>
      <c r="L163" s="3">
        <v>47.52</v>
      </c>
      <c r="M163" s="3">
        <v>49.9</v>
      </c>
      <c r="N163" s="3">
        <v>109.99</v>
      </c>
      <c r="O163" s="2" t="s">
        <v>230</v>
      </c>
      <c r="P163" s="2" t="s">
        <v>231</v>
      </c>
      <c r="Q163" s="2" t="s">
        <v>232</v>
      </c>
      <c r="R163" s="2" t="s">
        <v>233</v>
      </c>
      <c r="S163" s="2" t="s">
        <v>233</v>
      </c>
      <c r="T163" s="2" t="s">
        <v>233</v>
      </c>
      <c r="U163" s="2" t="s">
        <v>329</v>
      </c>
      <c r="V163" s="2" t="s">
        <v>609</v>
      </c>
      <c r="W163" s="2" t="s">
        <v>712</v>
      </c>
      <c r="X163" s="2" t="s">
        <v>1141</v>
      </c>
      <c r="Y163" s="2" t="s">
        <v>1147</v>
      </c>
      <c r="Z163" s="4">
        <v>187</v>
      </c>
      <c r="AA163" s="4">
        <f>=ROUNDDOWN(62.3333333333333,0)</f>
      </c>
      <c r="AB163" s="5">
        <v>3</v>
      </c>
      <c r="AC163" s="2" t="s">
        <v>233</v>
      </c>
      <c r="AD163" s="4"/>
      <c r="AE163" s="4"/>
      <c r="AF163" s="6">
        <v>63</v>
      </c>
      <c r="AG163" s="6"/>
      <c r="AH163" s="7">
        <v>1</v>
      </c>
      <c r="AI163" s="4"/>
      <c r="AJ163" s="4">
        <f>=ROUNDDOWN({0},0)</f>
      </c>
      <c r="AK163" s="5"/>
      <c r="AL163" s="2" t="s">
        <v>233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 t="s">
        <v>233</v>
      </c>
      <c r="BD163" s="8" t="s">
        <v>233</v>
      </c>
      <c r="BE163" s="4" t="s">
        <v>233</v>
      </c>
      <c r="BF163" s="8" t="s">
        <v>233</v>
      </c>
      <c r="BG163" s="7" t="s">
        <v>233</v>
      </c>
      <c r="BH163" s="7" t="s">
        <v>233</v>
      </c>
      <c r="BI163" s="7"/>
      <c r="BJ163" s="4">
        <v>17</v>
      </c>
      <c r="BK163" s="8">
        <v>964.99</v>
      </c>
      <c r="BL163" s="2" t="s">
        <v>1148</v>
      </c>
      <c r="BM163" s="7"/>
      <c r="BN163" s="7"/>
      <c r="BO163" s="4"/>
      <c r="BP163" s="8"/>
      <c r="BQ163" s="4"/>
      <c r="BR163" s="8"/>
      <c r="BS163" s="7"/>
      <c r="BT163" s="7"/>
      <c r="BU163" s="2" t="s">
        <v>1142</v>
      </c>
      <c r="BV163" s="2" t="s">
        <v>233</v>
      </c>
      <c r="BW163" s="2" t="s">
        <v>233</v>
      </c>
      <c r="BX163" s="2" t="s">
        <v>293</v>
      </c>
      <c r="BY163" s="2" t="s">
        <v>242</v>
      </c>
      <c r="BZ163" s="2" t="s">
        <v>230</v>
      </c>
      <c r="CA163" s="2" t="s">
        <v>1149</v>
      </c>
      <c r="CB163" s="2" t="s">
        <v>1150</v>
      </c>
      <c r="CC163" s="2" t="s">
        <v>245</v>
      </c>
      <c r="CD163" s="2" t="s">
        <v>233</v>
      </c>
      <c r="CE163" s="4"/>
      <c r="CF163" s="4">
        <v>187</v>
      </c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>
        <v>187</v>
      </c>
      <c r="GD163" s="4">
        <v>177</v>
      </c>
      <c r="GE163" s="4">
        <v>174</v>
      </c>
      <c r="GF163" s="4">
        <v>170</v>
      </c>
      <c r="GG163" s="4">
        <v>167</v>
      </c>
      <c r="GH163" s="4">
        <v>164</v>
      </c>
      <c r="GI163" s="4">
        <v>160</v>
      </c>
      <c r="GJ163" s="4">
        <v>157</v>
      </c>
      <c r="GK163" s="4">
        <v>154</v>
      </c>
      <c r="GL163" s="4">
        <v>151</v>
      </c>
      <c r="GM163" s="4">
        <v>148</v>
      </c>
      <c r="GN163" s="4">
        <v>145</v>
      </c>
      <c r="GO163" s="4">
        <v>142</v>
      </c>
      <c r="GP163" s="4">
        <v>139</v>
      </c>
      <c r="GQ163" s="4">
        <v>136</v>
      </c>
      <c r="GR163" s="4">
        <v>133</v>
      </c>
      <c r="GS163" s="4">
        <v>130</v>
      </c>
      <c r="GT163" s="4">
        <v>127</v>
      </c>
      <c r="GU163" s="4">
        <v>124</v>
      </c>
      <c r="GV163" s="4">
        <v>121</v>
      </c>
      <c r="GW163" s="4">
        <v>118</v>
      </c>
      <c r="GX163" s="4">
        <v>115</v>
      </c>
      <c r="GY163" s="4">
        <v>112</v>
      </c>
      <c r="GZ163" s="4">
        <v>109</v>
      </c>
      <c r="HA163" s="4">
        <v>106</v>
      </c>
      <c r="HB163" s="4">
        <v>103</v>
      </c>
      <c r="HC163" s="19">
        <v>37.4</v>
      </c>
      <c r="HD163" s="19">
        <v>59</v>
      </c>
      <c r="HE163" s="19">
        <v>43.5</v>
      </c>
      <c r="HF163" s="19">
        <v>56.7</v>
      </c>
      <c r="HG163" s="19">
        <v>55.7</v>
      </c>
      <c r="HH163" s="19">
        <v>54.7</v>
      </c>
      <c r="HI163" s="19">
        <v>53.3</v>
      </c>
      <c r="HJ163" s="19">
        <v>52.3</v>
      </c>
      <c r="HK163" s="19">
        <v>51.3</v>
      </c>
      <c r="HL163" s="19">
        <v>50.3</v>
      </c>
      <c r="HM163" s="19">
        <v>49.3</v>
      </c>
      <c r="HN163" s="19">
        <v>48.3</v>
      </c>
      <c r="HO163" s="19">
        <v>47.3</v>
      </c>
      <c r="HP163" s="19">
        <v>46.3</v>
      </c>
      <c r="HQ163" s="19">
        <v>45.3</v>
      </c>
      <c r="HR163" s="19">
        <v>44.3</v>
      </c>
      <c r="HS163" s="19">
        <v>43.3</v>
      </c>
      <c r="HT163" s="19">
        <v>42.3</v>
      </c>
      <c r="HU163" s="19">
        <v>41.3</v>
      </c>
      <c r="HV163" s="19">
        <v>40.3</v>
      </c>
      <c r="HW163" s="19">
        <v>39.3</v>
      </c>
      <c r="HX163" s="19">
        <v>38.3</v>
      </c>
      <c r="HY163" s="19">
        <v>37.3</v>
      </c>
      <c r="HZ163" s="19">
        <v>36.3</v>
      </c>
      <c r="IA163" s="19">
        <v>35.3</v>
      </c>
      <c r="IB163" s="19">
        <v>34.3</v>
      </c>
    </row>
    <row r="164">
      <c r="A164" s="2" t="s">
        <v>1151</v>
      </c>
      <c r="B164" s="2" t="s">
        <v>761</v>
      </c>
      <c r="C164" s="2" t="s">
        <v>280</v>
      </c>
      <c r="D164" s="2" t="s">
        <v>1080</v>
      </c>
      <c r="E164" s="2" t="s">
        <v>1152</v>
      </c>
      <c r="F164" s="2" t="s">
        <v>1153</v>
      </c>
      <c r="G164" s="2" t="s">
        <v>1154</v>
      </c>
      <c r="H164" s="2" t="s">
        <v>1155</v>
      </c>
      <c r="I164" s="2" t="s">
        <v>1156</v>
      </c>
      <c r="J164" s="2" t="s">
        <v>741</v>
      </c>
      <c r="K164" s="2" t="s">
        <v>1157</v>
      </c>
      <c r="L164" s="3">
        <v>237.5</v>
      </c>
      <c r="M164" s="3">
        <v>249.38</v>
      </c>
      <c r="N164" s="3">
        <v>499</v>
      </c>
      <c r="O164" s="2" t="s">
        <v>230</v>
      </c>
      <c r="P164" s="2" t="s">
        <v>231</v>
      </c>
      <c r="Q164" s="2" t="s">
        <v>232</v>
      </c>
      <c r="R164" s="2" t="s">
        <v>233</v>
      </c>
      <c r="S164" s="2" t="s">
        <v>1158</v>
      </c>
      <c r="T164" s="2" t="s">
        <v>233</v>
      </c>
      <c r="U164" s="2" t="s">
        <v>329</v>
      </c>
      <c r="V164" s="2" t="s">
        <v>236</v>
      </c>
      <c r="W164" s="2" t="s">
        <v>712</v>
      </c>
      <c r="X164" s="2" t="s">
        <v>233</v>
      </c>
      <c r="Y164" s="2" t="s">
        <v>1159</v>
      </c>
      <c r="Z164" s="4">
        <v>279</v>
      </c>
      <c r="AA164" s="4">
        <f>=ROUNDDOWN(69.75,0)</f>
      </c>
      <c r="AB164" s="5">
        <v>4</v>
      </c>
      <c r="AC164" s="2" t="s">
        <v>233</v>
      </c>
      <c r="AD164" s="4"/>
      <c r="AE164" s="4"/>
      <c r="AF164" s="6">
        <v>68</v>
      </c>
      <c r="AG164" s="6">
        <v>51</v>
      </c>
      <c r="AH164" s="7">
        <v>1</v>
      </c>
      <c r="AI164" s="4"/>
      <c r="AJ164" s="4">
        <f>=ROUNDDOWN({0},0)</f>
      </c>
      <c r="AK164" s="5"/>
      <c r="AL164" s="2" t="s">
        <v>233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 t="s">
        <v>233</v>
      </c>
      <c r="BD164" s="8" t="s">
        <v>233</v>
      </c>
      <c r="BE164" s="4" t="s">
        <v>233</v>
      </c>
      <c r="BF164" s="8" t="s">
        <v>233</v>
      </c>
      <c r="BG164" s="7" t="s">
        <v>233</v>
      </c>
      <c r="BH164" s="7" t="s">
        <v>233</v>
      </c>
      <c r="BI164" s="7"/>
      <c r="BJ164" s="4">
        <v>9</v>
      </c>
      <c r="BK164" s="8">
        <v>2234.3</v>
      </c>
      <c r="BL164" s="2" t="s">
        <v>1160</v>
      </c>
      <c r="BM164" s="7"/>
      <c r="BN164" s="7"/>
      <c r="BO164" s="4"/>
      <c r="BP164" s="8"/>
      <c r="BQ164" s="4"/>
      <c r="BR164" s="8"/>
      <c r="BS164" s="7"/>
      <c r="BT164" s="7"/>
      <c r="BU164" s="2" t="s">
        <v>1161</v>
      </c>
      <c r="BV164" s="2" t="s">
        <v>233</v>
      </c>
      <c r="BW164" s="2" t="s">
        <v>233</v>
      </c>
      <c r="BX164" s="2" t="s">
        <v>241</v>
      </c>
      <c r="BY164" s="2" t="s">
        <v>242</v>
      </c>
      <c r="BZ164" s="2" t="s">
        <v>230</v>
      </c>
      <c r="CA164" s="2" t="s">
        <v>1162</v>
      </c>
      <c r="CB164" s="2" t="s">
        <v>1163</v>
      </c>
      <c r="CC164" s="2" t="s">
        <v>245</v>
      </c>
      <c r="CD164" s="2" t="s">
        <v>233</v>
      </c>
      <c r="CE164" s="4"/>
      <c r="CF164" s="4">
        <v>279</v>
      </c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>
        <v>301</v>
      </c>
      <c r="GD164" s="4">
        <v>277</v>
      </c>
      <c r="GE164" s="4">
        <v>271</v>
      </c>
      <c r="GF164" s="4">
        <v>267</v>
      </c>
      <c r="GG164" s="4">
        <v>259</v>
      </c>
      <c r="GH164" s="4">
        <v>253</v>
      </c>
      <c r="GI164" s="4">
        <v>249</v>
      </c>
      <c r="GJ164" s="4">
        <v>247</v>
      </c>
      <c r="GK164" s="4">
        <v>245</v>
      </c>
      <c r="GL164" s="4">
        <v>241</v>
      </c>
      <c r="GM164" s="4">
        <v>238</v>
      </c>
      <c r="GN164" s="4">
        <v>234</v>
      </c>
      <c r="GO164" s="4">
        <v>231</v>
      </c>
      <c r="GP164" s="4">
        <v>228</v>
      </c>
      <c r="GQ164" s="4">
        <v>224</v>
      </c>
      <c r="GR164" s="4">
        <v>220</v>
      </c>
      <c r="GS164" s="4">
        <v>216</v>
      </c>
      <c r="GT164" s="4">
        <v>212</v>
      </c>
      <c r="GU164" s="4">
        <v>208</v>
      </c>
      <c r="GV164" s="4">
        <v>204</v>
      </c>
      <c r="GW164" s="4">
        <v>200</v>
      </c>
      <c r="GX164" s="4">
        <v>196</v>
      </c>
      <c r="GY164" s="4">
        <v>192</v>
      </c>
      <c r="GZ164" s="4">
        <v>188</v>
      </c>
      <c r="HA164" s="4">
        <v>184</v>
      </c>
      <c r="HB164" s="4">
        <v>180</v>
      </c>
      <c r="HC164" s="19">
        <v>15.1</v>
      </c>
      <c r="HD164" s="19">
        <v>23.1</v>
      </c>
      <c r="HE164" s="19">
        <v>22.6</v>
      </c>
      <c r="HF164" s="19">
        <v>26.7</v>
      </c>
      <c r="HG164" s="19">
        <v>32.4</v>
      </c>
      <c r="HH164" s="19">
        <v>42.2</v>
      </c>
      <c r="HI164" s="19">
        <v>41.5</v>
      </c>
      <c r="HJ164" s="19">
        <v>41.2</v>
      </c>
      <c r="HK164" s="19">
        <v>30.7</v>
      </c>
      <c r="HL164" s="19">
        <v>40.2</v>
      </c>
      <c r="HM164" s="19">
        <v>29.8</v>
      </c>
      <c r="HN164" s="19">
        <v>29.3</v>
      </c>
      <c r="HO164" s="19">
        <v>28.9</v>
      </c>
      <c r="HP164" s="19">
        <v>28.5</v>
      </c>
      <c r="HQ164" s="19">
        <v>28</v>
      </c>
      <c r="HR164" s="19">
        <v>27.5</v>
      </c>
      <c r="HS164" s="19">
        <v>27</v>
      </c>
      <c r="HT164" s="19">
        <v>26.5</v>
      </c>
      <c r="HU164" s="19">
        <v>26</v>
      </c>
      <c r="HV164" s="19">
        <v>25.5</v>
      </c>
      <c r="HW164" s="19">
        <v>25</v>
      </c>
      <c r="HX164" s="19">
        <v>24.5</v>
      </c>
      <c r="HY164" s="19">
        <v>24</v>
      </c>
      <c r="HZ164" s="19">
        <v>23.5</v>
      </c>
      <c r="IA164" s="19">
        <v>23</v>
      </c>
      <c r="IB164" s="19">
        <v>22.5</v>
      </c>
    </row>
    <row r="165">
      <c r="A165" s="2" t="s">
        <v>1164</v>
      </c>
      <c r="B165" s="2" t="s">
        <v>761</v>
      </c>
      <c r="C165" s="2" t="s">
        <v>280</v>
      </c>
      <c r="D165" s="2" t="s">
        <v>1080</v>
      </c>
      <c r="E165" s="2" t="s">
        <v>1152</v>
      </c>
      <c r="F165" s="2" t="s">
        <v>1153</v>
      </c>
      <c r="G165" s="2" t="s">
        <v>1154</v>
      </c>
      <c r="H165" s="2" t="s">
        <v>1155</v>
      </c>
      <c r="I165" s="2" t="s">
        <v>1156</v>
      </c>
      <c r="J165" s="2" t="s">
        <v>741</v>
      </c>
      <c r="K165" s="2" t="s">
        <v>1165</v>
      </c>
      <c r="L165" s="3">
        <v>237.5</v>
      </c>
      <c r="M165" s="3">
        <v>249.38</v>
      </c>
      <c r="N165" s="3">
        <v>499</v>
      </c>
      <c r="O165" s="2" t="s">
        <v>230</v>
      </c>
      <c r="P165" s="2" t="s">
        <v>721</v>
      </c>
      <c r="Q165" s="2" t="s">
        <v>232</v>
      </c>
      <c r="R165" s="2" t="s">
        <v>233</v>
      </c>
      <c r="S165" s="2" t="s">
        <v>233</v>
      </c>
      <c r="T165" s="2" t="s">
        <v>233</v>
      </c>
      <c r="U165" s="2" t="s">
        <v>329</v>
      </c>
      <c r="V165" s="2" t="s">
        <v>236</v>
      </c>
      <c r="W165" s="2" t="s">
        <v>712</v>
      </c>
      <c r="X165" s="2" t="s">
        <v>233</v>
      </c>
      <c r="Y165" s="2" t="s">
        <v>1166</v>
      </c>
      <c r="Z165" s="4">
        <v>186</v>
      </c>
      <c r="AA165" s="4">
        <f>=ROUNDDOWN(62,0)</f>
      </c>
      <c r="AB165" s="5">
        <v>3</v>
      </c>
      <c r="AC165" s="2" t="s">
        <v>233</v>
      </c>
      <c r="AD165" s="4"/>
      <c r="AE165" s="4"/>
      <c r="AF165" s="6">
        <v>68</v>
      </c>
      <c r="AG165" s="6"/>
      <c r="AH165" s="7">
        <v>1</v>
      </c>
      <c r="AI165" s="4"/>
      <c r="AJ165" s="4">
        <f>=ROUNDDOWN({0},0)</f>
      </c>
      <c r="AK165" s="5"/>
      <c r="AL165" s="2" t="s">
        <v>233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 t="s">
        <v>233</v>
      </c>
      <c r="BD165" s="8" t="s">
        <v>233</v>
      </c>
      <c r="BE165" s="4" t="s">
        <v>233</v>
      </c>
      <c r="BF165" s="8" t="s">
        <v>233</v>
      </c>
      <c r="BG165" s="7" t="s">
        <v>233</v>
      </c>
      <c r="BH165" s="7" t="s">
        <v>233</v>
      </c>
      <c r="BI165" s="7"/>
      <c r="BJ165" s="4">
        <v>4</v>
      </c>
      <c r="BK165" s="8">
        <v>966.12</v>
      </c>
      <c r="BL165" s="2" t="s">
        <v>1167</v>
      </c>
      <c r="BM165" s="7"/>
      <c r="BN165" s="7"/>
      <c r="BO165" s="4"/>
      <c r="BP165" s="8"/>
      <c r="BQ165" s="4"/>
      <c r="BR165" s="8"/>
      <c r="BS165" s="7"/>
      <c r="BT165" s="7"/>
      <c r="BU165" s="2" t="s">
        <v>1161</v>
      </c>
      <c r="BV165" s="2" t="s">
        <v>233</v>
      </c>
      <c r="BW165" s="2" t="s">
        <v>233</v>
      </c>
      <c r="BX165" s="2" t="s">
        <v>241</v>
      </c>
      <c r="BY165" s="2" t="s">
        <v>242</v>
      </c>
      <c r="BZ165" s="2" t="s">
        <v>230</v>
      </c>
      <c r="CA165" s="2" t="s">
        <v>1168</v>
      </c>
      <c r="CB165" s="2" t="s">
        <v>1169</v>
      </c>
      <c r="CC165" s="2" t="s">
        <v>245</v>
      </c>
      <c r="CD165" s="2" t="s">
        <v>233</v>
      </c>
      <c r="CE165" s="4"/>
      <c r="CF165" s="4">
        <v>186</v>
      </c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>
        <v>194</v>
      </c>
      <c r="GD165" s="4">
        <v>174</v>
      </c>
      <c r="GE165" s="4">
        <v>170</v>
      </c>
      <c r="GF165" s="4">
        <v>167</v>
      </c>
      <c r="GG165" s="4">
        <v>162</v>
      </c>
      <c r="GH165" s="4">
        <v>158</v>
      </c>
      <c r="GI165" s="4">
        <v>155</v>
      </c>
      <c r="GJ165" s="4">
        <v>153</v>
      </c>
      <c r="GK165" s="4">
        <v>151</v>
      </c>
      <c r="GL165" s="4">
        <v>148</v>
      </c>
      <c r="GM165" s="4">
        <v>146</v>
      </c>
      <c r="GN165" s="4">
        <v>143</v>
      </c>
      <c r="GO165" s="4">
        <v>141</v>
      </c>
      <c r="GP165" s="4">
        <v>139</v>
      </c>
      <c r="GQ165" s="4">
        <v>136</v>
      </c>
      <c r="GR165" s="4">
        <v>133</v>
      </c>
      <c r="GS165" s="4">
        <v>130</v>
      </c>
      <c r="GT165" s="4">
        <v>127</v>
      </c>
      <c r="GU165" s="4">
        <v>124</v>
      </c>
      <c r="GV165" s="4">
        <v>121</v>
      </c>
      <c r="GW165" s="4">
        <v>118</v>
      </c>
      <c r="GX165" s="4">
        <v>115</v>
      </c>
      <c r="GY165" s="4">
        <v>112</v>
      </c>
      <c r="GZ165" s="4">
        <v>109</v>
      </c>
      <c r="HA165" s="4">
        <v>106</v>
      </c>
      <c r="HB165" s="4">
        <v>103</v>
      </c>
      <c r="HC165" s="19">
        <v>24.3</v>
      </c>
      <c r="HD165" s="19">
        <v>43.5</v>
      </c>
      <c r="HE165" s="19">
        <v>42.5</v>
      </c>
      <c r="HF165" s="19">
        <v>41.8</v>
      </c>
      <c r="HG165" s="19">
        <v>54</v>
      </c>
      <c r="HH165" s="19">
        <v>79</v>
      </c>
      <c r="HI165" s="19">
        <v>77.5</v>
      </c>
      <c r="HJ165" s="19">
        <v>76.5</v>
      </c>
      <c r="HK165" s="19">
        <v>75.5</v>
      </c>
      <c r="HL165" s="19">
        <v>74</v>
      </c>
      <c r="HM165" s="19">
        <v>73</v>
      </c>
      <c r="HN165" s="19">
        <v>71.5</v>
      </c>
      <c r="HO165" s="19">
        <v>47</v>
      </c>
      <c r="HP165" s="19">
        <v>46.3</v>
      </c>
      <c r="HQ165" s="19">
        <v>45.3</v>
      </c>
      <c r="HR165" s="19">
        <v>44.3</v>
      </c>
      <c r="HS165" s="19">
        <v>43.3</v>
      </c>
      <c r="HT165" s="19">
        <v>42.3</v>
      </c>
      <c r="HU165" s="19">
        <v>41.3</v>
      </c>
      <c r="HV165" s="19">
        <v>40.3</v>
      </c>
      <c r="HW165" s="19">
        <v>39.3</v>
      </c>
      <c r="HX165" s="19">
        <v>38.3</v>
      </c>
      <c r="HY165" s="19">
        <v>37.3</v>
      </c>
      <c r="HZ165" s="19">
        <v>36.3</v>
      </c>
      <c r="IA165" s="19">
        <v>35.3</v>
      </c>
      <c r="IB165" s="19">
        <v>34.3</v>
      </c>
    </row>
    <row r="166">
      <c r="A166" s="2" t="s">
        <v>1170</v>
      </c>
      <c r="B166" s="2" t="s">
        <v>872</v>
      </c>
      <c r="C166" s="2" t="s">
        <v>1171</v>
      </c>
      <c r="D166" s="2" t="s">
        <v>1172</v>
      </c>
      <c r="E166" s="2" t="s">
        <v>1173</v>
      </c>
      <c r="F166" s="2" t="s">
        <v>1174</v>
      </c>
      <c r="G166" s="2" t="s">
        <v>1174</v>
      </c>
      <c r="H166" s="2" t="s">
        <v>1174</v>
      </c>
      <c r="I166" s="2" t="s">
        <v>1175</v>
      </c>
      <c r="J166" s="2" t="s">
        <v>1176</v>
      </c>
      <c r="K166" s="2" t="s">
        <v>1177</v>
      </c>
      <c r="L166" s="3">
        <v>30.95</v>
      </c>
      <c r="M166" s="3">
        <v>32.5</v>
      </c>
      <c r="N166" s="3">
        <v>99.99</v>
      </c>
      <c r="O166" s="2" t="s">
        <v>230</v>
      </c>
      <c r="P166" s="2" t="s">
        <v>721</v>
      </c>
      <c r="Q166" s="2" t="s">
        <v>232</v>
      </c>
      <c r="R166" s="2" t="s">
        <v>233</v>
      </c>
      <c r="S166" s="2" t="s">
        <v>233</v>
      </c>
      <c r="T166" s="2" t="s">
        <v>233</v>
      </c>
      <c r="U166" s="2" t="s">
        <v>329</v>
      </c>
      <c r="V166" s="2" t="s">
        <v>1178</v>
      </c>
      <c r="W166" s="2" t="s">
        <v>818</v>
      </c>
      <c r="X166" s="2" t="s">
        <v>233</v>
      </c>
      <c r="Y166" s="2" t="s">
        <v>1179</v>
      </c>
      <c r="Z166" s="4">
        <v>178</v>
      </c>
      <c r="AA166" s="4">
        <f>=ROUNDDOWN(148.333333333333,0)</f>
      </c>
      <c r="AB166" s="5">
        <v>1.2</v>
      </c>
      <c r="AC166" s="2" t="s">
        <v>233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233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/>
      <c r="BD166" s="8"/>
      <c r="BE166" s="4"/>
      <c r="BF166" s="8"/>
      <c r="BG166" s="7"/>
      <c r="BH166" s="7"/>
      <c r="BI166" s="7"/>
      <c r="BJ166" s="4">
        <v>2</v>
      </c>
      <c r="BK166" s="8">
        <v>134.11</v>
      </c>
      <c r="BL166" s="2" t="s">
        <v>1180</v>
      </c>
      <c r="BM166" s="7"/>
      <c r="BN166" s="7"/>
      <c r="BO166" s="4"/>
      <c r="BP166" s="8"/>
      <c r="BQ166" s="4"/>
      <c r="BR166" s="8"/>
      <c r="BS166" s="7"/>
      <c r="BT166" s="7"/>
      <c r="BU166" s="2" t="s">
        <v>1181</v>
      </c>
      <c r="BV166" s="2" t="s">
        <v>233</v>
      </c>
      <c r="BW166" s="2" t="s">
        <v>233</v>
      </c>
      <c r="BX166" s="2" t="s">
        <v>241</v>
      </c>
      <c r="BY166" s="2" t="s">
        <v>242</v>
      </c>
      <c r="BZ166" s="2" t="s">
        <v>230</v>
      </c>
      <c r="CA166" s="2" t="s">
        <v>1182</v>
      </c>
      <c r="CB166" s="2" t="s">
        <v>1183</v>
      </c>
      <c r="CC166" s="2" t="s">
        <v>245</v>
      </c>
      <c r="CD166" s="2" t="s">
        <v>233</v>
      </c>
      <c r="CE166" s="4">
        <v>178</v>
      </c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>
        <v>180</v>
      </c>
      <c r="GD166" s="4">
        <v>178</v>
      </c>
      <c r="GE166" s="4">
        <v>176</v>
      </c>
      <c r="GF166" s="4">
        <v>174</v>
      </c>
      <c r="GG166" s="4">
        <v>171</v>
      </c>
      <c r="GH166" s="4">
        <v>169</v>
      </c>
      <c r="GI166" s="4">
        <v>167</v>
      </c>
      <c r="GJ166" s="4">
        <v>166</v>
      </c>
      <c r="GK166" s="4">
        <v>165</v>
      </c>
      <c r="GL166" s="4">
        <v>164</v>
      </c>
      <c r="GM166" s="4">
        <v>163</v>
      </c>
      <c r="GN166" s="4">
        <v>162</v>
      </c>
      <c r="GO166" s="4">
        <v>161</v>
      </c>
      <c r="GP166" s="4">
        <v>160</v>
      </c>
      <c r="GQ166" s="4">
        <v>159</v>
      </c>
      <c r="GR166" s="4">
        <v>158</v>
      </c>
      <c r="GS166" s="4">
        <v>157</v>
      </c>
      <c r="GT166" s="4">
        <v>156</v>
      </c>
      <c r="GU166" s="4">
        <v>155</v>
      </c>
      <c r="GV166" s="4">
        <v>154</v>
      </c>
      <c r="GW166" s="4">
        <v>153</v>
      </c>
      <c r="GX166" s="4">
        <v>152</v>
      </c>
      <c r="GY166" s="4">
        <v>151</v>
      </c>
      <c r="GZ166" s="4">
        <v>150</v>
      </c>
      <c r="HA166" s="4">
        <v>149</v>
      </c>
      <c r="HB166" s="4">
        <v>148</v>
      </c>
      <c r="HC166" s="19">
        <v>90</v>
      </c>
      <c r="HD166" s="19">
        <v>89</v>
      </c>
      <c r="HE166" s="19">
        <v>88</v>
      </c>
      <c r="HF166" s="19">
        <v>87</v>
      </c>
      <c r="HG166" s="19">
        <v>85.5</v>
      </c>
      <c r="HH166" s="19">
        <v>169</v>
      </c>
      <c r="HI166" s="19">
        <v>167</v>
      </c>
      <c r="HJ166" s="19">
        <v>166</v>
      </c>
      <c r="HK166" s="19">
        <v>165</v>
      </c>
      <c r="HL166" s="19">
        <v>164</v>
      </c>
      <c r="HM166" s="19">
        <v>163</v>
      </c>
      <c r="HN166" s="19">
        <v>162</v>
      </c>
      <c r="HO166" s="19">
        <v>161</v>
      </c>
      <c r="HP166" s="19">
        <v>160</v>
      </c>
      <c r="HQ166" s="19">
        <v>159</v>
      </c>
      <c r="HR166" s="19">
        <v>158</v>
      </c>
      <c r="HS166" s="19">
        <v>157</v>
      </c>
      <c r="HT166" s="19">
        <v>156</v>
      </c>
      <c r="HU166" s="19">
        <v>155</v>
      </c>
      <c r="HV166" s="19">
        <v>154</v>
      </c>
      <c r="HW166" s="19">
        <v>153</v>
      </c>
      <c r="HX166" s="19">
        <v>152</v>
      </c>
      <c r="HY166" s="19">
        <v>151</v>
      </c>
      <c r="HZ166" s="19">
        <v>150</v>
      </c>
      <c r="IA166" s="19">
        <v>149</v>
      </c>
      <c r="IB166" s="19">
        <v>148</v>
      </c>
    </row>
    <row r="167">
      <c r="A167" s="2" t="s">
        <v>1184</v>
      </c>
      <c r="B167" s="2" t="s">
        <v>736</v>
      </c>
      <c r="C167" s="2" t="s">
        <v>280</v>
      </c>
      <c r="D167" s="2" t="s">
        <v>1185</v>
      </c>
      <c r="E167" s="2" t="s">
        <v>738</v>
      </c>
      <c r="F167" s="2" t="s">
        <v>1186</v>
      </c>
      <c r="G167" s="2" t="s">
        <v>1186</v>
      </c>
      <c r="H167" s="2" t="s">
        <v>1186</v>
      </c>
      <c r="I167" s="2" t="s">
        <v>1187</v>
      </c>
      <c r="J167" s="2" t="s">
        <v>741</v>
      </c>
      <c r="K167" s="2" t="s">
        <v>1188</v>
      </c>
      <c r="L167" s="3">
        <v>54.4</v>
      </c>
      <c r="M167" s="3">
        <v>57.12</v>
      </c>
      <c r="N167" s="3">
        <v>114.74</v>
      </c>
      <c r="O167" s="2" t="s">
        <v>230</v>
      </c>
      <c r="P167" s="2" t="s">
        <v>231</v>
      </c>
      <c r="Q167" s="2" t="s">
        <v>232</v>
      </c>
      <c r="R167" s="2" t="s">
        <v>233</v>
      </c>
      <c r="S167" s="2" t="s">
        <v>1189</v>
      </c>
      <c r="T167" s="2" t="s">
        <v>233</v>
      </c>
      <c r="U167" s="2" t="s">
        <v>711</v>
      </c>
      <c r="V167" s="2" t="s">
        <v>744</v>
      </c>
      <c r="W167" s="2" t="s">
        <v>620</v>
      </c>
      <c r="X167" s="2" t="s">
        <v>1190</v>
      </c>
      <c r="Y167" s="2" t="s">
        <v>1191</v>
      </c>
      <c r="Z167" s="4">
        <v>32</v>
      </c>
      <c r="AA167" s="4">
        <f>=ROUNDDOWN(10.6666666666667,0)</f>
      </c>
      <c r="AB167" s="5">
        <v>3</v>
      </c>
      <c r="AC167" s="2" t="s">
        <v>1043</v>
      </c>
      <c r="AD167" s="4">
        <v>70</v>
      </c>
      <c r="AE167" s="4">
        <v>70</v>
      </c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233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/>
      <c r="BD167" s="8"/>
      <c r="BE167" s="4"/>
      <c r="BF167" s="8"/>
      <c r="BG167" s="7"/>
      <c r="BH167" s="7"/>
      <c r="BI167" s="7"/>
      <c r="BJ167" s="4">
        <v>10</v>
      </c>
      <c r="BK167" s="8">
        <v>688.89</v>
      </c>
      <c r="BL167" s="2" t="s">
        <v>1192</v>
      </c>
      <c r="BM167" s="7"/>
      <c r="BN167" s="7"/>
      <c r="BO167" s="4"/>
      <c r="BP167" s="8"/>
      <c r="BQ167" s="4"/>
      <c r="BR167" s="8"/>
      <c r="BS167" s="7"/>
      <c r="BT167" s="7"/>
      <c r="BU167" s="2" t="s">
        <v>1193</v>
      </c>
      <c r="BV167" s="2" t="s">
        <v>233</v>
      </c>
      <c r="BW167" s="2" t="s">
        <v>233</v>
      </c>
      <c r="BX167" s="2" t="s">
        <v>241</v>
      </c>
      <c r="BY167" s="2" t="s">
        <v>242</v>
      </c>
      <c r="BZ167" s="2" t="s">
        <v>230</v>
      </c>
      <c r="CA167" s="2" t="s">
        <v>1194</v>
      </c>
      <c r="CB167" s="2" t="s">
        <v>1195</v>
      </c>
      <c r="CC167" s="2" t="s">
        <v>245</v>
      </c>
      <c r="CD167" s="2" t="s">
        <v>233</v>
      </c>
      <c r="CE167" s="4"/>
      <c r="CF167" s="4">
        <v>32</v>
      </c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>
        <v>70</v>
      </c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>
        <v>37</v>
      </c>
      <c r="GD167" s="4">
        <v>32</v>
      </c>
      <c r="GE167" s="4">
        <v>29</v>
      </c>
      <c r="GF167" s="4">
        <v>26</v>
      </c>
      <c r="GG167" s="4">
        <v>22</v>
      </c>
      <c r="GH167" s="4">
        <v>19</v>
      </c>
      <c r="GI167" s="4">
        <v>15</v>
      </c>
      <c r="GJ167" s="4">
        <v>12</v>
      </c>
      <c r="GK167" s="4">
        <v>9</v>
      </c>
      <c r="GL167" s="4">
        <v>6</v>
      </c>
      <c r="GM167" s="4">
        <v>3</v>
      </c>
      <c r="GN167" s="4"/>
      <c r="GO167" s="4"/>
      <c r="GP167" s="4"/>
      <c r="GQ167" s="4">
        <v>70</v>
      </c>
      <c r="GR167" s="4">
        <v>64</v>
      </c>
      <c r="GS167" s="4">
        <v>61</v>
      </c>
      <c r="GT167" s="4">
        <v>58</v>
      </c>
      <c r="GU167" s="4">
        <v>55</v>
      </c>
      <c r="GV167" s="4">
        <v>52</v>
      </c>
      <c r="GW167" s="4">
        <v>49</v>
      </c>
      <c r="GX167" s="4">
        <v>46</v>
      </c>
      <c r="GY167" s="4">
        <v>43</v>
      </c>
      <c r="GZ167" s="4">
        <v>40</v>
      </c>
      <c r="HA167" s="4">
        <v>37</v>
      </c>
      <c r="HB167" s="4">
        <v>34</v>
      </c>
      <c r="HC167" s="19">
        <v>9.3</v>
      </c>
      <c r="HD167" s="19">
        <v>10.7</v>
      </c>
      <c r="HE167" s="19">
        <v>7.3</v>
      </c>
      <c r="HF167" s="19">
        <v>6.5</v>
      </c>
      <c r="HG167" s="19">
        <v>7.3</v>
      </c>
      <c r="HH167" s="19">
        <v>6.3</v>
      </c>
      <c r="HI167" s="19">
        <v>5</v>
      </c>
      <c r="HJ167" s="19">
        <v>4</v>
      </c>
      <c r="HK167" s="19">
        <v>3</v>
      </c>
      <c r="HL167" s="19">
        <v>3</v>
      </c>
      <c r="HM167" s="19">
        <v>1.5</v>
      </c>
      <c r="HN167" s="20">
        <v>0</v>
      </c>
      <c r="HO167" s="20">
        <v>0</v>
      </c>
      <c r="HP167" s="20">
        <v>0</v>
      </c>
      <c r="HQ167" s="19">
        <v>17.5</v>
      </c>
      <c r="HR167" s="19">
        <v>21.3</v>
      </c>
      <c r="HS167" s="19">
        <v>20.3</v>
      </c>
      <c r="HT167" s="19">
        <v>19.3</v>
      </c>
      <c r="HU167" s="19">
        <v>18.3</v>
      </c>
      <c r="HV167" s="19">
        <v>17.3</v>
      </c>
      <c r="HW167" s="19">
        <v>16.3</v>
      </c>
      <c r="HX167" s="19">
        <v>15.3</v>
      </c>
      <c r="HY167" s="19">
        <v>14.3</v>
      </c>
      <c r="HZ167" s="19">
        <v>13.3</v>
      </c>
      <c r="IA167" s="19">
        <v>12.3</v>
      </c>
      <c r="IB167" s="19">
        <v>11.3</v>
      </c>
    </row>
    <row r="168">
      <c r="A168" s="2" t="s">
        <v>1196</v>
      </c>
      <c r="B168" s="2" t="s">
        <v>736</v>
      </c>
      <c r="C168" s="2" t="s">
        <v>280</v>
      </c>
      <c r="D168" s="2" t="s">
        <v>1197</v>
      </c>
      <c r="E168" s="2" t="s">
        <v>1198</v>
      </c>
      <c r="F168" s="2" t="s">
        <v>1199</v>
      </c>
      <c r="G168" s="2" t="s">
        <v>1199</v>
      </c>
      <c r="H168" s="2" t="s">
        <v>1199</v>
      </c>
      <c r="I168" s="2" t="s">
        <v>1200</v>
      </c>
      <c r="J168" s="2" t="s">
        <v>741</v>
      </c>
      <c r="K168" s="2" t="s">
        <v>1121</v>
      </c>
      <c r="L168" s="3">
        <v>41.69</v>
      </c>
      <c r="M168" s="3">
        <v>43.77</v>
      </c>
      <c r="N168" s="3">
        <v>89.24</v>
      </c>
      <c r="O168" s="2" t="s">
        <v>230</v>
      </c>
      <c r="P168" s="2" t="s">
        <v>231</v>
      </c>
      <c r="Q168" s="2" t="s">
        <v>232</v>
      </c>
      <c r="R168" s="2" t="s">
        <v>233</v>
      </c>
      <c r="S168" s="2" t="s">
        <v>233</v>
      </c>
      <c r="T168" s="2" t="s">
        <v>233</v>
      </c>
      <c r="U168" s="2" t="s">
        <v>781</v>
      </c>
      <c r="V168" s="2" t="s">
        <v>1201</v>
      </c>
      <c r="W168" s="2" t="s">
        <v>712</v>
      </c>
      <c r="X168" s="2" t="s">
        <v>233</v>
      </c>
      <c r="Y168" s="2" t="s">
        <v>1202</v>
      </c>
      <c r="Z168" s="4">
        <v>49</v>
      </c>
      <c r="AA168" s="4">
        <f>=ROUNDDOWN(8.30508474576271,0)</f>
      </c>
      <c r="AB168" s="5">
        <v>5.9</v>
      </c>
      <c r="AC168" s="2" t="s">
        <v>1203</v>
      </c>
      <c r="AD168" s="4">
        <v>150</v>
      </c>
      <c r="AE168" s="4">
        <v>150</v>
      </c>
      <c r="AF168" s="6">
        <v>63</v>
      </c>
      <c r="AG168" s="6"/>
      <c r="AH168" s="7">
        <v>1</v>
      </c>
      <c r="AI168" s="4"/>
      <c r="AJ168" s="4">
        <f>=ROUNDDOWN({0},0)</f>
      </c>
      <c r="AK168" s="5"/>
      <c r="AL168" s="2" t="s">
        <v>233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/>
      <c r="BD168" s="8"/>
      <c r="BE168" s="4"/>
      <c r="BF168" s="8"/>
      <c r="BG168" s="7"/>
      <c r="BH168" s="7"/>
      <c r="BI168" s="7"/>
      <c r="BJ168" s="4">
        <v>38</v>
      </c>
      <c r="BK168" s="8">
        <v>1850.41</v>
      </c>
      <c r="BL168" s="2" t="s">
        <v>1204</v>
      </c>
      <c r="BM168" s="7"/>
      <c r="BN168" s="7"/>
      <c r="BO168" s="4"/>
      <c r="BP168" s="8"/>
      <c r="BQ168" s="4"/>
      <c r="BR168" s="8"/>
      <c r="BS168" s="7"/>
      <c r="BT168" s="7"/>
      <c r="BU168" s="2" t="s">
        <v>1205</v>
      </c>
      <c r="BV168" s="2" t="s">
        <v>233</v>
      </c>
      <c r="BW168" s="2" t="s">
        <v>233</v>
      </c>
      <c r="BX168" s="2" t="s">
        <v>241</v>
      </c>
      <c r="BY168" s="2" t="s">
        <v>242</v>
      </c>
      <c r="BZ168" s="2" t="s">
        <v>230</v>
      </c>
      <c r="CA168" s="2" t="s">
        <v>1206</v>
      </c>
      <c r="CB168" s="2" t="s">
        <v>1207</v>
      </c>
      <c r="CC168" s="2" t="s">
        <v>245</v>
      </c>
      <c r="CD168" s="2" t="s">
        <v>233</v>
      </c>
      <c r="CE168" s="4"/>
      <c r="CF168" s="4">
        <v>49</v>
      </c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>
        <v>150</v>
      </c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>
        <v>54</v>
      </c>
      <c r="GD168" s="4">
        <v>42</v>
      </c>
      <c r="GE168" s="4">
        <v>36</v>
      </c>
      <c r="GF168" s="4">
        <v>29</v>
      </c>
      <c r="GG168" s="4">
        <v>21</v>
      </c>
      <c r="GH168" s="4">
        <v>14</v>
      </c>
      <c r="GI168" s="4">
        <v>7</v>
      </c>
      <c r="GJ168" s="4">
        <v>1</v>
      </c>
      <c r="GK168" s="4"/>
      <c r="GL168" s="4"/>
      <c r="GM168" s="4"/>
      <c r="GN168" s="4"/>
      <c r="GO168" s="4"/>
      <c r="GP168" s="4"/>
      <c r="GQ168" s="4">
        <v>150</v>
      </c>
      <c r="GR168" s="4">
        <v>130</v>
      </c>
      <c r="GS168" s="4">
        <v>124</v>
      </c>
      <c r="GT168" s="4">
        <v>117</v>
      </c>
      <c r="GU168" s="4">
        <v>111</v>
      </c>
      <c r="GV168" s="4">
        <v>105</v>
      </c>
      <c r="GW168" s="4">
        <v>99</v>
      </c>
      <c r="GX168" s="4">
        <v>93</v>
      </c>
      <c r="GY168" s="4">
        <v>87</v>
      </c>
      <c r="GZ168" s="4">
        <v>81</v>
      </c>
      <c r="HA168" s="4">
        <v>75</v>
      </c>
      <c r="HB168" s="4">
        <v>69</v>
      </c>
      <c r="HC168" s="19">
        <v>6.8</v>
      </c>
      <c r="HD168" s="19">
        <v>6</v>
      </c>
      <c r="HE168" s="19">
        <v>5.1</v>
      </c>
      <c r="HF168" s="19">
        <v>4.1</v>
      </c>
      <c r="HG168" s="19">
        <v>3.5</v>
      </c>
      <c r="HH168" s="19">
        <v>2.8</v>
      </c>
      <c r="HI168" s="19">
        <v>1.8</v>
      </c>
      <c r="HJ168" s="19">
        <v>0.3</v>
      </c>
      <c r="HK168" s="20">
        <v>0</v>
      </c>
      <c r="HL168" s="20">
        <v>0</v>
      </c>
      <c r="HM168" s="20">
        <v>0</v>
      </c>
      <c r="HN168" s="20">
        <v>0</v>
      </c>
      <c r="HO168" s="20">
        <v>0</v>
      </c>
      <c r="HP168" s="20">
        <v>0</v>
      </c>
      <c r="HQ168" s="19">
        <v>15</v>
      </c>
      <c r="HR168" s="19">
        <v>21.7</v>
      </c>
      <c r="HS168" s="19">
        <v>20.7</v>
      </c>
      <c r="HT168" s="19">
        <v>19.5</v>
      </c>
      <c r="HU168" s="19">
        <v>18.5</v>
      </c>
      <c r="HV168" s="19">
        <v>17.5</v>
      </c>
      <c r="HW168" s="19">
        <v>16.5</v>
      </c>
      <c r="HX168" s="19">
        <v>15.5</v>
      </c>
      <c r="HY168" s="19">
        <v>14.5</v>
      </c>
      <c r="HZ168" s="19">
        <v>13.5</v>
      </c>
      <c r="IA168" s="19">
        <v>12.5</v>
      </c>
      <c r="IB168" s="19">
        <v>11.5</v>
      </c>
    </row>
    <row r="169">
      <c r="A169" s="2" t="s">
        <v>1208</v>
      </c>
      <c r="B169" s="2" t="s">
        <v>872</v>
      </c>
      <c r="C169" s="2" t="s">
        <v>280</v>
      </c>
      <c r="D169" s="2" t="s">
        <v>261</v>
      </c>
      <c r="E169" s="2" t="s">
        <v>603</v>
      </c>
      <c r="F169" s="2" t="s">
        <v>1209</v>
      </c>
      <c r="G169" s="2" t="s">
        <v>1210</v>
      </c>
      <c r="H169" s="2" t="s">
        <v>1211</v>
      </c>
      <c r="I169" s="2" t="s">
        <v>1212</v>
      </c>
      <c r="J169" s="2" t="s">
        <v>285</v>
      </c>
      <c r="K169" s="2" t="s">
        <v>458</v>
      </c>
      <c r="L169" s="3">
        <v>79.9</v>
      </c>
      <c r="M169" s="3">
        <v>83.89</v>
      </c>
      <c r="N169" s="3">
        <v>169.99</v>
      </c>
      <c r="O169" s="2" t="s">
        <v>230</v>
      </c>
      <c r="P169" s="2" t="s">
        <v>231</v>
      </c>
      <c r="Q169" s="2" t="s">
        <v>232</v>
      </c>
      <c r="R169" s="2" t="s">
        <v>233</v>
      </c>
      <c r="S169" s="2" t="s">
        <v>1213</v>
      </c>
      <c r="T169" s="2" t="s">
        <v>233</v>
      </c>
      <c r="U169" s="2" t="s">
        <v>635</v>
      </c>
      <c r="V169" s="2" t="s">
        <v>945</v>
      </c>
      <c r="W169" s="2" t="s">
        <v>288</v>
      </c>
      <c r="X169" s="2" t="s">
        <v>1214</v>
      </c>
      <c r="Y169" s="2" t="s">
        <v>1215</v>
      </c>
      <c r="Z169" s="4">
        <v>283</v>
      </c>
      <c r="AA169" s="4">
        <f>=ROUNDDOWN(56.6,0)</f>
      </c>
      <c r="AB169" s="5">
        <v>5</v>
      </c>
      <c r="AC169" s="2" t="s">
        <v>233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233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/>
      <c r="BD169" s="8"/>
      <c r="BE169" s="4"/>
      <c r="BF169" s="8"/>
      <c r="BG169" s="7"/>
      <c r="BH169" s="7"/>
      <c r="BI169" s="7"/>
      <c r="BJ169" s="4">
        <v>27</v>
      </c>
      <c r="BK169" s="8">
        <v>2253.02</v>
      </c>
      <c r="BL169" s="2" t="s">
        <v>1216</v>
      </c>
      <c r="BM169" s="7"/>
      <c r="BN169" s="7"/>
      <c r="BO169" s="4"/>
      <c r="BP169" s="8"/>
      <c r="BQ169" s="4"/>
      <c r="BR169" s="8"/>
      <c r="BS169" s="7"/>
      <c r="BT169" s="7"/>
      <c r="BU169" s="2" t="s">
        <v>1217</v>
      </c>
      <c r="BV169" s="2" t="s">
        <v>233</v>
      </c>
      <c r="BW169" s="2" t="s">
        <v>233</v>
      </c>
      <c r="BX169" s="2" t="s">
        <v>241</v>
      </c>
      <c r="BY169" s="2" t="s">
        <v>242</v>
      </c>
      <c r="BZ169" s="2" t="s">
        <v>230</v>
      </c>
      <c r="CA169" s="2" t="s">
        <v>1218</v>
      </c>
      <c r="CB169" s="2" t="s">
        <v>1219</v>
      </c>
      <c r="CC169" s="2" t="s">
        <v>245</v>
      </c>
      <c r="CD169" s="2" t="s">
        <v>233</v>
      </c>
      <c r="CE169" s="4">
        <v>254</v>
      </c>
      <c r="CF169" s="4">
        <v>29</v>
      </c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>
        <v>296</v>
      </c>
      <c r="GD169" s="4">
        <v>271</v>
      </c>
      <c r="GE169" s="4">
        <v>264</v>
      </c>
      <c r="GF169" s="4">
        <v>257</v>
      </c>
      <c r="GG169" s="4">
        <v>245</v>
      </c>
      <c r="GH169" s="4">
        <v>238</v>
      </c>
      <c r="GI169" s="4">
        <v>231</v>
      </c>
      <c r="GJ169" s="4">
        <v>226</v>
      </c>
      <c r="GK169" s="4">
        <v>222</v>
      </c>
      <c r="GL169" s="4">
        <v>217</v>
      </c>
      <c r="GM169" s="4">
        <v>212</v>
      </c>
      <c r="GN169" s="4">
        <v>207</v>
      </c>
      <c r="GO169" s="4">
        <v>202</v>
      </c>
      <c r="GP169" s="4">
        <v>197</v>
      </c>
      <c r="GQ169" s="4">
        <v>192</v>
      </c>
      <c r="GR169" s="4">
        <v>187</v>
      </c>
      <c r="GS169" s="4">
        <v>182</v>
      </c>
      <c r="GT169" s="4">
        <v>177</v>
      </c>
      <c r="GU169" s="4">
        <v>172</v>
      </c>
      <c r="GV169" s="4">
        <v>167</v>
      </c>
      <c r="GW169" s="4">
        <v>162</v>
      </c>
      <c r="GX169" s="4">
        <v>157</v>
      </c>
      <c r="GY169" s="4">
        <v>152</v>
      </c>
      <c r="GZ169" s="4">
        <v>147</v>
      </c>
      <c r="HA169" s="4">
        <v>142</v>
      </c>
      <c r="HB169" s="4">
        <v>137</v>
      </c>
      <c r="HC169" s="19">
        <v>22.8</v>
      </c>
      <c r="HD169" s="19">
        <v>33.9</v>
      </c>
      <c r="HE169" s="19">
        <v>33</v>
      </c>
      <c r="HF169" s="19">
        <v>32.1</v>
      </c>
      <c r="HG169" s="19">
        <v>40.8</v>
      </c>
      <c r="HH169" s="19">
        <v>47.6</v>
      </c>
      <c r="HI169" s="19">
        <v>46.2</v>
      </c>
      <c r="HJ169" s="19">
        <v>45.2</v>
      </c>
      <c r="HK169" s="19">
        <v>44.4</v>
      </c>
      <c r="HL169" s="19">
        <v>43.4</v>
      </c>
      <c r="HM169" s="19">
        <v>42.4</v>
      </c>
      <c r="HN169" s="19">
        <v>41.4</v>
      </c>
      <c r="HO169" s="19">
        <v>40.4</v>
      </c>
      <c r="HP169" s="19">
        <v>39.4</v>
      </c>
      <c r="HQ169" s="19">
        <v>38.4</v>
      </c>
      <c r="HR169" s="19">
        <v>37.4</v>
      </c>
      <c r="HS169" s="19">
        <v>36.4</v>
      </c>
      <c r="HT169" s="19">
        <v>35.4</v>
      </c>
      <c r="HU169" s="19">
        <v>34.4</v>
      </c>
      <c r="HV169" s="19">
        <v>33.4</v>
      </c>
      <c r="HW169" s="19">
        <v>32.4</v>
      </c>
      <c r="HX169" s="19">
        <v>31.4</v>
      </c>
      <c r="HY169" s="19">
        <v>30.4</v>
      </c>
      <c r="HZ169" s="19">
        <v>29.4</v>
      </c>
      <c r="IA169" s="19">
        <v>28.4</v>
      </c>
      <c r="IB169" s="19">
        <v>27.4</v>
      </c>
    </row>
    <row r="170">
      <c r="A170" s="2" t="s">
        <v>1220</v>
      </c>
      <c r="B170" s="2" t="s">
        <v>938</v>
      </c>
      <c r="C170" s="2" t="s">
        <v>280</v>
      </c>
      <c r="D170" s="2" t="s">
        <v>972</v>
      </c>
      <c r="E170" s="2" t="s">
        <v>1221</v>
      </c>
      <c r="F170" s="2" t="s">
        <v>1222</v>
      </c>
      <c r="G170" s="2" t="s">
        <v>1223</v>
      </c>
      <c r="H170" s="2" t="s">
        <v>1224</v>
      </c>
      <c r="I170" s="2" t="s">
        <v>1225</v>
      </c>
      <c r="J170" s="2" t="s">
        <v>1004</v>
      </c>
      <c r="K170" s="2" t="s">
        <v>300</v>
      </c>
      <c r="L170" s="3">
        <v>19.35</v>
      </c>
      <c r="M170" s="3">
        <v>20.32</v>
      </c>
      <c r="N170" s="3">
        <v>42.99</v>
      </c>
      <c r="O170" s="2" t="s">
        <v>230</v>
      </c>
      <c r="P170" s="2" t="s">
        <v>231</v>
      </c>
      <c r="Q170" s="2" t="s">
        <v>232</v>
      </c>
      <c r="R170" s="2" t="s">
        <v>233</v>
      </c>
      <c r="S170" s="2" t="s">
        <v>1226</v>
      </c>
      <c r="T170" s="2" t="s">
        <v>233</v>
      </c>
      <c r="U170" s="2" t="s">
        <v>329</v>
      </c>
      <c r="V170" s="2" t="s">
        <v>1227</v>
      </c>
      <c r="W170" s="2" t="s">
        <v>620</v>
      </c>
      <c r="X170" s="2" t="s">
        <v>980</v>
      </c>
      <c r="Y170" s="2" t="s">
        <v>238</v>
      </c>
      <c r="Z170" s="4">
        <v>110</v>
      </c>
      <c r="AA170" s="4">
        <f>=ROUNDDOWN(22,0)</f>
      </c>
      <c r="AB170" s="5">
        <v>5</v>
      </c>
      <c r="AC170" s="2" t="s">
        <v>145</v>
      </c>
      <c r="AD170" s="4">
        <v>40</v>
      </c>
      <c r="AE170" s="4">
        <v>40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233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 t="s">
        <v>233</v>
      </c>
      <c r="BD170" s="8" t="s">
        <v>233</v>
      </c>
      <c r="BE170" s="4" t="s">
        <v>233</v>
      </c>
      <c r="BF170" s="8" t="s">
        <v>233</v>
      </c>
      <c r="BG170" s="7" t="s">
        <v>233</v>
      </c>
      <c r="BH170" s="7" t="s">
        <v>233</v>
      </c>
      <c r="BI170" s="7"/>
      <c r="BJ170" s="4">
        <v>28</v>
      </c>
      <c r="BK170" s="8">
        <v>581.9</v>
      </c>
      <c r="BL170" s="2" t="s">
        <v>1228</v>
      </c>
      <c r="BM170" s="7"/>
      <c r="BN170" s="7"/>
      <c r="BO170" s="4"/>
      <c r="BP170" s="8"/>
      <c r="BQ170" s="4"/>
      <c r="BR170" s="8"/>
      <c r="BS170" s="7"/>
      <c r="BT170" s="7"/>
      <c r="BU170" s="2" t="s">
        <v>1229</v>
      </c>
      <c r="BV170" s="2" t="s">
        <v>233</v>
      </c>
      <c r="BW170" s="2" t="s">
        <v>233</v>
      </c>
      <c r="BX170" s="2" t="s">
        <v>241</v>
      </c>
      <c r="BY170" s="2" t="s">
        <v>242</v>
      </c>
      <c r="BZ170" s="2" t="s">
        <v>230</v>
      </c>
      <c r="CA170" s="2" t="s">
        <v>1230</v>
      </c>
      <c r="CB170" s="2" t="s">
        <v>583</v>
      </c>
      <c r="CC170" s="2" t="s">
        <v>245</v>
      </c>
      <c r="CD170" s="2" t="s">
        <v>233</v>
      </c>
      <c r="CE170" s="4">
        <v>110</v>
      </c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>
        <v>40</v>
      </c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>
        <v>116</v>
      </c>
      <c r="GD170" s="4">
        <v>113</v>
      </c>
      <c r="GE170" s="4">
        <v>111</v>
      </c>
      <c r="GF170" s="4">
        <v>150</v>
      </c>
      <c r="GG170" s="4">
        <v>148</v>
      </c>
      <c r="GH170" s="4">
        <v>143</v>
      </c>
      <c r="GI170" s="4">
        <v>137</v>
      </c>
      <c r="GJ170" s="4">
        <v>132</v>
      </c>
      <c r="GK170" s="4">
        <v>127</v>
      </c>
      <c r="GL170" s="4">
        <v>122</v>
      </c>
      <c r="GM170" s="4">
        <v>116</v>
      </c>
      <c r="GN170" s="4">
        <v>111</v>
      </c>
      <c r="GO170" s="4">
        <v>106</v>
      </c>
      <c r="GP170" s="4">
        <v>101</v>
      </c>
      <c r="GQ170" s="4">
        <v>96</v>
      </c>
      <c r="GR170" s="4">
        <v>91</v>
      </c>
      <c r="GS170" s="4">
        <v>86</v>
      </c>
      <c r="GT170" s="4">
        <v>81</v>
      </c>
      <c r="GU170" s="4">
        <v>76</v>
      </c>
      <c r="GV170" s="4">
        <v>71</v>
      </c>
      <c r="GW170" s="4">
        <v>66</v>
      </c>
      <c r="GX170" s="4">
        <v>61</v>
      </c>
      <c r="GY170" s="4">
        <v>56</v>
      </c>
      <c r="GZ170" s="4">
        <v>51</v>
      </c>
      <c r="HA170" s="4">
        <v>45</v>
      </c>
      <c r="HB170" s="4">
        <v>40</v>
      </c>
      <c r="HC170" s="19">
        <v>58</v>
      </c>
      <c r="HD170" s="19">
        <v>56.5</v>
      </c>
      <c r="HE170" s="19">
        <v>27.8</v>
      </c>
      <c r="HF170" s="19">
        <v>37.5</v>
      </c>
      <c r="HG170" s="19">
        <v>29.6</v>
      </c>
      <c r="HH170" s="19">
        <v>28.6</v>
      </c>
      <c r="HI170" s="19">
        <v>27.4</v>
      </c>
      <c r="HJ170" s="19">
        <v>26.4</v>
      </c>
      <c r="HK170" s="19">
        <v>25.4</v>
      </c>
      <c r="HL170" s="19">
        <v>24.4</v>
      </c>
      <c r="HM170" s="19">
        <v>23.2</v>
      </c>
      <c r="HN170" s="19">
        <v>22.2</v>
      </c>
      <c r="HO170" s="19">
        <v>21.2</v>
      </c>
      <c r="HP170" s="19">
        <v>20.2</v>
      </c>
      <c r="HQ170" s="19">
        <v>19.2</v>
      </c>
      <c r="HR170" s="19">
        <v>18.2</v>
      </c>
      <c r="HS170" s="19">
        <v>17.2</v>
      </c>
      <c r="HT170" s="19">
        <v>16.2</v>
      </c>
      <c r="HU170" s="19">
        <v>15.2</v>
      </c>
      <c r="HV170" s="19">
        <v>14.2</v>
      </c>
      <c r="HW170" s="19">
        <v>13.2</v>
      </c>
      <c r="HX170" s="19">
        <v>12.2</v>
      </c>
      <c r="HY170" s="19">
        <v>11.2</v>
      </c>
      <c r="HZ170" s="19">
        <v>10.2</v>
      </c>
      <c r="IA170" s="19">
        <v>9</v>
      </c>
      <c r="IB170" s="19">
        <v>8</v>
      </c>
    </row>
    <row r="171">
      <c r="A171" s="2" t="s">
        <v>1231</v>
      </c>
      <c r="B171" s="2" t="s">
        <v>938</v>
      </c>
      <c r="C171" s="2" t="s">
        <v>280</v>
      </c>
      <c r="D171" s="2" t="s">
        <v>972</v>
      </c>
      <c r="E171" s="2" t="s">
        <v>1221</v>
      </c>
      <c r="F171" s="2" t="s">
        <v>1222</v>
      </c>
      <c r="G171" s="2" t="s">
        <v>1223</v>
      </c>
      <c r="H171" s="2" t="s">
        <v>1224</v>
      </c>
      <c r="I171" s="2" t="s">
        <v>1225</v>
      </c>
      <c r="J171" s="2" t="s">
        <v>1004</v>
      </c>
      <c r="K171" s="2" t="s">
        <v>266</v>
      </c>
      <c r="L171" s="3">
        <v>19.35</v>
      </c>
      <c r="M171" s="3">
        <v>20.32</v>
      </c>
      <c r="N171" s="3">
        <v>42.99</v>
      </c>
      <c r="O171" s="2" t="s">
        <v>230</v>
      </c>
      <c r="P171" s="2" t="s">
        <v>586</v>
      </c>
      <c r="Q171" s="2" t="s">
        <v>232</v>
      </c>
      <c r="R171" s="2" t="s">
        <v>233</v>
      </c>
      <c r="S171" s="2" t="s">
        <v>1232</v>
      </c>
      <c r="T171" s="2" t="s">
        <v>233</v>
      </c>
      <c r="U171" s="2" t="s">
        <v>329</v>
      </c>
      <c r="V171" s="2" t="s">
        <v>361</v>
      </c>
      <c r="W171" s="2" t="s">
        <v>620</v>
      </c>
      <c r="X171" s="2" t="s">
        <v>980</v>
      </c>
      <c r="Y171" s="2" t="s">
        <v>238</v>
      </c>
      <c r="Z171" s="4">
        <v>441</v>
      </c>
      <c r="AA171" s="4">
        <f>=ROUNDDOWN(33.9230769230769,0)</f>
      </c>
      <c r="AB171" s="5">
        <v>13</v>
      </c>
      <c r="AC171" s="2" t="s">
        <v>233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233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 t="s">
        <v>233</v>
      </c>
      <c r="BD171" s="8" t="s">
        <v>233</v>
      </c>
      <c r="BE171" s="4" t="s">
        <v>233</v>
      </c>
      <c r="BF171" s="8" t="s">
        <v>233</v>
      </c>
      <c r="BG171" s="7" t="s">
        <v>233</v>
      </c>
      <c r="BH171" s="7" t="s">
        <v>233</v>
      </c>
      <c r="BI171" s="7"/>
      <c r="BJ171" s="4">
        <v>39</v>
      </c>
      <c r="BK171" s="8">
        <v>822.53</v>
      </c>
      <c r="BL171" s="2" t="s">
        <v>1233</v>
      </c>
      <c r="BM171" s="7"/>
      <c r="BN171" s="7"/>
      <c r="BO171" s="4"/>
      <c r="BP171" s="8"/>
      <c r="BQ171" s="4"/>
      <c r="BR171" s="8"/>
      <c r="BS171" s="7"/>
      <c r="BT171" s="7"/>
      <c r="BU171" s="2" t="s">
        <v>1229</v>
      </c>
      <c r="BV171" s="2" t="s">
        <v>233</v>
      </c>
      <c r="BW171" s="2" t="s">
        <v>233</v>
      </c>
      <c r="BX171" s="2" t="s">
        <v>241</v>
      </c>
      <c r="BY171" s="2" t="s">
        <v>242</v>
      </c>
      <c r="BZ171" s="2" t="s">
        <v>230</v>
      </c>
      <c r="CA171" s="2" t="s">
        <v>1234</v>
      </c>
      <c r="CB171" s="2" t="s">
        <v>1235</v>
      </c>
      <c r="CC171" s="2" t="s">
        <v>245</v>
      </c>
      <c r="CD171" s="2" t="s">
        <v>233</v>
      </c>
      <c r="CE171" s="4">
        <v>441</v>
      </c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>
        <v>449</v>
      </c>
      <c r="GD171" s="4">
        <v>436</v>
      </c>
      <c r="GE171" s="4">
        <v>424</v>
      </c>
      <c r="GF171" s="4">
        <v>408</v>
      </c>
      <c r="GG171" s="4">
        <v>389</v>
      </c>
      <c r="GH171" s="4">
        <v>374</v>
      </c>
      <c r="GI171" s="4">
        <v>356</v>
      </c>
      <c r="GJ171" s="4">
        <v>343</v>
      </c>
      <c r="GK171" s="4">
        <v>329</v>
      </c>
      <c r="GL171" s="4">
        <v>316</v>
      </c>
      <c r="GM171" s="4">
        <v>302</v>
      </c>
      <c r="GN171" s="4">
        <v>289</v>
      </c>
      <c r="GO171" s="4">
        <v>276</v>
      </c>
      <c r="GP171" s="4">
        <v>263</v>
      </c>
      <c r="GQ171" s="4">
        <v>250</v>
      </c>
      <c r="GR171" s="4">
        <v>237</v>
      </c>
      <c r="GS171" s="4">
        <v>224</v>
      </c>
      <c r="GT171" s="4">
        <v>210</v>
      </c>
      <c r="GU171" s="4">
        <v>197</v>
      </c>
      <c r="GV171" s="4">
        <v>184</v>
      </c>
      <c r="GW171" s="4">
        <v>171</v>
      </c>
      <c r="GX171" s="4">
        <v>158</v>
      </c>
      <c r="GY171" s="4">
        <v>145</v>
      </c>
      <c r="GZ171" s="4">
        <v>132</v>
      </c>
      <c r="HA171" s="4">
        <v>118</v>
      </c>
      <c r="HB171" s="4">
        <v>225</v>
      </c>
      <c r="HC171" s="19">
        <v>29.9</v>
      </c>
      <c r="HD171" s="19">
        <v>27.3</v>
      </c>
      <c r="HE171" s="19">
        <v>24.9</v>
      </c>
      <c r="HF171" s="19">
        <v>25.5</v>
      </c>
      <c r="HG171" s="19">
        <v>25.9</v>
      </c>
      <c r="HH171" s="19">
        <v>26.7</v>
      </c>
      <c r="HI171" s="19">
        <v>25.4</v>
      </c>
      <c r="HJ171" s="19">
        <v>24.5</v>
      </c>
      <c r="HK171" s="19">
        <v>25.3</v>
      </c>
      <c r="HL171" s="19">
        <v>24.3</v>
      </c>
      <c r="HM171" s="19">
        <v>23.2</v>
      </c>
      <c r="HN171" s="19">
        <v>22.2</v>
      </c>
      <c r="HO171" s="19">
        <v>21.2</v>
      </c>
      <c r="HP171" s="19">
        <v>20.2</v>
      </c>
      <c r="HQ171" s="19">
        <v>19.2</v>
      </c>
      <c r="HR171" s="19">
        <v>18.2</v>
      </c>
      <c r="HS171" s="19">
        <v>17.2</v>
      </c>
      <c r="HT171" s="19">
        <v>16.2</v>
      </c>
      <c r="HU171" s="19">
        <v>15.2</v>
      </c>
      <c r="HV171" s="19">
        <v>14.2</v>
      </c>
      <c r="HW171" s="19">
        <v>13.2</v>
      </c>
      <c r="HX171" s="19">
        <v>12.2</v>
      </c>
      <c r="HY171" s="19">
        <v>11.2</v>
      </c>
      <c r="HZ171" s="19">
        <v>10.2</v>
      </c>
      <c r="IA171" s="19">
        <v>9.1</v>
      </c>
      <c r="IB171" s="19">
        <v>17.3</v>
      </c>
    </row>
    <row r="172">
      <c r="A172" s="2" t="s">
        <v>1236</v>
      </c>
      <c r="B172" s="2" t="s">
        <v>847</v>
      </c>
      <c r="C172" s="2" t="s">
        <v>848</v>
      </c>
      <c r="D172" s="2" t="s">
        <v>849</v>
      </c>
      <c r="E172" s="2" t="s">
        <v>850</v>
      </c>
      <c r="F172" s="2" t="s">
        <v>1237</v>
      </c>
      <c r="G172" s="2" t="s">
        <v>1237</v>
      </c>
      <c r="H172" s="2" t="s">
        <v>1237</v>
      </c>
      <c r="I172" s="2" t="s">
        <v>1238</v>
      </c>
      <c r="J172" s="2" t="s">
        <v>1239</v>
      </c>
      <c r="K172" s="2" t="s">
        <v>1240</v>
      </c>
      <c r="L172" s="3">
        <v>12.05</v>
      </c>
      <c r="M172" s="3">
        <v>12.65</v>
      </c>
      <c r="N172" s="3">
        <v>21.99</v>
      </c>
      <c r="O172" s="2" t="s">
        <v>230</v>
      </c>
      <c r="P172" s="2" t="s">
        <v>231</v>
      </c>
      <c r="Q172" s="2" t="s">
        <v>232</v>
      </c>
      <c r="R172" s="2" t="s">
        <v>233</v>
      </c>
      <c r="S172" s="2" t="s">
        <v>233</v>
      </c>
      <c r="T172" s="2" t="s">
        <v>233</v>
      </c>
      <c r="U172" s="2" t="s">
        <v>233</v>
      </c>
      <c r="V172" s="2" t="s">
        <v>609</v>
      </c>
      <c r="W172" s="2" t="s">
        <v>233</v>
      </c>
      <c r="X172" s="2" t="s">
        <v>233</v>
      </c>
      <c r="Y172" s="2" t="s">
        <v>1241</v>
      </c>
      <c r="Z172" s="4">
        <v>409</v>
      </c>
      <c r="AA172" s="4">
        <f>=ROUNDDOWN(34.0833333333333,0)</f>
      </c>
      <c r="AB172" s="5">
        <v>12</v>
      </c>
      <c r="AC172" s="2" t="s">
        <v>233</v>
      </c>
      <c r="AD172" s="4"/>
      <c r="AE172" s="4"/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233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233</v>
      </c>
      <c r="AW172" s="8" t="s">
        <v>233</v>
      </c>
      <c r="AX172" s="4" t="s">
        <v>233</v>
      </c>
      <c r="AY172" s="8" t="s">
        <v>233</v>
      </c>
      <c r="AZ172" s="7" t="s">
        <v>233</v>
      </c>
      <c r="BA172" s="7" t="s">
        <v>233</v>
      </c>
      <c r="BB172" s="7"/>
      <c r="BC172" s="4" t="s">
        <v>233</v>
      </c>
      <c r="BD172" s="8" t="s">
        <v>233</v>
      </c>
      <c r="BE172" s="4" t="s">
        <v>233</v>
      </c>
      <c r="BF172" s="8" t="s">
        <v>233</v>
      </c>
      <c r="BG172" s="7" t="s">
        <v>233</v>
      </c>
      <c r="BH172" s="7" t="s">
        <v>233</v>
      </c>
      <c r="BI172" s="7"/>
      <c r="BJ172" s="4">
        <v>60</v>
      </c>
      <c r="BK172" s="8">
        <v>715.8</v>
      </c>
      <c r="BL172" s="2" t="s">
        <v>351</v>
      </c>
      <c r="BM172" s="7"/>
      <c r="BN172" s="7"/>
      <c r="BO172" s="4"/>
      <c r="BP172" s="8"/>
      <c r="BQ172" s="4"/>
      <c r="BR172" s="8"/>
      <c r="BS172" s="7"/>
      <c r="BT172" s="7"/>
      <c r="BU172" s="2" t="s">
        <v>1242</v>
      </c>
      <c r="BV172" s="2" t="s">
        <v>233</v>
      </c>
      <c r="BW172" s="2" t="s">
        <v>233</v>
      </c>
      <c r="BX172" s="2" t="s">
        <v>241</v>
      </c>
      <c r="BY172" s="2" t="s">
        <v>242</v>
      </c>
      <c r="BZ172" s="2" t="s">
        <v>230</v>
      </c>
      <c r="CA172" s="2" t="s">
        <v>1243</v>
      </c>
      <c r="CB172" s="2" t="s">
        <v>1244</v>
      </c>
      <c r="CC172" s="2" t="s">
        <v>245</v>
      </c>
      <c r="CD172" s="2" t="s">
        <v>233</v>
      </c>
      <c r="CE172" s="4">
        <v>379</v>
      </c>
      <c r="CF172" s="4">
        <v>15</v>
      </c>
      <c r="CG172" s="4"/>
      <c r="CH172" s="4">
        <v>15</v>
      </c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>
        <v>409</v>
      </c>
      <c r="GD172" s="4">
        <v>409</v>
      </c>
      <c r="GE172" s="4">
        <v>409</v>
      </c>
      <c r="GF172" s="4">
        <v>409</v>
      </c>
      <c r="GG172" s="4">
        <v>409</v>
      </c>
      <c r="GH172" s="4">
        <v>403</v>
      </c>
      <c r="GI172" s="4">
        <v>389</v>
      </c>
      <c r="GJ172" s="4">
        <v>375</v>
      </c>
      <c r="GK172" s="4">
        <v>362</v>
      </c>
      <c r="GL172" s="4">
        <v>349</v>
      </c>
      <c r="GM172" s="4">
        <v>336</v>
      </c>
      <c r="GN172" s="4">
        <v>323</v>
      </c>
      <c r="GO172" s="4">
        <v>311</v>
      </c>
      <c r="GP172" s="4">
        <v>299</v>
      </c>
      <c r="GQ172" s="4">
        <v>287</v>
      </c>
      <c r="GR172" s="4">
        <v>275</v>
      </c>
      <c r="GS172" s="4">
        <v>263</v>
      </c>
      <c r="GT172" s="4">
        <v>251</v>
      </c>
      <c r="GU172" s="4">
        <v>239</v>
      </c>
      <c r="GV172" s="4">
        <v>227</v>
      </c>
      <c r="GW172" s="4">
        <v>215</v>
      </c>
      <c r="GX172" s="4">
        <v>203</v>
      </c>
      <c r="GY172" s="4">
        <v>191</v>
      </c>
      <c r="GZ172" s="4">
        <v>179</v>
      </c>
      <c r="HA172" s="4">
        <v>166</v>
      </c>
      <c r="HB172" s="4">
        <v>154</v>
      </c>
      <c r="HC172" s="9"/>
      <c r="HD172" s="19">
        <v>204.5</v>
      </c>
      <c r="HE172" s="19">
        <v>81.8</v>
      </c>
      <c r="HF172" s="19">
        <v>51.1</v>
      </c>
      <c r="HG172" s="19">
        <v>34.1</v>
      </c>
      <c r="HH172" s="19">
        <v>28.8</v>
      </c>
      <c r="HI172" s="19">
        <v>29.9</v>
      </c>
      <c r="HJ172" s="19">
        <v>28.8</v>
      </c>
      <c r="HK172" s="19">
        <v>27.8</v>
      </c>
      <c r="HL172" s="19">
        <v>29.1</v>
      </c>
      <c r="HM172" s="19">
        <v>28</v>
      </c>
      <c r="HN172" s="19">
        <v>26.9</v>
      </c>
      <c r="HO172" s="19">
        <v>25.9</v>
      </c>
      <c r="HP172" s="19">
        <v>24.9</v>
      </c>
      <c r="HQ172" s="19">
        <v>23.9</v>
      </c>
      <c r="HR172" s="19">
        <v>22.9</v>
      </c>
      <c r="HS172" s="19">
        <v>21.9</v>
      </c>
      <c r="HT172" s="19">
        <v>20.9</v>
      </c>
      <c r="HU172" s="19">
        <v>19.9</v>
      </c>
      <c r="HV172" s="19">
        <v>18.9</v>
      </c>
      <c r="HW172" s="19">
        <v>17.9</v>
      </c>
      <c r="HX172" s="19">
        <v>16.9</v>
      </c>
      <c r="HY172" s="19">
        <v>15.9</v>
      </c>
      <c r="HZ172" s="19">
        <v>14.9</v>
      </c>
      <c r="IA172" s="19">
        <v>13.8</v>
      </c>
      <c r="IB172" s="19">
        <v>12.8</v>
      </c>
    </row>
    <row r="173">
      <c r="A173" s="2" t="s">
        <v>1245</v>
      </c>
      <c r="B173" s="2" t="s">
        <v>847</v>
      </c>
      <c r="C173" s="2" t="s">
        <v>848</v>
      </c>
      <c r="D173" s="2" t="s">
        <v>849</v>
      </c>
      <c r="E173" s="2" t="s">
        <v>850</v>
      </c>
      <c r="F173" s="2" t="s">
        <v>1237</v>
      </c>
      <c r="G173" s="2" t="s">
        <v>1237</v>
      </c>
      <c r="H173" s="2" t="s">
        <v>1237</v>
      </c>
      <c r="I173" s="2" t="s">
        <v>1238</v>
      </c>
      <c r="J173" s="2" t="s">
        <v>1246</v>
      </c>
      <c r="K173" s="2" t="s">
        <v>1240</v>
      </c>
      <c r="L173" s="3">
        <v>13.69</v>
      </c>
      <c r="M173" s="3">
        <v>14.37</v>
      </c>
      <c r="N173" s="3">
        <v>24.99</v>
      </c>
      <c r="O173" s="2" t="s">
        <v>230</v>
      </c>
      <c r="P173" s="2" t="s">
        <v>231</v>
      </c>
      <c r="Q173" s="2" t="s">
        <v>232</v>
      </c>
      <c r="R173" s="2" t="s">
        <v>233</v>
      </c>
      <c r="S173" s="2" t="s">
        <v>233</v>
      </c>
      <c r="T173" s="2" t="s">
        <v>233</v>
      </c>
      <c r="U173" s="2" t="s">
        <v>233</v>
      </c>
      <c r="V173" s="2" t="s">
        <v>609</v>
      </c>
      <c r="W173" s="2" t="s">
        <v>233</v>
      </c>
      <c r="X173" s="2" t="s">
        <v>233</v>
      </c>
      <c r="Y173" s="2" t="s">
        <v>1247</v>
      </c>
      <c r="Z173" s="4">
        <v>559</v>
      </c>
      <c r="AA173" s="4">
        <f>=ROUNDDOWN(27.0048309178744,0)</f>
      </c>
      <c r="AB173" s="5">
        <v>20.7</v>
      </c>
      <c r="AC173" s="2" t="s">
        <v>233</v>
      </c>
      <c r="AD173" s="4"/>
      <c r="AE173" s="4"/>
      <c r="AF173" s="6">
        <v>64</v>
      </c>
      <c r="AG173" s="6"/>
      <c r="AH173" s="7">
        <v>1</v>
      </c>
      <c r="AI173" s="4"/>
      <c r="AJ173" s="4">
        <f>=ROUNDDOWN({0},0)</f>
      </c>
      <c r="AK173" s="5"/>
      <c r="AL173" s="2" t="s">
        <v>233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233</v>
      </c>
      <c r="AW173" s="8" t="s">
        <v>233</v>
      </c>
      <c r="AX173" s="4" t="s">
        <v>233</v>
      </c>
      <c r="AY173" s="8" t="s">
        <v>233</v>
      </c>
      <c r="AZ173" s="7" t="s">
        <v>233</v>
      </c>
      <c r="BA173" s="7" t="s">
        <v>233</v>
      </c>
      <c r="BB173" s="7"/>
      <c r="BC173" s="4" t="s">
        <v>233</v>
      </c>
      <c r="BD173" s="8" t="s">
        <v>233</v>
      </c>
      <c r="BE173" s="4" t="s">
        <v>233</v>
      </c>
      <c r="BF173" s="8" t="s">
        <v>233</v>
      </c>
      <c r="BG173" s="7" t="s">
        <v>233</v>
      </c>
      <c r="BH173" s="7" t="s">
        <v>233</v>
      </c>
      <c r="BI173" s="7"/>
      <c r="BJ173" s="4">
        <v>141</v>
      </c>
      <c r="BK173" s="8">
        <v>1911.96</v>
      </c>
      <c r="BL173" s="2" t="s">
        <v>861</v>
      </c>
      <c r="BM173" s="7"/>
      <c r="BN173" s="7"/>
      <c r="BO173" s="4"/>
      <c r="BP173" s="8"/>
      <c r="BQ173" s="4"/>
      <c r="BR173" s="8"/>
      <c r="BS173" s="7"/>
      <c r="BT173" s="7"/>
      <c r="BU173" s="2" t="s">
        <v>1242</v>
      </c>
      <c r="BV173" s="2" t="s">
        <v>233</v>
      </c>
      <c r="BW173" s="2" t="s">
        <v>233</v>
      </c>
      <c r="BX173" s="2" t="s">
        <v>241</v>
      </c>
      <c r="BY173" s="2" t="s">
        <v>242</v>
      </c>
      <c r="BZ173" s="2" t="s">
        <v>230</v>
      </c>
      <c r="CA173" s="2" t="s">
        <v>1243</v>
      </c>
      <c r="CB173" s="2" t="s">
        <v>1244</v>
      </c>
      <c r="CC173" s="2" t="s">
        <v>245</v>
      </c>
      <c r="CD173" s="2" t="s">
        <v>233</v>
      </c>
      <c r="CE173" s="4">
        <v>556</v>
      </c>
      <c r="CF173" s="4">
        <v>1</v>
      </c>
      <c r="CG173" s="4"/>
      <c r="CH173" s="4">
        <v>2</v>
      </c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>
        <v>629</v>
      </c>
      <c r="GD173" s="4">
        <v>599</v>
      </c>
      <c r="GE173" s="4">
        <v>599</v>
      </c>
      <c r="GF173" s="4">
        <v>579</v>
      </c>
      <c r="GG173" s="4">
        <v>554</v>
      </c>
      <c r="GH173" s="4">
        <v>529</v>
      </c>
      <c r="GI173" s="4">
        <v>504</v>
      </c>
      <c r="GJ173" s="4">
        <v>479</v>
      </c>
      <c r="GK173" s="4">
        <v>456</v>
      </c>
      <c r="GL173" s="4">
        <v>433</v>
      </c>
      <c r="GM173" s="4">
        <v>410</v>
      </c>
      <c r="GN173" s="4">
        <v>387</v>
      </c>
      <c r="GO173" s="4">
        <v>366</v>
      </c>
      <c r="GP173" s="4">
        <v>345</v>
      </c>
      <c r="GQ173" s="4">
        <v>324</v>
      </c>
      <c r="GR173" s="4">
        <v>303</v>
      </c>
      <c r="GS173" s="4">
        <v>282</v>
      </c>
      <c r="GT173" s="4">
        <v>261</v>
      </c>
      <c r="GU173" s="4">
        <v>240</v>
      </c>
      <c r="GV173" s="4">
        <v>219</v>
      </c>
      <c r="GW173" s="4">
        <v>198</v>
      </c>
      <c r="GX173" s="4">
        <v>177</v>
      </c>
      <c r="GY173" s="4">
        <v>156</v>
      </c>
      <c r="GZ173" s="4">
        <v>135</v>
      </c>
      <c r="HA173" s="4">
        <v>112</v>
      </c>
      <c r="HB173" s="4">
        <v>195</v>
      </c>
      <c r="HC173" s="19">
        <v>33.1</v>
      </c>
      <c r="HD173" s="19">
        <v>33.3</v>
      </c>
      <c r="HE173" s="19">
        <v>25</v>
      </c>
      <c r="HF173" s="19">
        <v>23.2</v>
      </c>
      <c r="HG173" s="19">
        <v>23.1</v>
      </c>
      <c r="HH173" s="19">
        <v>22</v>
      </c>
      <c r="HI173" s="19">
        <v>21</v>
      </c>
      <c r="HJ173" s="19">
        <v>20.8</v>
      </c>
      <c r="HK173" s="19">
        <v>20.7</v>
      </c>
      <c r="HL173" s="19">
        <v>19.7</v>
      </c>
      <c r="HM173" s="19">
        <v>18.6</v>
      </c>
      <c r="HN173" s="19">
        <v>18.4</v>
      </c>
      <c r="HO173" s="19">
        <v>17.4</v>
      </c>
      <c r="HP173" s="19">
        <v>16.4</v>
      </c>
      <c r="HQ173" s="19">
        <v>15.4</v>
      </c>
      <c r="HR173" s="19">
        <v>14.4</v>
      </c>
      <c r="HS173" s="19">
        <v>13.4</v>
      </c>
      <c r="HT173" s="19">
        <v>12.4</v>
      </c>
      <c r="HU173" s="19">
        <v>11.4</v>
      </c>
      <c r="HV173" s="19">
        <v>10.4</v>
      </c>
      <c r="HW173" s="19">
        <v>9</v>
      </c>
      <c r="HX173" s="19">
        <v>8</v>
      </c>
      <c r="HY173" s="19">
        <v>7.1</v>
      </c>
      <c r="HZ173" s="19">
        <v>6.1</v>
      </c>
      <c r="IA173" s="19">
        <v>5.3</v>
      </c>
      <c r="IB173" s="19">
        <v>8.9</v>
      </c>
    </row>
    <row r="174">
      <c r="A174" s="2" t="s">
        <v>1248</v>
      </c>
      <c r="B174" s="2" t="s">
        <v>872</v>
      </c>
      <c r="C174" s="2" t="s">
        <v>260</v>
      </c>
      <c r="D174" s="2" t="s">
        <v>261</v>
      </c>
      <c r="E174" s="2" t="s">
        <v>603</v>
      </c>
      <c r="F174" s="2" t="s">
        <v>1249</v>
      </c>
      <c r="G174" s="2" t="s">
        <v>1249</v>
      </c>
      <c r="H174" s="2" t="s">
        <v>1249</v>
      </c>
      <c r="I174" s="2" t="s">
        <v>1051</v>
      </c>
      <c r="J174" s="2" t="s">
        <v>336</v>
      </c>
      <c r="K174" s="2" t="s">
        <v>955</v>
      </c>
      <c r="L174" s="3">
        <v>172.2</v>
      </c>
      <c r="M174" s="3">
        <v>180.81</v>
      </c>
      <c r="N174" s="3">
        <v>409.99</v>
      </c>
      <c r="O174" s="2" t="s">
        <v>230</v>
      </c>
      <c r="P174" s="2" t="s">
        <v>597</v>
      </c>
      <c r="Q174" s="2" t="s">
        <v>232</v>
      </c>
      <c r="R174" s="2" t="s">
        <v>233</v>
      </c>
      <c r="S174" s="2" t="s">
        <v>1250</v>
      </c>
      <c r="T174" s="2" t="s">
        <v>233</v>
      </c>
      <c r="U174" s="2" t="s">
        <v>723</v>
      </c>
      <c r="V174" s="2" t="s">
        <v>1251</v>
      </c>
      <c r="W174" s="2" t="s">
        <v>916</v>
      </c>
      <c r="X174" s="2" t="s">
        <v>1252</v>
      </c>
      <c r="Y174" s="2" t="s">
        <v>1253</v>
      </c>
      <c r="Z174" s="4">
        <v>311</v>
      </c>
      <c r="AA174" s="4">
        <f>=ROUNDDOWN(62.2,0)</f>
      </c>
      <c r="AB174" s="5">
        <v>5</v>
      </c>
      <c r="AC174" s="2" t="s">
        <v>233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233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/>
      <c r="BD174" s="8"/>
      <c r="BE174" s="4"/>
      <c r="BF174" s="8"/>
      <c r="BG174" s="7"/>
      <c r="BH174" s="7"/>
      <c r="BI174" s="7"/>
      <c r="BJ174" s="4">
        <v>26</v>
      </c>
      <c r="BK174" s="8">
        <v>4681.27</v>
      </c>
      <c r="BL174" s="2" t="s">
        <v>1254</v>
      </c>
      <c r="BM174" s="7"/>
      <c r="BN174" s="7"/>
      <c r="BO174" s="4"/>
      <c r="BP174" s="8"/>
      <c r="BQ174" s="4"/>
      <c r="BR174" s="8"/>
      <c r="BS174" s="7"/>
      <c r="BT174" s="7"/>
      <c r="BU174" s="2" t="s">
        <v>1255</v>
      </c>
      <c r="BV174" s="2" t="s">
        <v>233</v>
      </c>
      <c r="BW174" s="2" t="s">
        <v>233</v>
      </c>
      <c r="BX174" s="2" t="s">
        <v>241</v>
      </c>
      <c r="BY174" s="2" t="s">
        <v>242</v>
      </c>
      <c r="BZ174" s="2" t="s">
        <v>230</v>
      </c>
      <c r="CA174" s="2" t="s">
        <v>1256</v>
      </c>
      <c r="CB174" s="2" t="s">
        <v>501</v>
      </c>
      <c r="CC174" s="2" t="s">
        <v>245</v>
      </c>
      <c r="CD174" s="2" t="s">
        <v>233</v>
      </c>
      <c r="CE174" s="4">
        <v>295</v>
      </c>
      <c r="CF174" s="4"/>
      <c r="CG174" s="4"/>
      <c r="CH174" s="4">
        <v>16</v>
      </c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>
        <v>313</v>
      </c>
      <c r="GD174" s="4">
        <v>305</v>
      </c>
      <c r="GE174" s="4">
        <v>299</v>
      </c>
      <c r="GF174" s="4">
        <v>292</v>
      </c>
      <c r="GG174" s="4">
        <v>282</v>
      </c>
      <c r="GH174" s="4">
        <v>274</v>
      </c>
      <c r="GI174" s="4">
        <v>268</v>
      </c>
      <c r="GJ174" s="4">
        <v>263</v>
      </c>
      <c r="GK174" s="4">
        <v>260</v>
      </c>
      <c r="GL174" s="4">
        <v>254</v>
      </c>
      <c r="GM174" s="4">
        <v>249</v>
      </c>
      <c r="GN174" s="4">
        <v>244</v>
      </c>
      <c r="GO174" s="4">
        <v>239</v>
      </c>
      <c r="GP174" s="4">
        <v>234</v>
      </c>
      <c r="GQ174" s="4">
        <v>229</v>
      </c>
      <c r="GR174" s="4">
        <v>224</v>
      </c>
      <c r="GS174" s="4">
        <v>219</v>
      </c>
      <c r="GT174" s="4">
        <v>213</v>
      </c>
      <c r="GU174" s="4">
        <v>208</v>
      </c>
      <c r="GV174" s="4">
        <v>203</v>
      </c>
      <c r="GW174" s="4">
        <v>198</v>
      </c>
      <c r="GX174" s="4">
        <v>193</v>
      </c>
      <c r="GY174" s="4">
        <v>188</v>
      </c>
      <c r="GZ174" s="4">
        <v>183</v>
      </c>
      <c r="HA174" s="4">
        <v>178</v>
      </c>
      <c r="HB174" s="4">
        <v>173</v>
      </c>
      <c r="HC174" s="19">
        <v>39.1</v>
      </c>
      <c r="HD174" s="19">
        <v>38.1</v>
      </c>
      <c r="HE174" s="19">
        <v>37.4</v>
      </c>
      <c r="HF174" s="19">
        <v>41.7</v>
      </c>
      <c r="HG174" s="19">
        <v>47</v>
      </c>
      <c r="HH174" s="19">
        <v>54.8</v>
      </c>
      <c r="HI174" s="19">
        <v>53.6</v>
      </c>
      <c r="HJ174" s="19">
        <v>52.6</v>
      </c>
      <c r="HK174" s="19">
        <v>52</v>
      </c>
      <c r="HL174" s="19">
        <v>50.8</v>
      </c>
      <c r="HM174" s="19">
        <v>49.8</v>
      </c>
      <c r="HN174" s="19">
        <v>48.8</v>
      </c>
      <c r="HO174" s="19">
        <v>47.8</v>
      </c>
      <c r="HP174" s="19">
        <v>46.8</v>
      </c>
      <c r="HQ174" s="19">
        <v>45.8</v>
      </c>
      <c r="HR174" s="19">
        <v>44.8</v>
      </c>
      <c r="HS174" s="19">
        <v>43.8</v>
      </c>
      <c r="HT174" s="19">
        <v>42.6</v>
      </c>
      <c r="HU174" s="19">
        <v>41.6</v>
      </c>
      <c r="HV174" s="19">
        <v>40.6</v>
      </c>
      <c r="HW174" s="19">
        <v>39.6</v>
      </c>
      <c r="HX174" s="19">
        <v>38.6</v>
      </c>
      <c r="HY174" s="19">
        <v>37.6</v>
      </c>
      <c r="HZ174" s="19">
        <v>36.6</v>
      </c>
      <c r="IA174" s="19">
        <v>35.6</v>
      </c>
      <c r="IB174" s="19">
        <v>34.6</v>
      </c>
    </row>
    <row r="175">
      <c r="A175" s="2" t="s">
        <v>1257</v>
      </c>
      <c r="B175" s="2" t="s">
        <v>923</v>
      </c>
      <c r="C175" s="2" t="s">
        <v>280</v>
      </c>
      <c r="D175" s="2" t="s">
        <v>951</v>
      </c>
      <c r="E175" s="2" t="s">
        <v>952</v>
      </c>
      <c r="F175" s="2" t="s">
        <v>1258</v>
      </c>
      <c r="G175" s="2" t="s">
        <v>1259</v>
      </c>
      <c r="H175" s="2" t="s">
        <v>1260</v>
      </c>
      <c r="I175" s="2" t="s">
        <v>952</v>
      </c>
      <c r="J175" s="2" t="s">
        <v>954</v>
      </c>
      <c r="K175" s="2" t="s">
        <v>229</v>
      </c>
      <c r="L175" s="3">
        <v>17.6</v>
      </c>
      <c r="M175" s="3">
        <v>18.48</v>
      </c>
      <c r="N175" s="3">
        <v>39.99</v>
      </c>
      <c r="O175" s="2" t="s">
        <v>230</v>
      </c>
      <c r="P175" s="2" t="s">
        <v>231</v>
      </c>
      <c r="Q175" s="2" t="s">
        <v>232</v>
      </c>
      <c r="R175" s="2" t="s">
        <v>233</v>
      </c>
      <c r="S175" s="2" t="s">
        <v>1261</v>
      </c>
      <c r="T175" s="2" t="s">
        <v>233</v>
      </c>
      <c r="U175" s="2" t="s">
        <v>233</v>
      </c>
      <c r="V175" s="2" t="s">
        <v>1190</v>
      </c>
      <c r="W175" s="2" t="s">
        <v>1190</v>
      </c>
      <c r="X175" s="2" t="s">
        <v>233</v>
      </c>
      <c r="Y175" s="2" t="s">
        <v>238</v>
      </c>
      <c r="Z175" s="4">
        <v>1</v>
      </c>
      <c r="AA175" s="4">
        <f>=ROUNDDOWN(0.04,0)</f>
      </c>
      <c r="AB175" s="5">
        <v>25</v>
      </c>
      <c r="AC175" s="2" t="s">
        <v>140</v>
      </c>
      <c r="AD175" s="4">
        <v>756</v>
      </c>
      <c r="AE175" s="4">
        <v>1236</v>
      </c>
      <c r="AF175" s="6">
        <v>65</v>
      </c>
      <c r="AG175" s="6"/>
      <c r="AH175" s="7">
        <v>0</v>
      </c>
      <c r="AI175" s="4"/>
      <c r="AJ175" s="4">
        <f>=ROUNDDOWN({0},0)</f>
      </c>
      <c r="AK175" s="5"/>
      <c r="AL175" s="2" t="s">
        <v>233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/>
      <c r="BD175" s="8"/>
      <c r="BE175" s="4"/>
      <c r="BF175" s="8"/>
      <c r="BG175" s="7"/>
      <c r="BH175" s="7"/>
      <c r="BI175" s="7"/>
      <c r="BJ175" s="4">
        <v>3</v>
      </c>
      <c r="BK175" s="8">
        <v>59.13</v>
      </c>
      <c r="BL175" s="2" t="s">
        <v>1262</v>
      </c>
      <c r="BM175" s="7"/>
      <c r="BN175" s="7"/>
      <c r="BO175" s="4"/>
      <c r="BP175" s="8"/>
      <c r="BQ175" s="4"/>
      <c r="BR175" s="8"/>
      <c r="BS175" s="7"/>
      <c r="BT175" s="7"/>
      <c r="BU175" s="2" t="s">
        <v>1263</v>
      </c>
      <c r="BV175" s="2" t="s">
        <v>233</v>
      </c>
      <c r="BW175" s="2" t="s">
        <v>233</v>
      </c>
      <c r="BX175" s="2" t="s">
        <v>241</v>
      </c>
      <c r="BY175" s="2" t="s">
        <v>242</v>
      </c>
      <c r="BZ175" s="2" t="s">
        <v>230</v>
      </c>
      <c r="CA175" s="2" t="s">
        <v>243</v>
      </c>
      <c r="CB175" s="2" t="s">
        <v>568</v>
      </c>
      <c r="CC175" s="2" t="s">
        <v>245</v>
      </c>
      <c r="CD175" s="2" t="s">
        <v>233</v>
      </c>
      <c r="CE175" s="4">
        <v>1</v>
      </c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>
        <v>756</v>
      </c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>
        <v>480</v>
      </c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>
        <v>1</v>
      </c>
      <c r="GD175" s="4"/>
      <c r="GE175" s="4">
        <v>756</v>
      </c>
      <c r="GF175" s="4">
        <v>595</v>
      </c>
      <c r="GG175" s="4">
        <v>538</v>
      </c>
      <c r="GH175" s="4">
        <v>484</v>
      </c>
      <c r="GI175" s="4">
        <v>430</v>
      </c>
      <c r="GJ175" s="4">
        <v>879</v>
      </c>
      <c r="GK175" s="4">
        <v>857</v>
      </c>
      <c r="GL175" s="4">
        <v>830</v>
      </c>
      <c r="GM175" s="4">
        <v>804</v>
      </c>
      <c r="GN175" s="4">
        <v>779</v>
      </c>
      <c r="GO175" s="4">
        <v>754</v>
      </c>
      <c r="GP175" s="4">
        <v>729</v>
      </c>
      <c r="GQ175" s="4">
        <v>704</v>
      </c>
      <c r="GR175" s="4">
        <v>679</v>
      </c>
      <c r="GS175" s="4">
        <v>654</v>
      </c>
      <c r="GT175" s="4">
        <v>627</v>
      </c>
      <c r="GU175" s="4">
        <v>602</v>
      </c>
      <c r="GV175" s="4">
        <v>577</v>
      </c>
      <c r="GW175" s="4">
        <v>552</v>
      </c>
      <c r="GX175" s="4">
        <v>527</v>
      </c>
      <c r="GY175" s="4">
        <v>502</v>
      </c>
      <c r="GZ175" s="4">
        <v>477</v>
      </c>
      <c r="HA175" s="4">
        <v>451</v>
      </c>
      <c r="HB175" s="4">
        <v>426</v>
      </c>
      <c r="HC175" s="20">
        <v>0</v>
      </c>
      <c r="HD175" s="20">
        <v>0</v>
      </c>
      <c r="HE175" s="19">
        <v>9.2</v>
      </c>
      <c r="HF175" s="19">
        <v>12.1</v>
      </c>
      <c r="HG175" s="19">
        <v>13.5</v>
      </c>
      <c r="HH175" s="19">
        <v>14.2</v>
      </c>
      <c r="HI175" s="19">
        <v>16.5</v>
      </c>
      <c r="HJ175" s="19">
        <v>35.2</v>
      </c>
      <c r="HK175" s="19">
        <v>33</v>
      </c>
      <c r="HL175" s="19">
        <v>33.2</v>
      </c>
      <c r="HM175" s="19">
        <v>32.2</v>
      </c>
      <c r="HN175" s="19">
        <v>31.2</v>
      </c>
      <c r="HO175" s="19">
        <v>30.2</v>
      </c>
      <c r="HP175" s="19">
        <v>28</v>
      </c>
      <c r="HQ175" s="19">
        <v>27.1</v>
      </c>
      <c r="HR175" s="19">
        <v>26.1</v>
      </c>
      <c r="HS175" s="19">
        <v>25.2</v>
      </c>
      <c r="HT175" s="19">
        <v>25.1</v>
      </c>
      <c r="HU175" s="19">
        <v>24.1</v>
      </c>
      <c r="HV175" s="19">
        <v>23.1</v>
      </c>
      <c r="HW175" s="19">
        <v>22.1</v>
      </c>
      <c r="HX175" s="19">
        <v>21.1</v>
      </c>
      <c r="HY175" s="19">
        <v>20.1</v>
      </c>
      <c r="HZ175" s="19">
        <v>19.1</v>
      </c>
      <c r="IA175" s="19">
        <v>18</v>
      </c>
      <c r="IB175" s="19">
        <v>17</v>
      </c>
    </row>
    <row r="176">
      <c r="A176" s="2" t="s">
        <v>1264</v>
      </c>
      <c r="B176" s="2" t="s">
        <v>736</v>
      </c>
      <c r="C176" s="2" t="s">
        <v>280</v>
      </c>
      <c r="D176" s="2" t="s">
        <v>1197</v>
      </c>
      <c r="E176" s="2" t="s">
        <v>1198</v>
      </c>
      <c r="F176" s="2" t="s">
        <v>1265</v>
      </c>
      <c r="G176" s="2" t="s">
        <v>1265</v>
      </c>
      <c r="H176" s="2" t="s">
        <v>1265</v>
      </c>
      <c r="I176" s="2" t="s">
        <v>1266</v>
      </c>
      <c r="J176" s="2" t="s">
        <v>741</v>
      </c>
      <c r="K176" s="2" t="s">
        <v>1267</v>
      </c>
      <c r="L176" s="3">
        <v>6.66</v>
      </c>
      <c r="M176" s="3">
        <v>6.99</v>
      </c>
      <c r="N176" s="3">
        <v>19.99</v>
      </c>
      <c r="O176" s="2" t="s">
        <v>230</v>
      </c>
      <c r="P176" s="2" t="s">
        <v>721</v>
      </c>
      <c r="Q176" s="2" t="s">
        <v>232</v>
      </c>
      <c r="R176" s="2" t="s">
        <v>233</v>
      </c>
      <c r="S176" s="2" t="s">
        <v>233</v>
      </c>
      <c r="T176" s="2" t="s">
        <v>233</v>
      </c>
      <c r="U176" s="2" t="s">
        <v>329</v>
      </c>
      <c r="V176" s="2" t="s">
        <v>1268</v>
      </c>
      <c r="W176" s="2" t="s">
        <v>237</v>
      </c>
      <c r="X176" s="2" t="s">
        <v>916</v>
      </c>
      <c r="Y176" s="2" t="s">
        <v>1269</v>
      </c>
      <c r="Z176" s="4"/>
      <c r="AA176" s="4">
        <f>=ROUNDDOWN({0},0)</f>
      </c>
      <c r="AB176" s="5">
        <v>8</v>
      </c>
      <c r="AC176" s="2" t="s">
        <v>746</v>
      </c>
      <c r="AD176" s="4">
        <v>100</v>
      </c>
      <c r="AE176" s="4">
        <v>100</v>
      </c>
      <c r="AF176" s="6">
        <v>63</v>
      </c>
      <c r="AG176" s="6">
        <v>46</v>
      </c>
      <c r="AH176" s="7">
        <v>0.6452</v>
      </c>
      <c r="AI176" s="4"/>
      <c r="AJ176" s="4">
        <f>=ROUNDDOWN({0},0)</f>
      </c>
      <c r="AK176" s="5"/>
      <c r="AL176" s="2" t="s">
        <v>233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 t="s">
        <v>233</v>
      </c>
      <c r="BD176" s="8" t="s">
        <v>233</v>
      </c>
      <c r="BE176" s="4" t="s">
        <v>233</v>
      </c>
      <c r="BF176" s="8" t="s">
        <v>233</v>
      </c>
      <c r="BG176" s="7" t="s">
        <v>233</v>
      </c>
      <c r="BH176" s="7" t="s">
        <v>233</v>
      </c>
      <c r="BI176" s="7"/>
      <c r="BJ176" s="4">
        <v>92</v>
      </c>
      <c r="BK176" s="8">
        <v>821.48</v>
      </c>
      <c r="BL176" s="2" t="s">
        <v>1270</v>
      </c>
      <c r="BM176" s="7"/>
      <c r="BN176" s="7"/>
      <c r="BO176" s="4"/>
      <c r="BP176" s="8"/>
      <c r="BQ176" s="4"/>
      <c r="BR176" s="8"/>
      <c r="BS176" s="7"/>
      <c r="BT176" s="7"/>
      <c r="BU176" s="2" t="s">
        <v>1271</v>
      </c>
      <c r="BV176" s="2" t="s">
        <v>233</v>
      </c>
      <c r="BW176" s="2" t="s">
        <v>233</v>
      </c>
      <c r="BX176" s="2" t="s">
        <v>241</v>
      </c>
      <c r="BY176" s="2" t="s">
        <v>242</v>
      </c>
      <c r="BZ176" s="2" t="s">
        <v>230</v>
      </c>
      <c r="CA176" s="2" t="s">
        <v>1272</v>
      </c>
      <c r="CB176" s="2" t="s">
        <v>1273</v>
      </c>
      <c r="CC176" s="2" t="s">
        <v>245</v>
      </c>
      <c r="CD176" s="2" t="s">
        <v>233</v>
      </c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>
        <v>100</v>
      </c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>
        <v>27</v>
      </c>
      <c r="GD176" s="4">
        <v>23</v>
      </c>
      <c r="GE176" s="4">
        <v>21</v>
      </c>
      <c r="GF176" s="4">
        <v>19</v>
      </c>
      <c r="GG176" s="4">
        <v>16</v>
      </c>
      <c r="GH176" s="4">
        <v>114</v>
      </c>
      <c r="GI176" s="4">
        <v>111</v>
      </c>
      <c r="GJ176" s="4">
        <v>109</v>
      </c>
      <c r="GK176" s="4">
        <v>107</v>
      </c>
      <c r="GL176" s="4">
        <v>99</v>
      </c>
      <c r="GM176" s="4">
        <v>90</v>
      </c>
      <c r="GN176" s="4">
        <v>82</v>
      </c>
      <c r="GO176" s="4">
        <v>74</v>
      </c>
      <c r="GP176" s="4">
        <v>66</v>
      </c>
      <c r="GQ176" s="4">
        <v>58</v>
      </c>
      <c r="GR176" s="4">
        <v>50</v>
      </c>
      <c r="GS176" s="4">
        <v>42</v>
      </c>
      <c r="GT176" s="4">
        <v>34</v>
      </c>
      <c r="GU176" s="4">
        <v>27</v>
      </c>
      <c r="GV176" s="4">
        <v>19</v>
      </c>
      <c r="GW176" s="4">
        <v>11</v>
      </c>
      <c r="GX176" s="4">
        <v>89</v>
      </c>
      <c r="GY176" s="4">
        <v>81</v>
      </c>
      <c r="GZ176" s="4">
        <v>73</v>
      </c>
      <c r="HA176" s="4">
        <v>64</v>
      </c>
      <c r="HB176" s="4">
        <v>56</v>
      </c>
      <c r="HC176" s="19">
        <v>4.5</v>
      </c>
      <c r="HD176" s="19">
        <v>5.8</v>
      </c>
      <c r="HE176" s="19">
        <v>5.3</v>
      </c>
      <c r="HF176" s="19">
        <v>4.8</v>
      </c>
      <c r="HG176" s="19">
        <v>4</v>
      </c>
      <c r="HH176" s="19">
        <v>14.3</v>
      </c>
      <c r="HI176" s="19">
        <v>11.1</v>
      </c>
      <c r="HJ176" s="19">
        <v>7.8</v>
      </c>
      <c r="HK176" s="19">
        <v>6.7</v>
      </c>
      <c r="HL176" s="19">
        <v>6.2</v>
      </c>
      <c r="HM176" s="19">
        <v>5.7</v>
      </c>
      <c r="HN176" s="19">
        <v>5.2</v>
      </c>
      <c r="HO176" s="19">
        <v>4.7</v>
      </c>
      <c r="HP176" s="19">
        <v>4.2</v>
      </c>
      <c r="HQ176" s="19">
        <v>3.7</v>
      </c>
      <c r="HR176" s="19">
        <v>3.2</v>
      </c>
      <c r="HS176" s="19">
        <v>2.7</v>
      </c>
      <c r="HT176" s="19">
        <v>2.2</v>
      </c>
      <c r="HU176" s="19">
        <v>1.7</v>
      </c>
      <c r="HV176" s="19">
        <v>1.2</v>
      </c>
      <c r="HW176" s="19">
        <v>0.7</v>
      </c>
      <c r="HX176" s="19">
        <v>5.5</v>
      </c>
      <c r="HY176" s="19">
        <v>5</v>
      </c>
      <c r="HZ176" s="19">
        <v>4.5</v>
      </c>
      <c r="IA176" s="19">
        <v>4</v>
      </c>
      <c r="IB176" s="19">
        <v>3.5</v>
      </c>
    </row>
    <row r="177">
      <c r="A177" s="2" t="s">
        <v>1274</v>
      </c>
      <c r="B177" s="2" t="s">
        <v>736</v>
      </c>
      <c r="C177" s="2" t="s">
        <v>280</v>
      </c>
      <c r="D177" s="2" t="s">
        <v>1197</v>
      </c>
      <c r="E177" s="2" t="s">
        <v>1198</v>
      </c>
      <c r="F177" s="2" t="s">
        <v>1265</v>
      </c>
      <c r="G177" s="2" t="s">
        <v>1265</v>
      </c>
      <c r="H177" s="2" t="s">
        <v>1265</v>
      </c>
      <c r="I177" s="2" t="s">
        <v>1275</v>
      </c>
      <c r="J177" s="2" t="s">
        <v>741</v>
      </c>
      <c r="K177" s="2" t="s">
        <v>1276</v>
      </c>
      <c r="L177" s="3">
        <v>6.66</v>
      </c>
      <c r="M177" s="3">
        <v>6.99</v>
      </c>
      <c r="N177" s="3">
        <v>19.99</v>
      </c>
      <c r="O177" s="2" t="s">
        <v>230</v>
      </c>
      <c r="P177" s="2" t="s">
        <v>721</v>
      </c>
      <c r="Q177" s="2" t="s">
        <v>232</v>
      </c>
      <c r="R177" s="2" t="s">
        <v>233</v>
      </c>
      <c r="S177" s="2" t="s">
        <v>233</v>
      </c>
      <c r="T177" s="2" t="s">
        <v>233</v>
      </c>
      <c r="U177" s="2" t="s">
        <v>329</v>
      </c>
      <c r="V177" s="2" t="s">
        <v>1268</v>
      </c>
      <c r="W177" s="2" t="s">
        <v>237</v>
      </c>
      <c r="X177" s="2" t="s">
        <v>916</v>
      </c>
      <c r="Y177" s="2" t="s">
        <v>1277</v>
      </c>
      <c r="Z177" s="4">
        <v>310</v>
      </c>
      <c r="AA177" s="4">
        <f>=ROUNDDOWN(62,0)</f>
      </c>
      <c r="AB177" s="5">
        <v>5</v>
      </c>
      <c r="AC177" s="2" t="s">
        <v>233</v>
      </c>
      <c r="AD177" s="4"/>
      <c r="AE177" s="4"/>
      <c r="AF177" s="6">
        <v>63</v>
      </c>
      <c r="AG177" s="6"/>
      <c r="AH177" s="7">
        <v>1</v>
      </c>
      <c r="AI177" s="4"/>
      <c r="AJ177" s="4">
        <f>=ROUNDDOWN({0},0)</f>
      </c>
      <c r="AK177" s="5"/>
      <c r="AL177" s="2" t="s">
        <v>233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 t="s">
        <v>233</v>
      </c>
      <c r="BD177" s="8" t="s">
        <v>233</v>
      </c>
      <c r="BE177" s="4" t="s">
        <v>233</v>
      </c>
      <c r="BF177" s="8" t="s">
        <v>233</v>
      </c>
      <c r="BG177" s="7" t="s">
        <v>233</v>
      </c>
      <c r="BH177" s="7" t="s">
        <v>233</v>
      </c>
      <c r="BI177" s="7"/>
      <c r="BJ177" s="4">
        <v>13</v>
      </c>
      <c r="BK177" s="8">
        <v>108.74</v>
      </c>
      <c r="BL177" s="2" t="s">
        <v>1278</v>
      </c>
      <c r="BM177" s="7"/>
      <c r="BN177" s="7"/>
      <c r="BO177" s="4"/>
      <c r="BP177" s="8"/>
      <c r="BQ177" s="4"/>
      <c r="BR177" s="8"/>
      <c r="BS177" s="7"/>
      <c r="BT177" s="7"/>
      <c r="BU177" s="2" t="s">
        <v>1279</v>
      </c>
      <c r="BV177" s="2" t="s">
        <v>233</v>
      </c>
      <c r="BW177" s="2" t="s">
        <v>233</v>
      </c>
      <c r="BX177" s="2" t="s">
        <v>241</v>
      </c>
      <c r="BY177" s="2" t="s">
        <v>242</v>
      </c>
      <c r="BZ177" s="2" t="s">
        <v>230</v>
      </c>
      <c r="CA177" s="2" t="s">
        <v>1272</v>
      </c>
      <c r="CB177" s="2" t="s">
        <v>600</v>
      </c>
      <c r="CC177" s="2" t="s">
        <v>245</v>
      </c>
      <c r="CD177" s="2" t="s">
        <v>233</v>
      </c>
      <c r="CE177" s="4"/>
      <c r="CF177" s="4">
        <v>310</v>
      </c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>
        <v>312</v>
      </c>
      <c r="GD177" s="4">
        <v>310</v>
      </c>
      <c r="GE177" s="4">
        <v>309</v>
      </c>
      <c r="GF177" s="4">
        <v>308</v>
      </c>
      <c r="GG177" s="4">
        <v>306</v>
      </c>
      <c r="GH177" s="4">
        <v>301</v>
      </c>
      <c r="GI177" s="4">
        <v>296</v>
      </c>
      <c r="GJ177" s="4">
        <v>291</v>
      </c>
      <c r="GK177" s="4">
        <v>286</v>
      </c>
      <c r="GL177" s="4">
        <v>281</v>
      </c>
      <c r="GM177" s="4">
        <v>275</v>
      </c>
      <c r="GN177" s="4">
        <v>270</v>
      </c>
      <c r="GO177" s="4">
        <v>265</v>
      </c>
      <c r="GP177" s="4">
        <v>260</v>
      </c>
      <c r="GQ177" s="4">
        <v>255</v>
      </c>
      <c r="GR177" s="4">
        <v>250</v>
      </c>
      <c r="GS177" s="4">
        <v>245</v>
      </c>
      <c r="GT177" s="4">
        <v>240</v>
      </c>
      <c r="GU177" s="4">
        <v>235</v>
      </c>
      <c r="GV177" s="4">
        <v>230</v>
      </c>
      <c r="GW177" s="4">
        <v>225</v>
      </c>
      <c r="GX177" s="4">
        <v>220</v>
      </c>
      <c r="GY177" s="4">
        <v>215</v>
      </c>
      <c r="GZ177" s="4">
        <v>210</v>
      </c>
      <c r="HA177" s="4">
        <v>204</v>
      </c>
      <c r="HB177" s="4">
        <v>199</v>
      </c>
      <c r="HC177" s="19">
        <v>156</v>
      </c>
      <c r="HD177" s="19">
        <v>155</v>
      </c>
      <c r="HE177" s="19">
        <v>103</v>
      </c>
      <c r="HF177" s="19">
        <v>77</v>
      </c>
      <c r="HG177" s="19">
        <v>61.2</v>
      </c>
      <c r="HH177" s="19">
        <v>60.2</v>
      </c>
      <c r="HI177" s="19">
        <v>59.2</v>
      </c>
      <c r="HJ177" s="19">
        <v>58.2</v>
      </c>
      <c r="HK177" s="19">
        <v>57.2</v>
      </c>
      <c r="HL177" s="19">
        <v>56.2</v>
      </c>
      <c r="HM177" s="19">
        <v>55</v>
      </c>
      <c r="HN177" s="19">
        <v>54</v>
      </c>
      <c r="HO177" s="19">
        <v>53</v>
      </c>
      <c r="HP177" s="19">
        <v>52</v>
      </c>
      <c r="HQ177" s="19">
        <v>51</v>
      </c>
      <c r="HR177" s="19">
        <v>50</v>
      </c>
      <c r="HS177" s="19">
        <v>49</v>
      </c>
      <c r="HT177" s="19">
        <v>48</v>
      </c>
      <c r="HU177" s="19">
        <v>47</v>
      </c>
      <c r="HV177" s="19">
        <v>46</v>
      </c>
      <c r="HW177" s="19">
        <v>45</v>
      </c>
      <c r="HX177" s="19">
        <v>44</v>
      </c>
      <c r="HY177" s="19">
        <v>43</v>
      </c>
      <c r="HZ177" s="19">
        <v>42</v>
      </c>
      <c r="IA177" s="19">
        <v>40.8</v>
      </c>
      <c r="IB177" s="19">
        <v>39.8</v>
      </c>
    </row>
    <row r="178">
      <c r="A178" s="2" t="s">
        <v>1280</v>
      </c>
      <c r="B178" s="2" t="s">
        <v>938</v>
      </c>
      <c r="C178" s="2" t="s">
        <v>280</v>
      </c>
      <c r="D178" s="2" t="s">
        <v>972</v>
      </c>
      <c r="E178" s="2" t="s">
        <v>973</v>
      </c>
      <c r="F178" s="2" t="s">
        <v>1281</v>
      </c>
      <c r="G178" s="2" t="s">
        <v>1282</v>
      </c>
      <c r="H178" s="2" t="s">
        <v>1283</v>
      </c>
      <c r="I178" s="2" t="s">
        <v>1284</v>
      </c>
      <c r="J178" s="2" t="s">
        <v>978</v>
      </c>
      <c r="K178" s="2" t="s">
        <v>955</v>
      </c>
      <c r="L178" s="3">
        <v>15.5</v>
      </c>
      <c r="M178" s="3">
        <v>16.28</v>
      </c>
      <c r="N178" s="3">
        <v>34.99</v>
      </c>
      <c r="O178" s="2" t="s">
        <v>230</v>
      </c>
      <c r="P178" s="2" t="s">
        <v>231</v>
      </c>
      <c r="Q178" s="2" t="s">
        <v>232</v>
      </c>
      <c r="R178" s="2" t="s">
        <v>233</v>
      </c>
      <c r="S178" s="2" t="s">
        <v>1285</v>
      </c>
      <c r="T178" s="2" t="s">
        <v>233</v>
      </c>
      <c r="U178" s="2" t="s">
        <v>329</v>
      </c>
      <c r="V178" s="2" t="s">
        <v>236</v>
      </c>
      <c r="W178" s="2" t="s">
        <v>237</v>
      </c>
      <c r="X178" s="2" t="s">
        <v>980</v>
      </c>
      <c r="Y178" s="2" t="s">
        <v>1286</v>
      </c>
      <c r="Z178" s="4"/>
      <c r="AA178" s="4">
        <f>=ROUNDDOWN({0},0)</f>
      </c>
      <c r="AB178" s="5">
        <v>7</v>
      </c>
      <c r="AC178" s="2" t="s">
        <v>153</v>
      </c>
      <c r="AD178" s="4">
        <v>252</v>
      </c>
      <c r="AE178" s="4">
        <v>252</v>
      </c>
      <c r="AF178" s="6">
        <v>65</v>
      </c>
      <c r="AG178" s="6"/>
      <c r="AH178" s="7">
        <v>0.7097</v>
      </c>
      <c r="AI178" s="4"/>
      <c r="AJ178" s="4">
        <f>=ROUNDDOWN({0},0)</f>
      </c>
      <c r="AK178" s="5"/>
      <c r="AL178" s="2" t="s">
        <v>233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233</v>
      </c>
      <c r="AW178" s="8" t="s">
        <v>233</v>
      </c>
      <c r="AX178" s="4" t="s">
        <v>233</v>
      </c>
      <c r="AY178" s="8" t="s">
        <v>233</v>
      </c>
      <c r="AZ178" s="7" t="s">
        <v>233</v>
      </c>
      <c r="BA178" s="7" t="s">
        <v>233</v>
      </c>
      <c r="BB178" s="7"/>
      <c r="BC178" s="4" t="s">
        <v>233</v>
      </c>
      <c r="BD178" s="8" t="s">
        <v>233</v>
      </c>
      <c r="BE178" s="4" t="s">
        <v>233</v>
      </c>
      <c r="BF178" s="8" t="s">
        <v>233</v>
      </c>
      <c r="BG178" s="7" t="s">
        <v>233</v>
      </c>
      <c r="BH178" s="7" t="s">
        <v>233</v>
      </c>
      <c r="BI178" s="7"/>
      <c r="BJ178" s="4">
        <v>48</v>
      </c>
      <c r="BK178" s="8">
        <v>896.88</v>
      </c>
      <c r="BL178" s="2" t="s">
        <v>1287</v>
      </c>
      <c r="BM178" s="7"/>
      <c r="BN178" s="7"/>
      <c r="BO178" s="4"/>
      <c r="BP178" s="8"/>
      <c r="BQ178" s="4"/>
      <c r="BR178" s="8"/>
      <c r="BS178" s="7"/>
      <c r="BT178" s="7"/>
      <c r="BU178" s="2" t="s">
        <v>1288</v>
      </c>
      <c r="BV178" s="2" t="s">
        <v>233</v>
      </c>
      <c r="BW178" s="2" t="s">
        <v>233</v>
      </c>
      <c r="BX178" s="2" t="s">
        <v>241</v>
      </c>
      <c r="BY178" s="2" t="s">
        <v>242</v>
      </c>
      <c r="BZ178" s="2" t="s">
        <v>230</v>
      </c>
      <c r="CA178" s="2" t="s">
        <v>1289</v>
      </c>
      <c r="CB178" s="2" t="s">
        <v>1290</v>
      </c>
      <c r="CC178" s="2" t="s">
        <v>245</v>
      </c>
      <c r="CD178" s="2" t="s">
        <v>233</v>
      </c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>
        <v>252</v>
      </c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>
        <v>252</v>
      </c>
      <c r="GH178" s="4">
        <v>235</v>
      </c>
      <c r="GI178" s="4">
        <v>224</v>
      </c>
      <c r="GJ178" s="4">
        <v>217</v>
      </c>
      <c r="GK178" s="4">
        <v>209</v>
      </c>
      <c r="GL178" s="4">
        <v>202</v>
      </c>
      <c r="GM178" s="4">
        <v>195</v>
      </c>
      <c r="GN178" s="4">
        <v>188</v>
      </c>
      <c r="GO178" s="4">
        <v>181</v>
      </c>
      <c r="GP178" s="4">
        <v>174</v>
      </c>
      <c r="GQ178" s="4">
        <v>167</v>
      </c>
      <c r="GR178" s="4">
        <v>160</v>
      </c>
      <c r="GS178" s="4">
        <v>153</v>
      </c>
      <c r="GT178" s="4">
        <v>145</v>
      </c>
      <c r="GU178" s="4">
        <v>138</v>
      </c>
      <c r="GV178" s="4">
        <v>131</v>
      </c>
      <c r="GW178" s="4">
        <v>124</v>
      </c>
      <c r="GX178" s="4">
        <v>117</v>
      </c>
      <c r="GY178" s="4">
        <v>110</v>
      </c>
      <c r="GZ178" s="4">
        <v>103</v>
      </c>
      <c r="HA178" s="4">
        <v>96</v>
      </c>
      <c r="HB178" s="4">
        <v>89</v>
      </c>
      <c r="HC178" s="20">
        <v>0</v>
      </c>
      <c r="HD178" s="20">
        <v>0</v>
      </c>
      <c r="HE178" s="20">
        <v>0</v>
      </c>
      <c r="HF178" s="20">
        <v>0</v>
      </c>
      <c r="HG178" s="19">
        <v>22.9</v>
      </c>
      <c r="HH178" s="19">
        <v>29.4</v>
      </c>
      <c r="HI178" s="19">
        <v>32</v>
      </c>
      <c r="HJ178" s="19">
        <v>31</v>
      </c>
      <c r="HK178" s="19">
        <v>29.9</v>
      </c>
      <c r="HL178" s="19">
        <v>28.9</v>
      </c>
      <c r="HM178" s="19">
        <v>27.9</v>
      </c>
      <c r="HN178" s="19">
        <v>26.9</v>
      </c>
      <c r="HO178" s="19">
        <v>25.9</v>
      </c>
      <c r="HP178" s="19">
        <v>24.9</v>
      </c>
      <c r="HQ178" s="19">
        <v>23.9</v>
      </c>
      <c r="HR178" s="19">
        <v>22.9</v>
      </c>
      <c r="HS178" s="19">
        <v>21.9</v>
      </c>
      <c r="HT178" s="19">
        <v>20.7</v>
      </c>
      <c r="HU178" s="19">
        <v>19.7</v>
      </c>
      <c r="HV178" s="19">
        <v>18.7</v>
      </c>
      <c r="HW178" s="19">
        <v>17.7</v>
      </c>
      <c r="HX178" s="19">
        <v>16.7</v>
      </c>
      <c r="HY178" s="19">
        <v>15.7</v>
      </c>
      <c r="HZ178" s="19">
        <v>14.7</v>
      </c>
      <c r="IA178" s="19">
        <v>13.7</v>
      </c>
      <c r="IB178" s="19">
        <v>12.7</v>
      </c>
    </row>
    <row r="179">
      <c r="A179" s="2" t="s">
        <v>1291</v>
      </c>
      <c r="B179" s="2" t="s">
        <v>938</v>
      </c>
      <c r="C179" s="2" t="s">
        <v>280</v>
      </c>
      <c r="D179" s="2" t="s">
        <v>972</v>
      </c>
      <c r="E179" s="2" t="s">
        <v>973</v>
      </c>
      <c r="F179" s="2" t="s">
        <v>1281</v>
      </c>
      <c r="G179" s="2" t="s">
        <v>1282</v>
      </c>
      <c r="H179" s="2" t="s">
        <v>1283</v>
      </c>
      <c r="I179" s="2" t="s">
        <v>1292</v>
      </c>
      <c r="J179" s="2" t="s">
        <v>1004</v>
      </c>
      <c r="K179" s="2" t="s">
        <v>955</v>
      </c>
      <c r="L179" s="3">
        <v>17.5</v>
      </c>
      <c r="M179" s="3">
        <v>18.38</v>
      </c>
      <c r="N179" s="3">
        <v>39.99</v>
      </c>
      <c r="O179" s="2" t="s">
        <v>230</v>
      </c>
      <c r="P179" s="2" t="s">
        <v>231</v>
      </c>
      <c r="Q179" s="2" t="s">
        <v>232</v>
      </c>
      <c r="R179" s="2" t="s">
        <v>233</v>
      </c>
      <c r="S179" s="2" t="s">
        <v>1285</v>
      </c>
      <c r="T179" s="2" t="s">
        <v>233</v>
      </c>
      <c r="U179" s="2" t="s">
        <v>329</v>
      </c>
      <c r="V179" s="2" t="s">
        <v>236</v>
      </c>
      <c r="W179" s="2" t="s">
        <v>237</v>
      </c>
      <c r="X179" s="2" t="s">
        <v>980</v>
      </c>
      <c r="Y179" s="2" t="s">
        <v>1286</v>
      </c>
      <c r="Z179" s="4">
        <v>518</v>
      </c>
      <c r="AA179" s="4">
        <f>=ROUNDDOWN(19.9230769230769,0)</f>
      </c>
      <c r="AB179" s="5">
        <v>26</v>
      </c>
      <c r="AC179" s="2" t="s">
        <v>153</v>
      </c>
      <c r="AD179" s="4">
        <v>260</v>
      </c>
      <c r="AE179" s="4">
        <v>260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233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233</v>
      </c>
      <c r="AW179" s="8" t="s">
        <v>233</v>
      </c>
      <c r="AX179" s="4" t="s">
        <v>233</v>
      </c>
      <c r="AY179" s="8" t="s">
        <v>233</v>
      </c>
      <c r="AZ179" s="7" t="s">
        <v>233</v>
      </c>
      <c r="BA179" s="7" t="s">
        <v>233</v>
      </c>
      <c r="BB179" s="7"/>
      <c r="BC179" s="4" t="s">
        <v>233</v>
      </c>
      <c r="BD179" s="8" t="s">
        <v>233</v>
      </c>
      <c r="BE179" s="4" t="s">
        <v>233</v>
      </c>
      <c r="BF179" s="8" t="s">
        <v>233</v>
      </c>
      <c r="BG179" s="7" t="s">
        <v>233</v>
      </c>
      <c r="BH179" s="7" t="s">
        <v>233</v>
      </c>
      <c r="BI179" s="7"/>
      <c r="BJ179" s="4">
        <v>197</v>
      </c>
      <c r="BK179" s="8">
        <v>3768.5</v>
      </c>
      <c r="BL179" s="2" t="s">
        <v>1293</v>
      </c>
      <c r="BM179" s="7"/>
      <c r="BN179" s="7"/>
      <c r="BO179" s="4"/>
      <c r="BP179" s="8"/>
      <c r="BQ179" s="4"/>
      <c r="BR179" s="8"/>
      <c r="BS179" s="7"/>
      <c r="BT179" s="7"/>
      <c r="BU179" s="2" t="s">
        <v>1294</v>
      </c>
      <c r="BV179" s="2" t="s">
        <v>233</v>
      </c>
      <c r="BW179" s="2" t="s">
        <v>233</v>
      </c>
      <c r="BX179" s="2" t="s">
        <v>241</v>
      </c>
      <c r="BY179" s="2" t="s">
        <v>242</v>
      </c>
      <c r="BZ179" s="2" t="s">
        <v>230</v>
      </c>
      <c r="CA179" s="2" t="s">
        <v>1289</v>
      </c>
      <c r="CB179" s="2" t="s">
        <v>1295</v>
      </c>
      <c r="CC179" s="2" t="s">
        <v>245</v>
      </c>
      <c r="CD179" s="2" t="s">
        <v>233</v>
      </c>
      <c r="CE179" s="4">
        <v>518</v>
      </c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>
        <v>260</v>
      </c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>
        <v>539</v>
      </c>
      <c r="GD179" s="4">
        <v>484</v>
      </c>
      <c r="GE179" s="4">
        <v>447</v>
      </c>
      <c r="GF179" s="4">
        <v>415</v>
      </c>
      <c r="GG179" s="4">
        <v>634</v>
      </c>
      <c r="GH179" s="4">
        <v>604</v>
      </c>
      <c r="GI179" s="4">
        <v>565</v>
      </c>
      <c r="GJ179" s="4">
        <v>542</v>
      </c>
      <c r="GK179" s="4">
        <v>514</v>
      </c>
      <c r="GL179" s="4">
        <v>491</v>
      </c>
      <c r="GM179" s="4">
        <v>468</v>
      </c>
      <c r="GN179" s="4">
        <v>445</v>
      </c>
      <c r="GO179" s="4">
        <v>422</v>
      </c>
      <c r="GP179" s="4">
        <v>399</v>
      </c>
      <c r="GQ179" s="4">
        <v>376</v>
      </c>
      <c r="GR179" s="4">
        <v>353</v>
      </c>
      <c r="GS179" s="4">
        <v>329</v>
      </c>
      <c r="GT179" s="4">
        <v>298</v>
      </c>
      <c r="GU179" s="4">
        <v>272</v>
      </c>
      <c r="GV179" s="4">
        <v>246</v>
      </c>
      <c r="GW179" s="4">
        <v>220</v>
      </c>
      <c r="GX179" s="4">
        <v>194</v>
      </c>
      <c r="GY179" s="4">
        <v>168</v>
      </c>
      <c r="GZ179" s="4">
        <v>142</v>
      </c>
      <c r="HA179" s="4">
        <v>115</v>
      </c>
      <c r="HB179" s="4">
        <v>293</v>
      </c>
      <c r="HC179" s="19">
        <v>13.1</v>
      </c>
      <c r="HD179" s="19">
        <v>13.8</v>
      </c>
      <c r="HE179" s="19">
        <v>12.4</v>
      </c>
      <c r="HF179" s="19">
        <v>12.6</v>
      </c>
      <c r="HG179" s="19">
        <v>21.1</v>
      </c>
      <c r="HH179" s="19">
        <v>21.6</v>
      </c>
      <c r="HI179" s="19">
        <v>23.5</v>
      </c>
      <c r="HJ179" s="19">
        <v>22.6</v>
      </c>
      <c r="HK179" s="19">
        <v>22.3</v>
      </c>
      <c r="HL179" s="19">
        <v>21.3</v>
      </c>
      <c r="HM179" s="19">
        <v>20.3</v>
      </c>
      <c r="HN179" s="19">
        <v>19.3</v>
      </c>
      <c r="HO179" s="19">
        <v>18.3</v>
      </c>
      <c r="HP179" s="19">
        <v>16</v>
      </c>
      <c r="HQ179" s="19">
        <v>14.5</v>
      </c>
      <c r="HR179" s="19">
        <v>13.1</v>
      </c>
      <c r="HS179" s="19">
        <v>12.2</v>
      </c>
      <c r="HT179" s="19">
        <v>11.5</v>
      </c>
      <c r="HU179" s="19">
        <v>10.5</v>
      </c>
      <c r="HV179" s="19">
        <v>9.5</v>
      </c>
      <c r="HW179" s="19">
        <v>8.5</v>
      </c>
      <c r="HX179" s="19">
        <v>7.5</v>
      </c>
      <c r="HY179" s="19">
        <v>6.5</v>
      </c>
      <c r="HZ179" s="19">
        <v>5.5</v>
      </c>
      <c r="IA179" s="19">
        <v>4.4</v>
      </c>
      <c r="IB179" s="19">
        <v>11.3</v>
      </c>
    </row>
    <row r="180">
      <c r="A180" s="2" t="s">
        <v>1296</v>
      </c>
      <c r="B180" s="2" t="s">
        <v>761</v>
      </c>
      <c r="C180" s="2" t="s">
        <v>260</v>
      </c>
      <c r="D180" s="2" t="s">
        <v>1297</v>
      </c>
      <c r="E180" s="2" t="s">
        <v>1298</v>
      </c>
      <c r="F180" s="2" t="s">
        <v>1299</v>
      </c>
      <c r="G180" s="2" t="s">
        <v>1299</v>
      </c>
      <c r="H180" s="2" t="s">
        <v>1299</v>
      </c>
      <c r="I180" s="2" t="s">
        <v>1300</v>
      </c>
      <c r="J180" s="2" t="s">
        <v>741</v>
      </c>
      <c r="K180" s="2" t="s">
        <v>1301</v>
      </c>
      <c r="L180" s="3">
        <v>217.8</v>
      </c>
      <c r="M180" s="3">
        <v>228.69</v>
      </c>
      <c r="N180" s="3">
        <v>459</v>
      </c>
      <c r="O180" s="2" t="s">
        <v>230</v>
      </c>
      <c r="P180" s="2" t="s">
        <v>1302</v>
      </c>
      <c r="Q180" s="2" t="s">
        <v>232</v>
      </c>
      <c r="R180" s="2" t="s">
        <v>233</v>
      </c>
      <c r="S180" s="2" t="s">
        <v>233</v>
      </c>
      <c r="T180" s="2" t="s">
        <v>233</v>
      </c>
      <c r="U180" s="2" t="s">
        <v>329</v>
      </c>
      <c r="V180" s="2" t="s">
        <v>236</v>
      </c>
      <c r="W180" s="2" t="s">
        <v>818</v>
      </c>
      <c r="X180" s="2" t="s">
        <v>1141</v>
      </c>
      <c r="Y180" s="2" t="s">
        <v>1303</v>
      </c>
      <c r="Z180" s="4"/>
      <c r="AA180" s="4">
        <f>=ROUNDDOWN({0},0)</f>
      </c>
      <c r="AB180" s="5">
        <v>26</v>
      </c>
      <c r="AC180" s="2" t="s">
        <v>5</v>
      </c>
      <c r="AD180" s="4">
        <v>100</v>
      </c>
      <c r="AE180" s="4">
        <v>690</v>
      </c>
      <c r="AF180" s="6">
        <v>74</v>
      </c>
      <c r="AG180" s="6"/>
      <c r="AH180" s="7">
        <v>0</v>
      </c>
      <c r="AI180" s="4"/>
      <c r="AJ180" s="4">
        <f>=ROUNDDOWN({0},0)</f>
      </c>
      <c r="AK180" s="5"/>
      <c r="AL180" s="2" t="s">
        <v>233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/>
      <c r="BD180" s="8"/>
      <c r="BE180" s="4"/>
      <c r="BF180" s="8"/>
      <c r="BG180" s="7"/>
      <c r="BH180" s="7"/>
      <c r="BI180" s="7"/>
      <c r="BJ180" s="4">
        <v>2</v>
      </c>
      <c r="BK180" s="8">
        <v>457.38</v>
      </c>
      <c r="BL180" s="2" t="s">
        <v>1304</v>
      </c>
      <c r="BM180" s="7"/>
      <c r="BN180" s="7"/>
      <c r="BO180" s="4"/>
      <c r="BP180" s="8"/>
      <c r="BQ180" s="4"/>
      <c r="BR180" s="8"/>
      <c r="BS180" s="7"/>
      <c r="BT180" s="7"/>
      <c r="BU180" s="2" t="s">
        <v>1305</v>
      </c>
      <c r="BV180" s="2" t="s">
        <v>233</v>
      </c>
      <c r="BW180" s="2" t="s">
        <v>233</v>
      </c>
      <c r="BX180" s="2" t="s">
        <v>293</v>
      </c>
      <c r="BY180" s="2" t="s">
        <v>242</v>
      </c>
      <c r="BZ180" s="2" t="s">
        <v>230</v>
      </c>
      <c r="CA180" s="2" t="s">
        <v>1306</v>
      </c>
      <c r="CB180" s="2" t="s">
        <v>1307</v>
      </c>
      <c r="CC180" s="2" t="s">
        <v>245</v>
      </c>
      <c r="CD180" s="2" t="s">
        <v>233</v>
      </c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>
        <v>100</v>
      </c>
      <c r="CW180" s="4"/>
      <c r="CX180" s="4"/>
      <c r="CY180" s="4"/>
      <c r="CZ180" s="4"/>
      <c r="DA180" s="4"/>
      <c r="DB180" s="4"/>
      <c r="DC180" s="4"/>
      <c r="DD180" s="4"/>
      <c r="DE180" s="4">
        <v>50</v>
      </c>
      <c r="DF180" s="4"/>
      <c r="DG180" s="4"/>
      <c r="DH180" s="4"/>
      <c r="DI180" s="4"/>
      <c r="DJ180" s="4"/>
      <c r="DK180" s="4">
        <v>240</v>
      </c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>
        <v>300</v>
      </c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>
        <v>100</v>
      </c>
      <c r="GE180" s="4">
        <v>39</v>
      </c>
      <c r="GF180" s="4">
        <v>66</v>
      </c>
      <c r="GG180" s="4">
        <v>264</v>
      </c>
      <c r="GH180" s="4">
        <v>239</v>
      </c>
      <c r="GI180" s="4">
        <v>214</v>
      </c>
      <c r="GJ180" s="4">
        <v>195</v>
      </c>
      <c r="GK180" s="4">
        <v>167</v>
      </c>
      <c r="GL180" s="4">
        <v>141</v>
      </c>
      <c r="GM180" s="4">
        <v>419</v>
      </c>
      <c r="GN180" s="4">
        <v>394</v>
      </c>
      <c r="GO180" s="4">
        <v>372</v>
      </c>
      <c r="GP180" s="4">
        <v>350</v>
      </c>
      <c r="GQ180" s="4">
        <v>326</v>
      </c>
      <c r="GR180" s="4">
        <v>302</v>
      </c>
      <c r="GS180" s="4">
        <v>278</v>
      </c>
      <c r="GT180" s="4">
        <v>252</v>
      </c>
      <c r="GU180" s="4">
        <v>230</v>
      </c>
      <c r="GV180" s="4">
        <v>206</v>
      </c>
      <c r="GW180" s="4">
        <v>182</v>
      </c>
      <c r="GX180" s="4">
        <v>158</v>
      </c>
      <c r="GY180" s="4">
        <v>328</v>
      </c>
      <c r="GZ180" s="4">
        <v>302</v>
      </c>
      <c r="HA180" s="4">
        <v>276</v>
      </c>
      <c r="HB180" s="4">
        <v>250</v>
      </c>
      <c r="HC180" s="20">
        <v>0</v>
      </c>
      <c r="HD180" s="19">
        <v>2.6</v>
      </c>
      <c r="HE180" s="19">
        <v>1.3</v>
      </c>
      <c r="HF180" s="19">
        <v>2.4</v>
      </c>
      <c r="HG180" s="19">
        <v>11</v>
      </c>
      <c r="HH180" s="19">
        <v>10</v>
      </c>
      <c r="HI180" s="19">
        <v>8.9</v>
      </c>
      <c r="HJ180" s="19">
        <v>7.8</v>
      </c>
      <c r="HK180" s="19">
        <v>7</v>
      </c>
      <c r="HL180" s="19">
        <v>6.1</v>
      </c>
      <c r="HM180" s="19">
        <v>18.2</v>
      </c>
      <c r="HN180" s="19">
        <v>17.1</v>
      </c>
      <c r="HO180" s="19">
        <v>15.5</v>
      </c>
      <c r="HP180" s="19">
        <v>14.6</v>
      </c>
      <c r="HQ180" s="19">
        <v>13.6</v>
      </c>
      <c r="HR180" s="19">
        <v>12.6</v>
      </c>
      <c r="HS180" s="19">
        <v>11.6</v>
      </c>
      <c r="HT180" s="19">
        <v>10.5</v>
      </c>
      <c r="HU180" s="19">
        <v>9.6</v>
      </c>
      <c r="HV180" s="19">
        <v>8.6</v>
      </c>
      <c r="HW180" s="19">
        <v>7.3</v>
      </c>
      <c r="HX180" s="19">
        <v>6.1</v>
      </c>
      <c r="HY180" s="19">
        <v>12.6</v>
      </c>
      <c r="HZ180" s="19">
        <v>11.6</v>
      </c>
      <c r="IA180" s="19">
        <v>11</v>
      </c>
      <c r="IB180" s="19">
        <v>10.4</v>
      </c>
    </row>
    <row r="181">
      <c r="A181" s="2" t="s">
        <v>1308</v>
      </c>
      <c r="B181" s="2" t="s">
        <v>222</v>
      </c>
      <c r="C181" s="2" t="s">
        <v>223</v>
      </c>
      <c r="D181" s="2" t="s">
        <v>261</v>
      </c>
      <c r="E181" s="2" t="s">
        <v>1309</v>
      </c>
      <c r="F181" s="2" t="s">
        <v>1310</v>
      </c>
      <c r="G181" s="2" t="s">
        <v>1310</v>
      </c>
      <c r="H181" s="2" t="s">
        <v>1310</v>
      </c>
      <c r="I181" s="2" t="s">
        <v>1311</v>
      </c>
      <c r="J181" s="2" t="s">
        <v>256</v>
      </c>
      <c r="K181" s="2" t="s">
        <v>266</v>
      </c>
      <c r="L181" s="3">
        <v>21.6</v>
      </c>
      <c r="M181" s="3">
        <v>22.68</v>
      </c>
      <c r="N181" s="3">
        <v>44.99</v>
      </c>
      <c r="O181" s="2" t="s">
        <v>230</v>
      </c>
      <c r="P181" s="2" t="s">
        <v>231</v>
      </c>
      <c r="Q181" s="2" t="s">
        <v>232</v>
      </c>
      <c r="R181" s="2" t="s">
        <v>233</v>
      </c>
      <c r="S181" s="2" t="s">
        <v>1312</v>
      </c>
      <c r="T181" s="2" t="s">
        <v>469</v>
      </c>
      <c r="U181" s="2" t="s">
        <v>233</v>
      </c>
      <c r="V181" s="2" t="s">
        <v>236</v>
      </c>
      <c r="W181" s="2" t="s">
        <v>237</v>
      </c>
      <c r="X181" s="2" t="s">
        <v>233</v>
      </c>
      <c r="Y181" s="2" t="s">
        <v>238</v>
      </c>
      <c r="Z181" s="4">
        <v>461</v>
      </c>
      <c r="AA181" s="4">
        <f>=ROUNDDOWN(24.2631578947368,0)</f>
      </c>
      <c r="AB181" s="5">
        <v>19</v>
      </c>
      <c r="AC181" s="2" t="s">
        <v>1313</v>
      </c>
      <c r="AD181" s="4">
        <v>72</v>
      </c>
      <c r="AE181" s="4">
        <v>502</v>
      </c>
      <c r="AF181" s="6">
        <v>65</v>
      </c>
      <c r="AG181" s="6">
        <v>48</v>
      </c>
      <c r="AH181" s="7">
        <v>1</v>
      </c>
      <c r="AI181" s="4"/>
      <c r="AJ181" s="4">
        <f>=ROUNDDOWN({0},0)</f>
      </c>
      <c r="AK181" s="5"/>
      <c r="AL181" s="2" t="s">
        <v>233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/>
      <c r="BD181" s="8"/>
      <c r="BE181" s="4"/>
      <c r="BF181" s="8"/>
      <c r="BG181" s="7"/>
      <c r="BH181" s="7"/>
      <c r="BI181" s="7"/>
      <c r="BJ181" s="4">
        <v>172</v>
      </c>
      <c r="BK181" s="8">
        <v>4148.14</v>
      </c>
      <c r="BL181" s="2" t="s">
        <v>1314</v>
      </c>
      <c r="BM181" s="7"/>
      <c r="BN181" s="7"/>
      <c r="BO181" s="4"/>
      <c r="BP181" s="8"/>
      <c r="BQ181" s="4"/>
      <c r="BR181" s="8"/>
      <c r="BS181" s="7"/>
      <c r="BT181" s="7"/>
      <c r="BU181" s="2" t="s">
        <v>1315</v>
      </c>
      <c r="BV181" s="2" t="s">
        <v>233</v>
      </c>
      <c r="BW181" s="2" t="s">
        <v>233</v>
      </c>
      <c r="BX181" s="2" t="s">
        <v>241</v>
      </c>
      <c r="BY181" s="2" t="s">
        <v>242</v>
      </c>
      <c r="BZ181" s="2" t="s">
        <v>230</v>
      </c>
      <c r="CA181" s="2" t="s">
        <v>243</v>
      </c>
      <c r="CB181" s="2" t="s">
        <v>1316</v>
      </c>
      <c r="CC181" s="2" t="s">
        <v>245</v>
      </c>
      <c r="CD181" s="2" t="s">
        <v>233</v>
      </c>
      <c r="CE181" s="4">
        <v>316</v>
      </c>
      <c r="CF181" s="4"/>
      <c r="CG181" s="4"/>
      <c r="CH181" s="4">
        <v>145</v>
      </c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>
        <v>72</v>
      </c>
      <c r="FN181" s="4">
        <v>180</v>
      </c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>
        <v>250</v>
      </c>
      <c r="GB181" s="4"/>
      <c r="GC181" s="4">
        <v>529</v>
      </c>
      <c r="GD181" s="4">
        <v>431</v>
      </c>
      <c r="GE181" s="4">
        <v>403</v>
      </c>
      <c r="GF181" s="4">
        <v>380</v>
      </c>
      <c r="GG181" s="4">
        <v>340</v>
      </c>
      <c r="GH181" s="4">
        <v>319</v>
      </c>
      <c r="GI181" s="4">
        <v>299</v>
      </c>
      <c r="GJ181" s="4">
        <v>284</v>
      </c>
      <c r="GK181" s="4">
        <v>266</v>
      </c>
      <c r="GL181" s="4">
        <v>246</v>
      </c>
      <c r="GM181" s="4">
        <v>227</v>
      </c>
      <c r="GN181" s="4">
        <v>210</v>
      </c>
      <c r="GO181" s="4">
        <v>190</v>
      </c>
      <c r="GP181" s="4">
        <v>170</v>
      </c>
      <c r="GQ181" s="4">
        <v>150</v>
      </c>
      <c r="GR181" s="4">
        <v>379</v>
      </c>
      <c r="GS181" s="4">
        <v>356</v>
      </c>
      <c r="GT181" s="4">
        <v>332</v>
      </c>
      <c r="GU181" s="4">
        <v>309</v>
      </c>
      <c r="GV181" s="4">
        <v>284</v>
      </c>
      <c r="GW181" s="4">
        <v>509</v>
      </c>
      <c r="GX181" s="4">
        <v>492</v>
      </c>
      <c r="GY181" s="4">
        <v>475</v>
      </c>
      <c r="GZ181" s="4">
        <v>458</v>
      </c>
      <c r="HA181" s="4">
        <v>440</v>
      </c>
      <c r="HB181" s="4">
        <v>423</v>
      </c>
      <c r="HC181" s="19">
        <v>12.8</v>
      </c>
      <c r="HD181" s="19">
        <v>15.9</v>
      </c>
      <c r="HE181" s="19">
        <v>16.4</v>
      </c>
      <c r="HF181" s="19">
        <v>17.4</v>
      </c>
      <c r="HG181" s="19">
        <v>22.1</v>
      </c>
      <c r="HH181" s="19">
        <v>20.9</v>
      </c>
      <c r="HI181" s="19">
        <v>19.7</v>
      </c>
      <c r="HJ181" s="19">
        <v>18.4</v>
      </c>
      <c r="HK181" s="19">
        <v>17.5</v>
      </c>
      <c r="HL181" s="19">
        <v>16.5</v>
      </c>
      <c r="HM181" s="19">
        <v>15.2</v>
      </c>
      <c r="HN181" s="19">
        <v>14.4</v>
      </c>
      <c r="HO181" s="19">
        <v>13.2</v>
      </c>
      <c r="HP181" s="19">
        <v>10.2</v>
      </c>
      <c r="HQ181" s="19">
        <v>9.3</v>
      </c>
      <c r="HR181" s="19">
        <v>20.5</v>
      </c>
      <c r="HS181" s="19">
        <v>17</v>
      </c>
      <c r="HT181" s="19">
        <v>18.8</v>
      </c>
      <c r="HU181" s="19">
        <v>18.1</v>
      </c>
      <c r="HV181" s="19">
        <v>20.6</v>
      </c>
      <c r="HW181" s="19">
        <v>29.2</v>
      </c>
      <c r="HX181" s="19">
        <v>28.2</v>
      </c>
      <c r="HY181" s="19">
        <v>27.2</v>
      </c>
      <c r="HZ181" s="19">
        <v>26.2</v>
      </c>
      <c r="IA181" s="19">
        <v>26.2</v>
      </c>
      <c r="IB181" s="19">
        <v>28.9</v>
      </c>
    </row>
    <row r="182">
      <c r="A182" s="2" t="s">
        <v>1317</v>
      </c>
      <c r="B182" s="2" t="s">
        <v>938</v>
      </c>
      <c r="C182" s="2" t="s">
        <v>1318</v>
      </c>
      <c r="D182" s="2" t="s">
        <v>972</v>
      </c>
      <c r="E182" s="2" t="s">
        <v>973</v>
      </c>
      <c r="F182" s="2" t="s">
        <v>1319</v>
      </c>
      <c r="G182" s="2" t="s">
        <v>1320</v>
      </c>
      <c r="H182" s="2" t="s">
        <v>1321</v>
      </c>
      <c r="I182" s="2" t="s">
        <v>1322</v>
      </c>
      <c r="J182" s="2" t="s">
        <v>1004</v>
      </c>
      <c r="K182" s="2" t="s">
        <v>870</v>
      </c>
      <c r="L182" s="3">
        <v>18.9</v>
      </c>
      <c r="M182" s="3">
        <v>19.84</v>
      </c>
      <c r="N182" s="3">
        <v>44.99</v>
      </c>
      <c r="O182" s="2" t="s">
        <v>230</v>
      </c>
      <c r="P182" s="2" t="s">
        <v>231</v>
      </c>
      <c r="Q182" s="2" t="s">
        <v>232</v>
      </c>
      <c r="R182" s="2" t="s">
        <v>233</v>
      </c>
      <c r="S182" s="2" t="s">
        <v>1323</v>
      </c>
      <c r="T182" s="2" t="s">
        <v>469</v>
      </c>
      <c r="U182" s="2" t="s">
        <v>329</v>
      </c>
      <c r="V182" s="2" t="s">
        <v>782</v>
      </c>
      <c r="W182" s="2" t="s">
        <v>620</v>
      </c>
      <c r="X182" s="2" t="s">
        <v>1324</v>
      </c>
      <c r="Y182" s="2" t="s">
        <v>1325</v>
      </c>
      <c r="Z182" s="4">
        <v>202</v>
      </c>
      <c r="AA182" s="4">
        <f>=ROUNDDOWN(22.4444444444444,0)</f>
      </c>
      <c r="AB182" s="5">
        <v>9</v>
      </c>
      <c r="AC182" s="2" t="s">
        <v>622</v>
      </c>
      <c r="AD182" s="4">
        <v>280</v>
      </c>
      <c r="AE182" s="4">
        <v>512</v>
      </c>
      <c r="AF182" s="6">
        <v>68</v>
      </c>
      <c r="AG182" s="6"/>
      <c r="AH182" s="7">
        <v>1</v>
      </c>
      <c r="AI182" s="4"/>
      <c r="AJ182" s="4">
        <f>=ROUNDDOWN({0},0)</f>
      </c>
      <c r="AK182" s="5"/>
      <c r="AL182" s="2" t="s">
        <v>233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/>
      <c r="BD182" s="8"/>
      <c r="BE182" s="4"/>
      <c r="BF182" s="8"/>
      <c r="BG182" s="7"/>
      <c r="BH182" s="7"/>
      <c r="BI182" s="7"/>
      <c r="BJ182" s="4">
        <v>23</v>
      </c>
      <c r="BK182" s="8">
        <v>525.04</v>
      </c>
      <c r="BL182" s="2" t="s">
        <v>1326</v>
      </c>
      <c r="BM182" s="7"/>
      <c r="BN182" s="7"/>
      <c r="BO182" s="4"/>
      <c r="BP182" s="8"/>
      <c r="BQ182" s="4"/>
      <c r="BR182" s="8"/>
      <c r="BS182" s="7"/>
      <c r="BT182" s="7"/>
      <c r="BU182" s="2" t="s">
        <v>1327</v>
      </c>
      <c r="BV182" s="2" t="s">
        <v>233</v>
      </c>
      <c r="BW182" s="2" t="s">
        <v>233</v>
      </c>
      <c r="BX182" s="2" t="s">
        <v>241</v>
      </c>
      <c r="BY182" s="2" t="s">
        <v>242</v>
      </c>
      <c r="BZ182" s="2" t="s">
        <v>230</v>
      </c>
      <c r="CA182" s="2" t="s">
        <v>1328</v>
      </c>
      <c r="CB182" s="2" t="s">
        <v>1329</v>
      </c>
      <c r="CC182" s="2" t="s">
        <v>245</v>
      </c>
      <c r="CD182" s="2" t="s">
        <v>233</v>
      </c>
      <c r="CE182" s="4">
        <v>202</v>
      </c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>
        <v>280</v>
      </c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>
        <v>232</v>
      </c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>
        <v>62</v>
      </c>
      <c r="GD182" s="4">
        <v>193</v>
      </c>
      <c r="GE182" s="4">
        <v>182</v>
      </c>
      <c r="GF182" s="4">
        <v>172</v>
      </c>
      <c r="GG182" s="4">
        <v>157</v>
      </c>
      <c r="GH182" s="4">
        <v>146</v>
      </c>
      <c r="GI182" s="4">
        <v>132</v>
      </c>
      <c r="GJ182" s="4">
        <v>123</v>
      </c>
      <c r="GK182" s="4">
        <v>113</v>
      </c>
      <c r="GL182" s="4">
        <v>104</v>
      </c>
      <c r="GM182" s="4">
        <v>95</v>
      </c>
      <c r="GN182" s="4">
        <v>86</v>
      </c>
      <c r="GO182" s="4">
        <v>309</v>
      </c>
      <c r="GP182" s="4">
        <v>300</v>
      </c>
      <c r="GQ182" s="4">
        <v>291</v>
      </c>
      <c r="GR182" s="4">
        <v>282</v>
      </c>
      <c r="GS182" s="4">
        <v>273</v>
      </c>
      <c r="GT182" s="4">
        <v>263</v>
      </c>
      <c r="GU182" s="4">
        <v>254</v>
      </c>
      <c r="GV182" s="4">
        <v>245</v>
      </c>
      <c r="GW182" s="4">
        <v>236</v>
      </c>
      <c r="GX182" s="4">
        <v>227</v>
      </c>
      <c r="GY182" s="4">
        <v>218</v>
      </c>
      <c r="GZ182" s="4">
        <v>209</v>
      </c>
      <c r="HA182" s="4">
        <v>200</v>
      </c>
      <c r="HB182" s="4">
        <v>191</v>
      </c>
      <c r="HC182" s="19">
        <v>5.6</v>
      </c>
      <c r="HD182" s="19">
        <v>16.1</v>
      </c>
      <c r="HE182" s="19">
        <v>15.2</v>
      </c>
      <c r="HF182" s="19">
        <v>14.3</v>
      </c>
      <c r="HG182" s="19">
        <v>14.3</v>
      </c>
      <c r="HH182" s="19">
        <v>14.6</v>
      </c>
      <c r="HI182" s="19">
        <v>14.7</v>
      </c>
      <c r="HJ182" s="19">
        <v>13.7</v>
      </c>
      <c r="HK182" s="19">
        <v>12.6</v>
      </c>
      <c r="HL182" s="19">
        <v>11.6</v>
      </c>
      <c r="HM182" s="19">
        <v>10.6</v>
      </c>
      <c r="HN182" s="19">
        <v>9.6</v>
      </c>
      <c r="HO182" s="19">
        <v>34.3</v>
      </c>
      <c r="HP182" s="19">
        <v>33.3</v>
      </c>
      <c r="HQ182" s="19">
        <v>32.3</v>
      </c>
      <c r="HR182" s="19">
        <v>31.3</v>
      </c>
      <c r="HS182" s="19">
        <v>30.3</v>
      </c>
      <c r="HT182" s="19">
        <v>29.2</v>
      </c>
      <c r="HU182" s="19">
        <v>28.2</v>
      </c>
      <c r="HV182" s="19">
        <v>27.2</v>
      </c>
      <c r="HW182" s="19">
        <v>26.2</v>
      </c>
      <c r="HX182" s="19">
        <v>25.2</v>
      </c>
      <c r="HY182" s="19">
        <v>24.2</v>
      </c>
      <c r="HZ182" s="19">
        <v>23.2</v>
      </c>
      <c r="IA182" s="19">
        <v>22.2</v>
      </c>
      <c r="IB182" s="19">
        <v>21.2</v>
      </c>
    </row>
    <row r="183">
      <c r="A183" s="2" t="s">
        <v>1330</v>
      </c>
      <c r="B183" s="2" t="s">
        <v>222</v>
      </c>
      <c r="C183" s="2" t="s">
        <v>223</v>
      </c>
      <c r="D183" s="2" t="s">
        <v>261</v>
      </c>
      <c r="E183" s="2" t="s">
        <v>262</v>
      </c>
      <c r="F183" s="2" t="s">
        <v>1331</v>
      </c>
      <c r="G183" s="2" t="s">
        <v>1332</v>
      </c>
      <c r="H183" s="2" t="s">
        <v>1332</v>
      </c>
      <c r="I183" s="2" t="s">
        <v>1333</v>
      </c>
      <c r="J183" s="2" t="s">
        <v>228</v>
      </c>
      <c r="K183" s="2" t="s">
        <v>266</v>
      </c>
      <c r="L183" s="3">
        <v>24</v>
      </c>
      <c r="M183" s="3">
        <v>25.2</v>
      </c>
      <c r="N183" s="3">
        <v>49.99</v>
      </c>
      <c r="O183" s="2" t="s">
        <v>230</v>
      </c>
      <c r="P183" s="2" t="s">
        <v>231</v>
      </c>
      <c r="Q183" s="2" t="s">
        <v>232</v>
      </c>
      <c r="R183" s="2" t="s">
        <v>233</v>
      </c>
      <c r="S183" s="2" t="s">
        <v>1334</v>
      </c>
      <c r="T183" s="2" t="s">
        <v>469</v>
      </c>
      <c r="U183" s="2" t="s">
        <v>233</v>
      </c>
      <c r="V183" s="2" t="s">
        <v>236</v>
      </c>
      <c r="W183" s="2" t="s">
        <v>237</v>
      </c>
      <c r="X183" s="2" t="s">
        <v>233</v>
      </c>
      <c r="Y183" s="2" t="s">
        <v>238</v>
      </c>
      <c r="Z183" s="4">
        <v>128</v>
      </c>
      <c r="AA183" s="4">
        <f>=ROUNDDOWN(32,0)</f>
      </c>
      <c r="AB183" s="5">
        <v>4</v>
      </c>
      <c r="AC183" s="2" t="s">
        <v>731</v>
      </c>
      <c r="AD183" s="4">
        <v>40</v>
      </c>
      <c r="AE183" s="4">
        <v>40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233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233</v>
      </c>
      <c r="AW183" s="8" t="s">
        <v>233</v>
      </c>
      <c r="AX183" s="4" t="s">
        <v>233</v>
      </c>
      <c r="AY183" s="8" t="s">
        <v>233</v>
      </c>
      <c r="AZ183" s="7" t="s">
        <v>233</v>
      </c>
      <c r="BA183" s="7" t="s">
        <v>233</v>
      </c>
      <c r="BB183" s="7"/>
      <c r="BC183" s="4" t="s">
        <v>233</v>
      </c>
      <c r="BD183" s="8" t="s">
        <v>233</v>
      </c>
      <c r="BE183" s="4" t="s">
        <v>233</v>
      </c>
      <c r="BF183" s="8" t="s">
        <v>233</v>
      </c>
      <c r="BG183" s="7" t="s">
        <v>233</v>
      </c>
      <c r="BH183" s="7" t="s">
        <v>233</v>
      </c>
      <c r="BI183" s="7"/>
      <c r="BJ183" s="4">
        <v>4</v>
      </c>
      <c r="BK183" s="8">
        <v>101.37</v>
      </c>
      <c r="BL183" s="2" t="s">
        <v>1335</v>
      </c>
      <c r="BM183" s="7"/>
      <c r="BN183" s="7"/>
      <c r="BO183" s="4"/>
      <c r="BP183" s="8"/>
      <c r="BQ183" s="4"/>
      <c r="BR183" s="8"/>
      <c r="BS183" s="7"/>
      <c r="BT183" s="7"/>
      <c r="BU183" s="2" t="s">
        <v>1336</v>
      </c>
      <c r="BV183" s="2" t="s">
        <v>233</v>
      </c>
      <c r="BW183" s="2" t="s">
        <v>233</v>
      </c>
      <c r="BX183" s="2" t="s">
        <v>241</v>
      </c>
      <c r="BY183" s="2" t="s">
        <v>242</v>
      </c>
      <c r="BZ183" s="2" t="s">
        <v>230</v>
      </c>
      <c r="CA183" s="2" t="s">
        <v>243</v>
      </c>
      <c r="CB183" s="2" t="s">
        <v>1337</v>
      </c>
      <c r="CC183" s="2" t="s">
        <v>245</v>
      </c>
      <c r="CD183" s="2" t="s">
        <v>233</v>
      </c>
      <c r="CE183" s="4">
        <v>128</v>
      </c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>
        <v>40</v>
      </c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>
        <v>129</v>
      </c>
      <c r="GD183" s="4">
        <v>161</v>
      </c>
      <c r="GE183" s="4">
        <v>150</v>
      </c>
      <c r="GF183" s="4">
        <v>140</v>
      </c>
      <c r="GG183" s="4">
        <v>119</v>
      </c>
      <c r="GH183" s="4">
        <v>108</v>
      </c>
      <c r="GI183" s="4">
        <v>98</v>
      </c>
      <c r="GJ183" s="4">
        <v>91</v>
      </c>
      <c r="GK183" s="4">
        <v>87</v>
      </c>
      <c r="GL183" s="4">
        <v>84</v>
      </c>
      <c r="GM183" s="4">
        <v>82</v>
      </c>
      <c r="GN183" s="4">
        <v>80</v>
      </c>
      <c r="GO183" s="4">
        <v>78</v>
      </c>
      <c r="GP183" s="4">
        <v>76</v>
      </c>
      <c r="GQ183" s="4">
        <v>74</v>
      </c>
      <c r="GR183" s="4">
        <v>70</v>
      </c>
      <c r="GS183" s="4">
        <v>66</v>
      </c>
      <c r="GT183" s="4">
        <v>62</v>
      </c>
      <c r="GU183" s="4">
        <v>58</v>
      </c>
      <c r="GV183" s="4">
        <v>53</v>
      </c>
      <c r="GW183" s="4">
        <v>48</v>
      </c>
      <c r="GX183" s="4">
        <v>43</v>
      </c>
      <c r="GY183" s="4">
        <v>38</v>
      </c>
      <c r="GZ183" s="4">
        <v>34</v>
      </c>
      <c r="HA183" s="4">
        <v>30</v>
      </c>
      <c r="HB183" s="4">
        <v>26</v>
      </c>
      <c r="HC183" s="19">
        <v>10.8</v>
      </c>
      <c r="HD183" s="19">
        <v>12.4</v>
      </c>
      <c r="HE183" s="19">
        <v>11.5</v>
      </c>
      <c r="HF183" s="19">
        <v>11.7</v>
      </c>
      <c r="HG183" s="19">
        <v>14.9</v>
      </c>
      <c r="HH183" s="19">
        <v>18</v>
      </c>
      <c r="HI183" s="19">
        <v>24.5</v>
      </c>
      <c r="HJ183" s="19">
        <v>30.3</v>
      </c>
      <c r="HK183" s="19">
        <v>43.5</v>
      </c>
      <c r="HL183" s="19">
        <v>42</v>
      </c>
      <c r="HM183" s="19">
        <v>41</v>
      </c>
      <c r="HN183" s="19">
        <v>40</v>
      </c>
      <c r="HO183" s="19">
        <v>26</v>
      </c>
      <c r="HP183" s="19">
        <v>19</v>
      </c>
      <c r="HQ183" s="19">
        <v>18.5</v>
      </c>
      <c r="HR183" s="19">
        <v>17.5</v>
      </c>
      <c r="HS183" s="19">
        <v>16.5</v>
      </c>
      <c r="HT183" s="19">
        <v>12.4</v>
      </c>
      <c r="HU183" s="19">
        <v>11.6</v>
      </c>
      <c r="HV183" s="19">
        <v>10.6</v>
      </c>
      <c r="HW183" s="19">
        <v>12</v>
      </c>
      <c r="HX183" s="19">
        <v>10.8</v>
      </c>
      <c r="HY183" s="19">
        <v>9.5</v>
      </c>
      <c r="HZ183" s="19">
        <v>8.5</v>
      </c>
      <c r="IA183" s="19">
        <v>7.5</v>
      </c>
      <c r="IB183" s="19">
        <v>8.7</v>
      </c>
    </row>
    <row r="184">
      <c r="A184" s="2" t="s">
        <v>1338</v>
      </c>
      <c r="B184" s="2" t="s">
        <v>222</v>
      </c>
      <c r="C184" s="2" t="s">
        <v>223</v>
      </c>
      <c r="D184" s="2" t="s">
        <v>261</v>
      </c>
      <c r="E184" s="2" t="s">
        <v>262</v>
      </c>
      <c r="F184" s="2" t="s">
        <v>1331</v>
      </c>
      <c r="G184" s="2" t="s">
        <v>1332</v>
      </c>
      <c r="H184" s="2" t="s">
        <v>1332</v>
      </c>
      <c r="I184" s="2" t="s">
        <v>1333</v>
      </c>
      <c r="J184" s="2" t="s">
        <v>265</v>
      </c>
      <c r="K184" s="2" t="s">
        <v>266</v>
      </c>
      <c r="L184" s="3">
        <v>32.5</v>
      </c>
      <c r="M184" s="3">
        <v>34.12</v>
      </c>
      <c r="N184" s="3">
        <v>64.99</v>
      </c>
      <c r="O184" s="2" t="s">
        <v>230</v>
      </c>
      <c r="P184" s="2" t="s">
        <v>231</v>
      </c>
      <c r="Q184" s="2" t="s">
        <v>232</v>
      </c>
      <c r="R184" s="2" t="s">
        <v>233</v>
      </c>
      <c r="S184" s="2" t="s">
        <v>1334</v>
      </c>
      <c r="T184" s="2" t="s">
        <v>469</v>
      </c>
      <c r="U184" s="2" t="s">
        <v>233</v>
      </c>
      <c r="V184" s="2" t="s">
        <v>236</v>
      </c>
      <c r="W184" s="2" t="s">
        <v>237</v>
      </c>
      <c r="X184" s="2" t="s">
        <v>233</v>
      </c>
      <c r="Y184" s="2" t="s">
        <v>238</v>
      </c>
      <c r="Z184" s="4">
        <v>193</v>
      </c>
      <c r="AA184" s="4">
        <f>=ROUNDDOWN(19.3,0)</f>
      </c>
      <c r="AB184" s="5">
        <v>10</v>
      </c>
      <c r="AC184" s="2" t="s">
        <v>731</v>
      </c>
      <c r="AD184" s="4">
        <v>260</v>
      </c>
      <c r="AE184" s="4">
        <v>260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233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233</v>
      </c>
      <c r="AW184" s="8" t="s">
        <v>233</v>
      </c>
      <c r="AX184" s="4" t="s">
        <v>233</v>
      </c>
      <c r="AY184" s="8" t="s">
        <v>233</v>
      </c>
      <c r="AZ184" s="7" t="s">
        <v>233</v>
      </c>
      <c r="BA184" s="7" t="s">
        <v>233</v>
      </c>
      <c r="BB184" s="7"/>
      <c r="BC184" s="4" t="s">
        <v>233</v>
      </c>
      <c r="BD184" s="8" t="s">
        <v>233</v>
      </c>
      <c r="BE184" s="4" t="s">
        <v>233</v>
      </c>
      <c r="BF184" s="8" t="s">
        <v>233</v>
      </c>
      <c r="BG184" s="7" t="s">
        <v>233</v>
      </c>
      <c r="BH184" s="7" t="s">
        <v>233</v>
      </c>
      <c r="BI184" s="7"/>
      <c r="BJ184" s="4">
        <v>30</v>
      </c>
      <c r="BK184" s="8">
        <v>1150.15</v>
      </c>
      <c r="BL184" s="2" t="s">
        <v>1339</v>
      </c>
      <c r="BM184" s="7"/>
      <c r="BN184" s="7"/>
      <c r="BO184" s="4"/>
      <c r="BP184" s="8"/>
      <c r="BQ184" s="4"/>
      <c r="BR184" s="8"/>
      <c r="BS184" s="7"/>
      <c r="BT184" s="7"/>
      <c r="BU184" s="2" t="s">
        <v>1336</v>
      </c>
      <c r="BV184" s="2" t="s">
        <v>233</v>
      </c>
      <c r="BW184" s="2" t="s">
        <v>233</v>
      </c>
      <c r="BX184" s="2" t="s">
        <v>241</v>
      </c>
      <c r="BY184" s="2" t="s">
        <v>242</v>
      </c>
      <c r="BZ184" s="2" t="s">
        <v>230</v>
      </c>
      <c r="CA184" s="2" t="s">
        <v>243</v>
      </c>
      <c r="CB184" s="2" t="s">
        <v>1340</v>
      </c>
      <c r="CC184" s="2" t="s">
        <v>245</v>
      </c>
      <c r="CD184" s="2" t="s">
        <v>233</v>
      </c>
      <c r="CE184" s="4">
        <v>193</v>
      </c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>
        <v>260</v>
      </c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>
        <v>198</v>
      </c>
      <c r="GD184" s="4">
        <v>436</v>
      </c>
      <c r="GE184" s="4">
        <v>405</v>
      </c>
      <c r="GF184" s="4">
        <v>377</v>
      </c>
      <c r="GG184" s="4">
        <v>317</v>
      </c>
      <c r="GH184" s="4">
        <v>290</v>
      </c>
      <c r="GI184" s="4">
        <v>265</v>
      </c>
      <c r="GJ184" s="4">
        <v>249</v>
      </c>
      <c r="GK184" s="4">
        <v>240</v>
      </c>
      <c r="GL184" s="4">
        <v>231</v>
      </c>
      <c r="GM184" s="4">
        <v>225</v>
      </c>
      <c r="GN184" s="4">
        <v>219</v>
      </c>
      <c r="GO184" s="4">
        <v>213</v>
      </c>
      <c r="GP184" s="4">
        <v>207</v>
      </c>
      <c r="GQ184" s="4">
        <v>202</v>
      </c>
      <c r="GR184" s="4">
        <v>192</v>
      </c>
      <c r="GS184" s="4">
        <v>182</v>
      </c>
      <c r="GT184" s="4">
        <v>171</v>
      </c>
      <c r="GU184" s="4">
        <v>161</v>
      </c>
      <c r="GV184" s="4">
        <v>148</v>
      </c>
      <c r="GW184" s="4">
        <v>135</v>
      </c>
      <c r="GX184" s="4">
        <v>122</v>
      </c>
      <c r="GY184" s="4">
        <v>109</v>
      </c>
      <c r="GZ184" s="4">
        <v>98</v>
      </c>
      <c r="HA184" s="4">
        <v>87</v>
      </c>
      <c r="HB184" s="4">
        <v>76</v>
      </c>
      <c r="HC184" s="19">
        <v>5.7</v>
      </c>
      <c r="HD184" s="19">
        <v>12.1</v>
      </c>
      <c r="HE184" s="19">
        <v>11.6</v>
      </c>
      <c r="HF184" s="19">
        <v>11.8</v>
      </c>
      <c r="HG184" s="19">
        <v>16.7</v>
      </c>
      <c r="HH184" s="19">
        <v>19.3</v>
      </c>
      <c r="HI184" s="19">
        <v>26.5</v>
      </c>
      <c r="HJ184" s="19">
        <v>31.1</v>
      </c>
      <c r="HK184" s="19">
        <v>34.3</v>
      </c>
      <c r="HL184" s="19">
        <v>38.5</v>
      </c>
      <c r="HM184" s="19">
        <v>37.5</v>
      </c>
      <c r="HN184" s="19">
        <v>31.3</v>
      </c>
      <c r="HO184" s="19">
        <v>26.6</v>
      </c>
      <c r="HP184" s="19">
        <v>23</v>
      </c>
      <c r="HQ184" s="19">
        <v>20.2</v>
      </c>
      <c r="HR184" s="19">
        <v>17.5</v>
      </c>
      <c r="HS184" s="19">
        <v>15.2</v>
      </c>
      <c r="HT184" s="19">
        <v>14.3</v>
      </c>
      <c r="HU184" s="19">
        <v>12.4</v>
      </c>
      <c r="HV184" s="19">
        <v>12.3</v>
      </c>
      <c r="HW184" s="19">
        <v>11.3</v>
      </c>
      <c r="HX184" s="19">
        <v>10.2</v>
      </c>
      <c r="HY184" s="19">
        <v>9.9</v>
      </c>
      <c r="HZ184" s="19">
        <v>8.9</v>
      </c>
      <c r="IA184" s="19">
        <v>8.7</v>
      </c>
      <c r="IB184" s="19">
        <v>8.4</v>
      </c>
    </row>
    <row r="185">
      <c r="A185" s="2" t="s">
        <v>1341</v>
      </c>
      <c r="B185" s="2" t="s">
        <v>222</v>
      </c>
      <c r="C185" s="2" t="s">
        <v>223</v>
      </c>
      <c r="D185" s="2" t="s">
        <v>261</v>
      </c>
      <c r="E185" s="2" t="s">
        <v>262</v>
      </c>
      <c r="F185" s="2" t="s">
        <v>1331</v>
      </c>
      <c r="G185" s="2" t="s">
        <v>1332</v>
      </c>
      <c r="H185" s="2" t="s">
        <v>1332</v>
      </c>
      <c r="I185" s="2" t="s">
        <v>1333</v>
      </c>
      <c r="J185" s="2" t="s">
        <v>275</v>
      </c>
      <c r="K185" s="2" t="s">
        <v>266</v>
      </c>
      <c r="L185" s="3">
        <v>37.5</v>
      </c>
      <c r="M185" s="3">
        <v>39.38</v>
      </c>
      <c r="N185" s="3">
        <v>74.99</v>
      </c>
      <c r="O185" s="2" t="s">
        <v>230</v>
      </c>
      <c r="P185" s="2" t="s">
        <v>231</v>
      </c>
      <c r="Q185" s="2" t="s">
        <v>232</v>
      </c>
      <c r="R185" s="2" t="s">
        <v>233</v>
      </c>
      <c r="S185" s="2" t="s">
        <v>1334</v>
      </c>
      <c r="T185" s="2" t="s">
        <v>469</v>
      </c>
      <c r="U185" s="2" t="s">
        <v>233</v>
      </c>
      <c r="V185" s="2" t="s">
        <v>236</v>
      </c>
      <c r="W185" s="2" t="s">
        <v>237</v>
      </c>
      <c r="X185" s="2" t="s">
        <v>233</v>
      </c>
      <c r="Y185" s="2" t="s">
        <v>1342</v>
      </c>
      <c r="Z185" s="4">
        <v>264</v>
      </c>
      <c r="AA185" s="4">
        <f>=ROUNDDOWN(26.4,0)</f>
      </c>
      <c r="AB185" s="5">
        <v>10</v>
      </c>
      <c r="AC185" s="2" t="s">
        <v>731</v>
      </c>
      <c r="AD185" s="4">
        <v>200</v>
      </c>
      <c r="AE185" s="4">
        <v>200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233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233</v>
      </c>
      <c r="AW185" s="8" t="s">
        <v>233</v>
      </c>
      <c r="AX185" s="4" t="s">
        <v>233</v>
      </c>
      <c r="AY185" s="8" t="s">
        <v>233</v>
      </c>
      <c r="AZ185" s="7" t="s">
        <v>233</v>
      </c>
      <c r="BA185" s="7" t="s">
        <v>233</v>
      </c>
      <c r="BB185" s="7"/>
      <c r="BC185" s="4" t="s">
        <v>233</v>
      </c>
      <c r="BD185" s="8" t="s">
        <v>233</v>
      </c>
      <c r="BE185" s="4" t="s">
        <v>233</v>
      </c>
      <c r="BF185" s="8" t="s">
        <v>233</v>
      </c>
      <c r="BG185" s="7" t="s">
        <v>233</v>
      </c>
      <c r="BH185" s="7" t="s">
        <v>233</v>
      </c>
      <c r="BI185" s="7"/>
      <c r="BJ185" s="4">
        <v>30</v>
      </c>
      <c r="BK185" s="8">
        <v>1345.74</v>
      </c>
      <c r="BL185" s="2" t="s">
        <v>1343</v>
      </c>
      <c r="BM185" s="7"/>
      <c r="BN185" s="7"/>
      <c r="BO185" s="4"/>
      <c r="BP185" s="8"/>
      <c r="BQ185" s="4"/>
      <c r="BR185" s="8"/>
      <c r="BS185" s="7"/>
      <c r="BT185" s="7"/>
      <c r="BU185" s="2" t="s">
        <v>1336</v>
      </c>
      <c r="BV185" s="2" t="s">
        <v>233</v>
      </c>
      <c r="BW185" s="2" t="s">
        <v>233</v>
      </c>
      <c r="BX185" s="2" t="s">
        <v>241</v>
      </c>
      <c r="BY185" s="2" t="s">
        <v>242</v>
      </c>
      <c r="BZ185" s="2" t="s">
        <v>230</v>
      </c>
      <c r="CA185" s="2" t="s">
        <v>243</v>
      </c>
      <c r="CB185" s="2" t="s">
        <v>1344</v>
      </c>
      <c r="CC185" s="2" t="s">
        <v>245</v>
      </c>
      <c r="CD185" s="2" t="s">
        <v>233</v>
      </c>
      <c r="CE185" s="4">
        <v>264</v>
      </c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>
        <v>200</v>
      </c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>
        <v>271</v>
      </c>
      <c r="GD185" s="4">
        <v>452</v>
      </c>
      <c r="GE185" s="4">
        <v>425</v>
      </c>
      <c r="GF185" s="4">
        <v>400</v>
      </c>
      <c r="GG185" s="4">
        <v>347</v>
      </c>
      <c r="GH185" s="4">
        <v>325</v>
      </c>
      <c r="GI185" s="4">
        <v>305</v>
      </c>
      <c r="GJ185" s="4">
        <v>292</v>
      </c>
      <c r="GK185" s="4">
        <v>285</v>
      </c>
      <c r="GL185" s="4">
        <v>276</v>
      </c>
      <c r="GM185" s="4">
        <v>270</v>
      </c>
      <c r="GN185" s="4">
        <v>264</v>
      </c>
      <c r="GO185" s="4">
        <v>258</v>
      </c>
      <c r="GP185" s="4">
        <v>252</v>
      </c>
      <c r="GQ185" s="4">
        <v>247</v>
      </c>
      <c r="GR185" s="4">
        <v>236</v>
      </c>
      <c r="GS185" s="4">
        <v>225</v>
      </c>
      <c r="GT185" s="4">
        <v>213</v>
      </c>
      <c r="GU185" s="4">
        <v>202</v>
      </c>
      <c r="GV185" s="4">
        <v>189</v>
      </c>
      <c r="GW185" s="4">
        <v>176</v>
      </c>
      <c r="GX185" s="4">
        <v>163</v>
      </c>
      <c r="GY185" s="4">
        <v>150</v>
      </c>
      <c r="GZ185" s="4">
        <v>137</v>
      </c>
      <c r="HA185" s="4">
        <v>124</v>
      </c>
      <c r="HB185" s="4">
        <v>111</v>
      </c>
      <c r="HC185" s="19">
        <v>8.7</v>
      </c>
      <c r="HD185" s="19">
        <v>14.1</v>
      </c>
      <c r="HE185" s="19">
        <v>14.2</v>
      </c>
      <c r="HF185" s="19">
        <v>14.8</v>
      </c>
      <c r="HG185" s="19">
        <v>21.7</v>
      </c>
      <c r="HH185" s="19">
        <v>27.1</v>
      </c>
      <c r="HI185" s="19">
        <v>33.9</v>
      </c>
      <c r="HJ185" s="19">
        <v>41.7</v>
      </c>
      <c r="HK185" s="19">
        <v>40.7</v>
      </c>
      <c r="HL185" s="19">
        <v>46</v>
      </c>
      <c r="HM185" s="19">
        <v>45</v>
      </c>
      <c r="HN185" s="19">
        <v>37.7</v>
      </c>
      <c r="HO185" s="19">
        <v>32.3</v>
      </c>
      <c r="HP185" s="19">
        <v>25.2</v>
      </c>
      <c r="HQ185" s="19">
        <v>22.5</v>
      </c>
      <c r="HR185" s="19">
        <v>19.7</v>
      </c>
      <c r="HS185" s="19">
        <v>18.8</v>
      </c>
      <c r="HT185" s="19">
        <v>17.8</v>
      </c>
      <c r="HU185" s="19">
        <v>15.5</v>
      </c>
      <c r="HV185" s="19">
        <v>14.5</v>
      </c>
      <c r="HW185" s="19">
        <v>13.5</v>
      </c>
      <c r="HX185" s="19">
        <v>12.5</v>
      </c>
      <c r="HY185" s="19">
        <v>11.5</v>
      </c>
      <c r="HZ185" s="19">
        <v>10.5</v>
      </c>
      <c r="IA185" s="19">
        <v>10.3</v>
      </c>
      <c r="IB185" s="19">
        <v>11.1</v>
      </c>
    </row>
    <row r="186">
      <c r="A186" s="2" t="s">
        <v>1345</v>
      </c>
      <c r="B186" s="2" t="s">
        <v>872</v>
      </c>
      <c r="C186" s="2" t="s">
        <v>280</v>
      </c>
      <c r="D186" s="2" t="s">
        <v>261</v>
      </c>
      <c r="E186" s="2" t="s">
        <v>603</v>
      </c>
      <c r="F186" s="2" t="s">
        <v>1346</v>
      </c>
      <c r="G186" s="2" t="s">
        <v>1347</v>
      </c>
      <c r="H186" s="2" t="s">
        <v>1348</v>
      </c>
      <c r="I186" s="2" t="s">
        <v>1349</v>
      </c>
      <c r="J186" s="2" t="s">
        <v>256</v>
      </c>
      <c r="K186" s="2" t="s">
        <v>870</v>
      </c>
      <c r="L186" s="3">
        <v>76.8</v>
      </c>
      <c r="M186" s="3">
        <v>80.63</v>
      </c>
      <c r="N186" s="3">
        <v>159.99</v>
      </c>
      <c r="O186" s="2" t="s">
        <v>230</v>
      </c>
      <c r="P186" s="2" t="s">
        <v>231</v>
      </c>
      <c r="Q186" s="2" t="s">
        <v>232</v>
      </c>
      <c r="R186" s="2" t="s">
        <v>233</v>
      </c>
      <c r="S186" s="2" t="s">
        <v>1350</v>
      </c>
      <c r="T186" s="2" t="s">
        <v>233</v>
      </c>
      <c r="U186" s="2" t="s">
        <v>635</v>
      </c>
      <c r="V186" s="2" t="s">
        <v>782</v>
      </c>
      <c r="W186" s="2" t="s">
        <v>712</v>
      </c>
      <c r="X186" s="2" t="s">
        <v>1351</v>
      </c>
      <c r="Y186" s="2" t="s">
        <v>238</v>
      </c>
      <c r="Z186" s="4">
        <v>458</v>
      </c>
      <c r="AA186" s="4">
        <f>=ROUNDDOWN(57.25,0)</f>
      </c>
      <c r="AB186" s="5">
        <v>8</v>
      </c>
      <c r="AC186" s="2" t="s">
        <v>233</v>
      </c>
      <c r="AD186" s="4"/>
      <c r="AE186" s="4"/>
      <c r="AF186" s="6">
        <v>64</v>
      </c>
      <c r="AG186" s="6">
        <v>47</v>
      </c>
      <c r="AH186" s="7">
        <v>1</v>
      </c>
      <c r="AI186" s="4"/>
      <c r="AJ186" s="4">
        <f>=ROUNDDOWN({0},0)</f>
      </c>
      <c r="AK186" s="5"/>
      <c r="AL186" s="2" t="s">
        <v>233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 t="s">
        <v>233</v>
      </c>
      <c r="BD186" s="8" t="s">
        <v>233</v>
      </c>
      <c r="BE186" s="4" t="s">
        <v>233</v>
      </c>
      <c r="BF186" s="8" t="s">
        <v>233</v>
      </c>
      <c r="BG186" s="7" t="s">
        <v>233</v>
      </c>
      <c r="BH186" s="7" t="s">
        <v>233</v>
      </c>
      <c r="BI186" s="7"/>
      <c r="BJ186" s="4">
        <v>31</v>
      </c>
      <c r="BK186" s="8">
        <v>2446.65</v>
      </c>
      <c r="BL186" s="2" t="s">
        <v>1352</v>
      </c>
      <c r="BM186" s="7"/>
      <c r="BN186" s="7"/>
      <c r="BO186" s="4"/>
      <c r="BP186" s="8"/>
      <c r="BQ186" s="4"/>
      <c r="BR186" s="8"/>
      <c r="BS186" s="7"/>
      <c r="BT186" s="7"/>
      <c r="BU186" s="2" t="s">
        <v>1353</v>
      </c>
      <c r="BV186" s="2" t="s">
        <v>233</v>
      </c>
      <c r="BW186" s="2" t="s">
        <v>233</v>
      </c>
      <c r="BX186" s="2" t="s">
        <v>241</v>
      </c>
      <c r="BY186" s="2" t="s">
        <v>242</v>
      </c>
      <c r="BZ186" s="2" t="s">
        <v>230</v>
      </c>
      <c r="CA186" s="2" t="s">
        <v>1354</v>
      </c>
      <c r="CB186" s="2" t="s">
        <v>1355</v>
      </c>
      <c r="CC186" s="2" t="s">
        <v>245</v>
      </c>
      <c r="CD186" s="2" t="s">
        <v>233</v>
      </c>
      <c r="CE186" s="4">
        <v>375</v>
      </c>
      <c r="CF186" s="4"/>
      <c r="CG186" s="4"/>
      <c r="CH186" s="4">
        <v>83</v>
      </c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>
        <v>464</v>
      </c>
      <c r="GD186" s="4">
        <v>434</v>
      </c>
      <c r="GE186" s="4">
        <v>422</v>
      </c>
      <c r="GF186" s="4">
        <v>409</v>
      </c>
      <c r="GG186" s="4">
        <v>388</v>
      </c>
      <c r="GH186" s="4">
        <v>375</v>
      </c>
      <c r="GI186" s="4">
        <v>363</v>
      </c>
      <c r="GJ186" s="4">
        <v>355</v>
      </c>
      <c r="GK186" s="4">
        <v>348</v>
      </c>
      <c r="GL186" s="4">
        <v>339</v>
      </c>
      <c r="GM186" s="4">
        <v>331</v>
      </c>
      <c r="GN186" s="4">
        <v>323</v>
      </c>
      <c r="GO186" s="4">
        <v>315</v>
      </c>
      <c r="GP186" s="4">
        <v>307</v>
      </c>
      <c r="GQ186" s="4">
        <v>299</v>
      </c>
      <c r="GR186" s="4">
        <v>291</v>
      </c>
      <c r="GS186" s="4">
        <v>283</v>
      </c>
      <c r="GT186" s="4">
        <v>274</v>
      </c>
      <c r="GU186" s="4">
        <v>266</v>
      </c>
      <c r="GV186" s="4">
        <v>258</v>
      </c>
      <c r="GW186" s="4">
        <v>250</v>
      </c>
      <c r="GX186" s="4">
        <v>242</v>
      </c>
      <c r="GY186" s="4">
        <v>234</v>
      </c>
      <c r="GZ186" s="4">
        <v>226</v>
      </c>
      <c r="HA186" s="4">
        <v>218</v>
      </c>
      <c r="HB186" s="4">
        <v>210</v>
      </c>
      <c r="HC186" s="19">
        <v>26</v>
      </c>
      <c r="HD186" s="19">
        <v>35</v>
      </c>
      <c r="HE186" s="19">
        <v>34.1</v>
      </c>
      <c r="HF186" s="19">
        <v>33.1</v>
      </c>
      <c r="HG186" s="19">
        <v>38.2</v>
      </c>
      <c r="HH186" s="19">
        <v>55</v>
      </c>
      <c r="HI186" s="19">
        <v>56</v>
      </c>
      <c r="HJ186" s="19">
        <v>55</v>
      </c>
      <c r="HK186" s="19">
        <v>54</v>
      </c>
      <c r="HL186" s="19">
        <v>53</v>
      </c>
      <c r="HM186" s="19">
        <v>52</v>
      </c>
      <c r="HN186" s="19">
        <v>51</v>
      </c>
      <c r="HO186" s="19">
        <v>50</v>
      </c>
      <c r="HP186" s="19">
        <v>49</v>
      </c>
      <c r="HQ186" s="19">
        <v>48</v>
      </c>
      <c r="HR186" s="19">
        <v>47</v>
      </c>
      <c r="HS186" s="19">
        <v>46</v>
      </c>
      <c r="HT186" s="19">
        <v>44.9</v>
      </c>
      <c r="HU186" s="19">
        <v>43.9</v>
      </c>
      <c r="HV186" s="19">
        <v>42.9</v>
      </c>
      <c r="HW186" s="19">
        <v>41.9</v>
      </c>
      <c r="HX186" s="19">
        <v>40.9</v>
      </c>
      <c r="HY186" s="19">
        <v>39.9</v>
      </c>
      <c r="HZ186" s="19">
        <v>38.9</v>
      </c>
      <c r="IA186" s="19">
        <v>37.9</v>
      </c>
      <c r="IB186" s="19">
        <v>36.9</v>
      </c>
    </row>
    <row r="187">
      <c r="A187" s="2" t="s">
        <v>1356</v>
      </c>
      <c r="B187" s="2" t="s">
        <v>872</v>
      </c>
      <c r="C187" s="2" t="s">
        <v>280</v>
      </c>
      <c r="D187" s="2" t="s">
        <v>261</v>
      </c>
      <c r="E187" s="2" t="s">
        <v>603</v>
      </c>
      <c r="F187" s="2" t="s">
        <v>1346</v>
      </c>
      <c r="G187" s="2" t="s">
        <v>1347</v>
      </c>
      <c r="H187" s="2" t="s">
        <v>1348</v>
      </c>
      <c r="I187" s="2" t="s">
        <v>1349</v>
      </c>
      <c r="J187" s="2" t="s">
        <v>256</v>
      </c>
      <c r="K187" s="2" t="s">
        <v>689</v>
      </c>
      <c r="L187" s="3">
        <v>76.8</v>
      </c>
      <c r="M187" s="3">
        <v>80.63</v>
      </c>
      <c r="N187" s="3">
        <v>159.99</v>
      </c>
      <c r="O187" s="2" t="s">
        <v>230</v>
      </c>
      <c r="P187" s="2" t="s">
        <v>231</v>
      </c>
      <c r="Q187" s="2" t="s">
        <v>232</v>
      </c>
      <c r="R187" s="2" t="s">
        <v>233</v>
      </c>
      <c r="S187" s="2" t="s">
        <v>1357</v>
      </c>
      <c r="T187" s="2" t="s">
        <v>233</v>
      </c>
      <c r="U187" s="2" t="s">
        <v>635</v>
      </c>
      <c r="V187" s="2" t="s">
        <v>782</v>
      </c>
      <c r="W187" s="2" t="s">
        <v>712</v>
      </c>
      <c r="X187" s="2" t="s">
        <v>1351</v>
      </c>
      <c r="Y187" s="2" t="s">
        <v>238</v>
      </c>
      <c r="Z187" s="4">
        <v>698</v>
      </c>
      <c r="AA187" s="4">
        <f>=ROUNDDOWN(58.1666666666667,0)</f>
      </c>
      <c r="AB187" s="5">
        <v>12</v>
      </c>
      <c r="AC187" s="2" t="s">
        <v>233</v>
      </c>
      <c r="AD187" s="4"/>
      <c r="AE187" s="4"/>
      <c r="AF187" s="6">
        <v>64</v>
      </c>
      <c r="AG187" s="6">
        <v>47</v>
      </c>
      <c r="AH187" s="7">
        <v>1</v>
      </c>
      <c r="AI187" s="4"/>
      <c r="AJ187" s="4">
        <f>=ROUNDDOWN({0},0)</f>
      </c>
      <c r="AK187" s="5"/>
      <c r="AL187" s="2" t="s">
        <v>233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233</v>
      </c>
      <c r="AW187" s="8" t="s">
        <v>233</v>
      </c>
      <c r="AX187" s="4" t="s">
        <v>233</v>
      </c>
      <c r="AY187" s="8" t="s">
        <v>233</v>
      </c>
      <c r="AZ187" s="7" t="s">
        <v>233</v>
      </c>
      <c r="BA187" s="7" t="s">
        <v>233</v>
      </c>
      <c r="BB187" s="7"/>
      <c r="BC187" s="4" t="s">
        <v>233</v>
      </c>
      <c r="BD187" s="8" t="s">
        <v>233</v>
      </c>
      <c r="BE187" s="4" t="s">
        <v>233</v>
      </c>
      <c r="BF187" s="8" t="s">
        <v>233</v>
      </c>
      <c r="BG187" s="7" t="s">
        <v>233</v>
      </c>
      <c r="BH187" s="7" t="s">
        <v>233</v>
      </c>
      <c r="BI187" s="7"/>
      <c r="BJ187" s="4">
        <v>50</v>
      </c>
      <c r="BK187" s="8">
        <v>3840</v>
      </c>
      <c r="BL187" s="2" t="s">
        <v>1358</v>
      </c>
      <c r="BM187" s="7"/>
      <c r="BN187" s="7"/>
      <c r="BO187" s="4"/>
      <c r="BP187" s="8"/>
      <c r="BQ187" s="4"/>
      <c r="BR187" s="8"/>
      <c r="BS187" s="7"/>
      <c r="BT187" s="7"/>
      <c r="BU187" s="2" t="s">
        <v>1353</v>
      </c>
      <c r="BV187" s="2" t="s">
        <v>233</v>
      </c>
      <c r="BW187" s="2" t="s">
        <v>233</v>
      </c>
      <c r="BX187" s="2" t="s">
        <v>241</v>
      </c>
      <c r="BY187" s="2" t="s">
        <v>242</v>
      </c>
      <c r="BZ187" s="2" t="s">
        <v>230</v>
      </c>
      <c r="CA187" s="2" t="s">
        <v>243</v>
      </c>
      <c r="CB187" s="2" t="s">
        <v>1359</v>
      </c>
      <c r="CC187" s="2" t="s">
        <v>245</v>
      </c>
      <c r="CD187" s="2" t="s">
        <v>233</v>
      </c>
      <c r="CE187" s="4">
        <v>576</v>
      </c>
      <c r="CF187" s="4"/>
      <c r="CG187" s="4"/>
      <c r="CH187" s="4">
        <v>122</v>
      </c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>
        <v>703</v>
      </c>
      <c r="GD187" s="4">
        <v>675</v>
      </c>
      <c r="GE187" s="4">
        <v>651</v>
      </c>
      <c r="GF187" s="4">
        <v>633</v>
      </c>
      <c r="GG187" s="4">
        <v>602</v>
      </c>
      <c r="GH187" s="4">
        <v>584</v>
      </c>
      <c r="GI187" s="4">
        <v>567</v>
      </c>
      <c r="GJ187" s="4">
        <v>547</v>
      </c>
      <c r="GK187" s="4">
        <v>541</v>
      </c>
      <c r="GL187" s="4">
        <v>531</v>
      </c>
      <c r="GM187" s="4">
        <v>522</v>
      </c>
      <c r="GN187" s="4">
        <v>510</v>
      </c>
      <c r="GO187" s="4">
        <v>498</v>
      </c>
      <c r="GP187" s="4">
        <v>486</v>
      </c>
      <c r="GQ187" s="4">
        <v>474</v>
      </c>
      <c r="GR187" s="4">
        <v>462</v>
      </c>
      <c r="GS187" s="4">
        <v>450</v>
      </c>
      <c r="GT187" s="4">
        <v>437</v>
      </c>
      <c r="GU187" s="4">
        <v>425</v>
      </c>
      <c r="GV187" s="4">
        <v>413</v>
      </c>
      <c r="GW187" s="4">
        <v>401</v>
      </c>
      <c r="GX187" s="4">
        <v>389</v>
      </c>
      <c r="GY187" s="4">
        <v>377</v>
      </c>
      <c r="GZ187" s="4">
        <v>365</v>
      </c>
      <c r="HA187" s="4">
        <v>353</v>
      </c>
      <c r="HB187" s="4">
        <v>341</v>
      </c>
      <c r="HC187" s="19">
        <v>29.1</v>
      </c>
      <c r="HD187" s="19">
        <v>29.6</v>
      </c>
      <c r="HE187" s="19">
        <v>30.2</v>
      </c>
      <c r="HF187" s="19">
        <v>28.5</v>
      </c>
      <c r="HG187" s="19">
        <v>45.6</v>
      </c>
      <c r="HH187" s="19">
        <v>47.6</v>
      </c>
      <c r="HI187" s="19">
        <v>51</v>
      </c>
      <c r="HJ187" s="19">
        <v>52.4</v>
      </c>
      <c r="HK187" s="19">
        <v>48.7</v>
      </c>
      <c r="HL187" s="19">
        <v>47.8</v>
      </c>
      <c r="HM187" s="19">
        <v>44.5</v>
      </c>
      <c r="HN187" s="19">
        <v>43.5</v>
      </c>
      <c r="HO187" s="19">
        <v>42.5</v>
      </c>
      <c r="HP187" s="19">
        <v>41.5</v>
      </c>
      <c r="HQ187" s="19">
        <v>40.5</v>
      </c>
      <c r="HR187" s="19">
        <v>39.5</v>
      </c>
      <c r="HS187" s="19">
        <v>38.5</v>
      </c>
      <c r="HT187" s="19">
        <v>37.5</v>
      </c>
      <c r="HU187" s="19">
        <v>36.5</v>
      </c>
      <c r="HV187" s="19">
        <v>35.5</v>
      </c>
      <c r="HW187" s="19">
        <v>34.5</v>
      </c>
      <c r="HX187" s="19">
        <v>33.5</v>
      </c>
      <c r="HY187" s="19">
        <v>32.5</v>
      </c>
      <c r="HZ187" s="19">
        <v>31.5</v>
      </c>
      <c r="IA187" s="19">
        <v>30.5</v>
      </c>
      <c r="IB187" s="19">
        <v>29.5</v>
      </c>
    </row>
    <row r="188">
      <c r="A188" s="2" t="s">
        <v>1360</v>
      </c>
      <c r="B188" s="2" t="s">
        <v>872</v>
      </c>
      <c r="C188" s="2" t="s">
        <v>280</v>
      </c>
      <c r="D188" s="2" t="s">
        <v>261</v>
      </c>
      <c r="E188" s="2" t="s">
        <v>603</v>
      </c>
      <c r="F188" s="2" t="s">
        <v>1346</v>
      </c>
      <c r="G188" s="2" t="s">
        <v>1347</v>
      </c>
      <c r="H188" s="2" t="s">
        <v>1348</v>
      </c>
      <c r="I188" s="2" t="s">
        <v>1349</v>
      </c>
      <c r="J188" s="2" t="s">
        <v>285</v>
      </c>
      <c r="K188" s="2" t="s">
        <v>689</v>
      </c>
      <c r="L188" s="3">
        <v>76.8</v>
      </c>
      <c r="M188" s="3">
        <v>80.63</v>
      </c>
      <c r="N188" s="3">
        <v>159.99</v>
      </c>
      <c r="O188" s="2" t="s">
        <v>230</v>
      </c>
      <c r="P188" s="2" t="s">
        <v>231</v>
      </c>
      <c r="Q188" s="2" t="s">
        <v>232</v>
      </c>
      <c r="R188" s="2" t="s">
        <v>233</v>
      </c>
      <c r="S188" s="2" t="s">
        <v>1357</v>
      </c>
      <c r="T188" s="2" t="s">
        <v>233</v>
      </c>
      <c r="U188" s="2" t="s">
        <v>635</v>
      </c>
      <c r="V188" s="2" t="s">
        <v>782</v>
      </c>
      <c r="W188" s="2" t="s">
        <v>712</v>
      </c>
      <c r="X188" s="2" t="s">
        <v>1351</v>
      </c>
      <c r="Y188" s="2" t="s">
        <v>238</v>
      </c>
      <c r="Z188" s="4">
        <v>236</v>
      </c>
      <c r="AA188" s="4">
        <f>=ROUNDDOWN(59,0)</f>
      </c>
      <c r="AB188" s="5">
        <v>4</v>
      </c>
      <c r="AC188" s="2" t="s">
        <v>233</v>
      </c>
      <c r="AD188" s="4"/>
      <c r="AE188" s="4"/>
      <c r="AF188" s="6">
        <v>64</v>
      </c>
      <c r="AG188" s="6">
        <v>47</v>
      </c>
      <c r="AH188" s="7">
        <v>1</v>
      </c>
      <c r="AI188" s="4"/>
      <c r="AJ188" s="4">
        <f>=ROUNDDOWN({0},0)</f>
      </c>
      <c r="AK188" s="5"/>
      <c r="AL188" s="2" t="s">
        <v>233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233</v>
      </c>
      <c r="AW188" s="8" t="s">
        <v>233</v>
      </c>
      <c r="AX188" s="4" t="s">
        <v>233</v>
      </c>
      <c r="AY188" s="8" t="s">
        <v>233</v>
      </c>
      <c r="AZ188" s="7" t="s">
        <v>233</v>
      </c>
      <c r="BA188" s="7" t="s">
        <v>233</v>
      </c>
      <c r="BB188" s="7"/>
      <c r="BC188" s="4" t="s">
        <v>233</v>
      </c>
      <c r="BD188" s="8" t="s">
        <v>233</v>
      </c>
      <c r="BE188" s="4" t="s">
        <v>233</v>
      </c>
      <c r="BF188" s="8" t="s">
        <v>233</v>
      </c>
      <c r="BG188" s="7" t="s">
        <v>233</v>
      </c>
      <c r="BH188" s="7" t="s">
        <v>233</v>
      </c>
      <c r="BI188" s="7"/>
      <c r="BJ188" s="4">
        <v>17</v>
      </c>
      <c r="BK188" s="8">
        <v>1273.22</v>
      </c>
      <c r="BL188" s="2" t="s">
        <v>1361</v>
      </c>
      <c r="BM188" s="7"/>
      <c r="BN188" s="7"/>
      <c r="BO188" s="4"/>
      <c r="BP188" s="8"/>
      <c r="BQ188" s="4"/>
      <c r="BR188" s="8"/>
      <c r="BS188" s="7"/>
      <c r="BT188" s="7"/>
      <c r="BU188" s="2" t="s">
        <v>1353</v>
      </c>
      <c r="BV188" s="2" t="s">
        <v>233</v>
      </c>
      <c r="BW188" s="2" t="s">
        <v>233</v>
      </c>
      <c r="BX188" s="2" t="s">
        <v>241</v>
      </c>
      <c r="BY188" s="2" t="s">
        <v>242</v>
      </c>
      <c r="BZ188" s="2" t="s">
        <v>230</v>
      </c>
      <c r="CA188" s="2" t="s">
        <v>243</v>
      </c>
      <c r="CB188" s="2" t="s">
        <v>1362</v>
      </c>
      <c r="CC188" s="2" t="s">
        <v>245</v>
      </c>
      <c r="CD188" s="2" t="s">
        <v>233</v>
      </c>
      <c r="CE188" s="4">
        <v>173</v>
      </c>
      <c r="CF188" s="4"/>
      <c r="CG188" s="4"/>
      <c r="CH188" s="4">
        <v>63</v>
      </c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>
        <v>236</v>
      </c>
      <c r="GD188" s="4">
        <v>220</v>
      </c>
      <c r="GE188" s="4">
        <v>214</v>
      </c>
      <c r="GF188" s="4">
        <v>208</v>
      </c>
      <c r="GG188" s="4">
        <v>198</v>
      </c>
      <c r="GH188" s="4">
        <v>192</v>
      </c>
      <c r="GI188" s="4">
        <v>186</v>
      </c>
      <c r="GJ188" s="4">
        <v>182</v>
      </c>
      <c r="GK188" s="4">
        <v>179</v>
      </c>
      <c r="GL188" s="4">
        <v>175</v>
      </c>
      <c r="GM188" s="4">
        <v>171</v>
      </c>
      <c r="GN188" s="4">
        <v>167</v>
      </c>
      <c r="GO188" s="4">
        <v>163</v>
      </c>
      <c r="GP188" s="4">
        <v>159</v>
      </c>
      <c r="GQ188" s="4">
        <v>155</v>
      </c>
      <c r="GR188" s="4">
        <v>151</v>
      </c>
      <c r="GS188" s="4">
        <v>147</v>
      </c>
      <c r="GT188" s="4">
        <v>143</v>
      </c>
      <c r="GU188" s="4">
        <v>139</v>
      </c>
      <c r="GV188" s="4">
        <v>135</v>
      </c>
      <c r="GW188" s="4">
        <v>131</v>
      </c>
      <c r="GX188" s="4">
        <v>127</v>
      </c>
      <c r="GY188" s="4">
        <v>123</v>
      </c>
      <c r="GZ188" s="4">
        <v>119</v>
      </c>
      <c r="HA188" s="4">
        <v>115</v>
      </c>
      <c r="HB188" s="4">
        <v>111</v>
      </c>
      <c r="HC188" s="19">
        <v>22.9</v>
      </c>
      <c r="HD188" s="19">
        <v>30.9</v>
      </c>
      <c r="HE188" s="19">
        <v>30</v>
      </c>
      <c r="HF188" s="19">
        <v>32.9</v>
      </c>
      <c r="HG188" s="19">
        <v>37.4</v>
      </c>
      <c r="HH188" s="19">
        <v>48.7</v>
      </c>
      <c r="HI188" s="19">
        <v>47</v>
      </c>
      <c r="HJ188" s="19">
        <v>46</v>
      </c>
      <c r="HK188" s="19">
        <v>45.2</v>
      </c>
      <c r="HL188" s="19">
        <v>44.2</v>
      </c>
      <c r="HM188" s="19">
        <v>43.2</v>
      </c>
      <c r="HN188" s="19">
        <v>42.2</v>
      </c>
      <c r="HO188" s="19">
        <v>41.2</v>
      </c>
      <c r="HP188" s="19">
        <v>40.2</v>
      </c>
      <c r="HQ188" s="19">
        <v>39.2</v>
      </c>
      <c r="HR188" s="19">
        <v>38.2</v>
      </c>
      <c r="HS188" s="19">
        <v>37.2</v>
      </c>
      <c r="HT188" s="19">
        <v>36.2</v>
      </c>
      <c r="HU188" s="19">
        <v>35.2</v>
      </c>
      <c r="HV188" s="19">
        <v>34.2</v>
      </c>
      <c r="HW188" s="19">
        <v>33.2</v>
      </c>
      <c r="HX188" s="19">
        <v>32.2</v>
      </c>
      <c r="HY188" s="19">
        <v>31.2</v>
      </c>
      <c r="HZ188" s="19">
        <v>30.2</v>
      </c>
      <c r="IA188" s="19">
        <v>29.2</v>
      </c>
      <c r="IB188" s="19">
        <v>28.2</v>
      </c>
    </row>
    <row r="189">
      <c r="A189" s="2" t="s">
        <v>1363</v>
      </c>
      <c r="B189" s="2" t="s">
        <v>872</v>
      </c>
      <c r="C189" s="2" t="s">
        <v>1171</v>
      </c>
      <c r="D189" s="2" t="s">
        <v>1172</v>
      </c>
      <c r="E189" s="2" t="s">
        <v>1173</v>
      </c>
      <c r="F189" s="2" t="s">
        <v>1364</v>
      </c>
      <c r="G189" s="2" t="s">
        <v>1364</v>
      </c>
      <c r="H189" s="2" t="s">
        <v>1364</v>
      </c>
      <c r="I189" s="2" t="s">
        <v>1365</v>
      </c>
      <c r="J189" s="2" t="s">
        <v>1366</v>
      </c>
      <c r="K189" s="2" t="s">
        <v>1177</v>
      </c>
      <c r="L189" s="3">
        <v>24.76</v>
      </c>
      <c r="M189" s="3">
        <v>26</v>
      </c>
      <c r="N189" s="3">
        <v>79.99</v>
      </c>
      <c r="O189" s="2" t="s">
        <v>230</v>
      </c>
      <c r="P189" s="2" t="s">
        <v>721</v>
      </c>
      <c r="Q189" s="2" t="s">
        <v>232</v>
      </c>
      <c r="R189" s="2" t="s">
        <v>233</v>
      </c>
      <c r="S189" s="2" t="s">
        <v>233</v>
      </c>
      <c r="T189" s="2" t="s">
        <v>233</v>
      </c>
      <c r="U189" s="2" t="s">
        <v>329</v>
      </c>
      <c r="V189" s="2" t="s">
        <v>1178</v>
      </c>
      <c r="W189" s="2" t="s">
        <v>818</v>
      </c>
      <c r="X189" s="2" t="s">
        <v>233</v>
      </c>
      <c r="Y189" s="2" t="s">
        <v>1042</v>
      </c>
      <c r="Z189" s="4">
        <v>158</v>
      </c>
      <c r="AA189" s="4">
        <f>=ROUNDDOWN(112.857142857143,0)</f>
      </c>
      <c r="AB189" s="5">
        <v>1.4</v>
      </c>
      <c r="AC189" s="2" t="s">
        <v>233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233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/>
      <c r="BD189" s="8"/>
      <c r="BE189" s="4"/>
      <c r="BF189" s="8"/>
      <c r="BG189" s="7"/>
      <c r="BH189" s="7"/>
      <c r="BI189" s="7"/>
      <c r="BJ189" s="4">
        <v>1</v>
      </c>
      <c r="BK189" s="8">
        <v>28.47</v>
      </c>
      <c r="BL189" s="2" t="s">
        <v>351</v>
      </c>
      <c r="BM189" s="7"/>
      <c r="BN189" s="7"/>
      <c r="BO189" s="4"/>
      <c r="BP189" s="8"/>
      <c r="BQ189" s="4"/>
      <c r="BR189" s="8"/>
      <c r="BS189" s="7"/>
      <c r="BT189" s="7"/>
      <c r="BU189" s="2" t="s">
        <v>1367</v>
      </c>
      <c r="BV189" s="2" t="s">
        <v>233</v>
      </c>
      <c r="BW189" s="2" t="s">
        <v>233</v>
      </c>
      <c r="BX189" s="2" t="s">
        <v>241</v>
      </c>
      <c r="BY189" s="2" t="s">
        <v>242</v>
      </c>
      <c r="BZ189" s="2" t="s">
        <v>230</v>
      </c>
      <c r="CA189" s="2" t="s">
        <v>1368</v>
      </c>
      <c r="CB189" s="2" t="s">
        <v>1369</v>
      </c>
      <c r="CC189" s="2" t="s">
        <v>245</v>
      </c>
      <c r="CD189" s="2" t="s">
        <v>233</v>
      </c>
      <c r="CE189" s="4">
        <v>158</v>
      </c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>
        <v>160</v>
      </c>
      <c r="GD189" s="4">
        <v>157</v>
      </c>
      <c r="GE189" s="4">
        <v>155</v>
      </c>
      <c r="GF189" s="4">
        <v>153</v>
      </c>
      <c r="GG189" s="4">
        <v>150</v>
      </c>
      <c r="GH189" s="4">
        <v>148</v>
      </c>
      <c r="GI189" s="4">
        <v>146</v>
      </c>
      <c r="GJ189" s="4">
        <v>145</v>
      </c>
      <c r="GK189" s="4">
        <v>144</v>
      </c>
      <c r="GL189" s="4">
        <v>143</v>
      </c>
      <c r="GM189" s="4">
        <v>142</v>
      </c>
      <c r="GN189" s="4">
        <v>141</v>
      </c>
      <c r="GO189" s="4">
        <v>140</v>
      </c>
      <c r="GP189" s="4">
        <v>139</v>
      </c>
      <c r="GQ189" s="4">
        <v>138</v>
      </c>
      <c r="GR189" s="4">
        <v>137</v>
      </c>
      <c r="GS189" s="4">
        <v>136</v>
      </c>
      <c r="GT189" s="4">
        <v>135</v>
      </c>
      <c r="GU189" s="4">
        <v>134</v>
      </c>
      <c r="GV189" s="4">
        <v>133</v>
      </c>
      <c r="GW189" s="4">
        <v>132</v>
      </c>
      <c r="GX189" s="4">
        <v>131</v>
      </c>
      <c r="GY189" s="4">
        <v>130</v>
      </c>
      <c r="GZ189" s="4">
        <v>129</v>
      </c>
      <c r="HA189" s="4">
        <v>128</v>
      </c>
      <c r="HB189" s="4">
        <v>127</v>
      </c>
      <c r="HC189" s="19">
        <v>80</v>
      </c>
      <c r="HD189" s="19">
        <v>78.5</v>
      </c>
      <c r="HE189" s="19">
        <v>77.5</v>
      </c>
      <c r="HF189" s="19">
        <v>76.5</v>
      </c>
      <c r="HG189" s="19">
        <v>75</v>
      </c>
      <c r="HH189" s="19">
        <v>148</v>
      </c>
      <c r="HI189" s="19">
        <v>146</v>
      </c>
      <c r="HJ189" s="19">
        <v>145</v>
      </c>
      <c r="HK189" s="19">
        <v>144</v>
      </c>
      <c r="HL189" s="19">
        <v>143</v>
      </c>
      <c r="HM189" s="19">
        <v>142</v>
      </c>
      <c r="HN189" s="19">
        <v>141</v>
      </c>
      <c r="HO189" s="19">
        <v>140</v>
      </c>
      <c r="HP189" s="19">
        <v>139</v>
      </c>
      <c r="HQ189" s="19">
        <v>138</v>
      </c>
      <c r="HR189" s="19">
        <v>137</v>
      </c>
      <c r="HS189" s="19">
        <v>136</v>
      </c>
      <c r="HT189" s="19">
        <v>135</v>
      </c>
      <c r="HU189" s="19">
        <v>134</v>
      </c>
      <c r="HV189" s="19">
        <v>133</v>
      </c>
      <c r="HW189" s="19">
        <v>132</v>
      </c>
      <c r="HX189" s="19">
        <v>131</v>
      </c>
      <c r="HY189" s="19">
        <v>130</v>
      </c>
      <c r="HZ189" s="19">
        <v>129</v>
      </c>
      <c r="IA189" s="19">
        <v>128</v>
      </c>
      <c r="IB189" s="19">
        <v>127</v>
      </c>
    </row>
    <row r="190">
      <c r="A190" s="2" t="s">
        <v>1370</v>
      </c>
      <c r="B190" s="2" t="s">
        <v>923</v>
      </c>
      <c r="C190" s="2" t="s">
        <v>280</v>
      </c>
      <c r="D190" s="2" t="s">
        <v>924</v>
      </c>
      <c r="E190" s="2" t="s">
        <v>925</v>
      </c>
      <c r="F190" s="2" t="s">
        <v>1371</v>
      </c>
      <c r="G190" s="2" t="s">
        <v>1372</v>
      </c>
      <c r="H190" s="2" t="s">
        <v>1373</v>
      </c>
      <c r="I190" s="2" t="s">
        <v>1374</v>
      </c>
      <c r="J190" s="2" t="s">
        <v>968</v>
      </c>
      <c r="K190" s="2" t="s">
        <v>300</v>
      </c>
      <c r="L190" s="3">
        <v>25.3</v>
      </c>
      <c r="M190" s="3">
        <v>26.56</v>
      </c>
      <c r="N190" s="3">
        <v>54.99</v>
      </c>
      <c r="O190" s="2" t="s">
        <v>230</v>
      </c>
      <c r="P190" s="2" t="s">
        <v>231</v>
      </c>
      <c r="Q190" s="2" t="s">
        <v>232</v>
      </c>
      <c r="R190" s="2" t="s">
        <v>233</v>
      </c>
      <c r="S190" s="2" t="s">
        <v>1375</v>
      </c>
      <c r="T190" s="2" t="s">
        <v>233</v>
      </c>
      <c r="U190" s="2" t="s">
        <v>329</v>
      </c>
      <c r="V190" s="2" t="s">
        <v>782</v>
      </c>
      <c r="W190" s="2" t="s">
        <v>620</v>
      </c>
      <c r="X190" s="2" t="s">
        <v>233</v>
      </c>
      <c r="Y190" s="2" t="s">
        <v>1376</v>
      </c>
      <c r="Z190" s="4">
        <v>393</v>
      </c>
      <c r="AA190" s="4">
        <f>=ROUNDDOWN(49.125,0)</f>
      </c>
      <c r="AB190" s="5">
        <v>8</v>
      </c>
      <c r="AC190" s="2" t="s">
        <v>233</v>
      </c>
      <c r="AD190" s="4"/>
      <c r="AE190" s="4"/>
      <c r="AF190" s="6">
        <v>69</v>
      </c>
      <c r="AG190" s="6"/>
      <c r="AH190" s="7">
        <v>1</v>
      </c>
      <c r="AI190" s="4"/>
      <c r="AJ190" s="4">
        <f>=ROUNDDOWN({0},0)</f>
      </c>
      <c r="AK190" s="5"/>
      <c r="AL190" s="2" t="s">
        <v>233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/>
      <c r="BD190" s="8"/>
      <c r="BE190" s="4"/>
      <c r="BF190" s="8"/>
      <c r="BG190" s="7"/>
      <c r="BH190" s="7"/>
      <c r="BI190" s="7"/>
      <c r="BJ190" s="4">
        <v>7</v>
      </c>
      <c r="BK190" s="8">
        <v>194.3</v>
      </c>
      <c r="BL190" s="2" t="s">
        <v>1377</v>
      </c>
      <c r="BM190" s="7"/>
      <c r="BN190" s="7"/>
      <c r="BO190" s="4"/>
      <c r="BP190" s="8"/>
      <c r="BQ190" s="4"/>
      <c r="BR190" s="8"/>
      <c r="BS190" s="7"/>
      <c r="BT190" s="7"/>
      <c r="BU190" s="2" t="s">
        <v>1378</v>
      </c>
      <c r="BV190" s="2" t="s">
        <v>233</v>
      </c>
      <c r="BW190" s="2" t="s">
        <v>233</v>
      </c>
      <c r="BX190" s="2" t="s">
        <v>624</v>
      </c>
      <c r="BY190" s="2" t="s">
        <v>242</v>
      </c>
      <c r="BZ190" s="2" t="s">
        <v>230</v>
      </c>
      <c r="CA190" s="2" t="s">
        <v>1379</v>
      </c>
      <c r="CB190" s="2" t="s">
        <v>1380</v>
      </c>
      <c r="CC190" s="2" t="s">
        <v>245</v>
      </c>
      <c r="CD190" s="2" t="s">
        <v>233</v>
      </c>
      <c r="CE190" s="4">
        <v>393</v>
      </c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>
        <v>402</v>
      </c>
      <c r="GD190" s="4">
        <v>392</v>
      </c>
      <c r="GE190" s="4">
        <v>385</v>
      </c>
      <c r="GF190" s="4">
        <v>379</v>
      </c>
      <c r="GG190" s="4">
        <v>368</v>
      </c>
      <c r="GH190" s="4">
        <v>360</v>
      </c>
      <c r="GI190" s="4">
        <v>350</v>
      </c>
      <c r="GJ190" s="4">
        <v>343</v>
      </c>
      <c r="GK190" s="4">
        <v>337</v>
      </c>
      <c r="GL190" s="4">
        <v>328</v>
      </c>
      <c r="GM190" s="4">
        <v>320</v>
      </c>
      <c r="GN190" s="4">
        <v>312</v>
      </c>
      <c r="GO190" s="4">
        <v>304</v>
      </c>
      <c r="GP190" s="4">
        <v>296</v>
      </c>
      <c r="GQ190" s="4">
        <v>288</v>
      </c>
      <c r="GR190" s="4">
        <v>280</v>
      </c>
      <c r="GS190" s="4">
        <v>272</v>
      </c>
      <c r="GT190" s="4">
        <v>263</v>
      </c>
      <c r="GU190" s="4">
        <v>255</v>
      </c>
      <c r="GV190" s="4">
        <v>247</v>
      </c>
      <c r="GW190" s="4">
        <v>239</v>
      </c>
      <c r="GX190" s="4">
        <v>231</v>
      </c>
      <c r="GY190" s="4">
        <v>223</v>
      </c>
      <c r="GZ190" s="4">
        <v>215</v>
      </c>
      <c r="HA190" s="4">
        <v>207</v>
      </c>
      <c r="HB190" s="4">
        <v>199</v>
      </c>
      <c r="HC190" s="19">
        <v>50.3</v>
      </c>
      <c r="HD190" s="19">
        <v>49</v>
      </c>
      <c r="HE190" s="19">
        <v>42.8</v>
      </c>
      <c r="HF190" s="19">
        <v>42.1</v>
      </c>
      <c r="HG190" s="19">
        <v>46</v>
      </c>
      <c r="HH190" s="19">
        <v>45</v>
      </c>
      <c r="HI190" s="19">
        <v>43.8</v>
      </c>
      <c r="HJ190" s="19">
        <v>42.9</v>
      </c>
      <c r="HK190" s="19">
        <v>42.1</v>
      </c>
      <c r="HL190" s="19">
        <v>41</v>
      </c>
      <c r="HM190" s="19">
        <v>40</v>
      </c>
      <c r="HN190" s="19">
        <v>39</v>
      </c>
      <c r="HO190" s="19">
        <v>38</v>
      </c>
      <c r="HP190" s="19">
        <v>37</v>
      </c>
      <c r="HQ190" s="19">
        <v>36</v>
      </c>
      <c r="HR190" s="19">
        <v>35</v>
      </c>
      <c r="HS190" s="19">
        <v>34</v>
      </c>
      <c r="HT190" s="19">
        <v>32.9</v>
      </c>
      <c r="HU190" s="19">
        <v>31.9</v>
      </c>
      <c r="HV190" s="19">
        <v>30.9</v>
      </c>
      <c r="HW190" s="19">
        <v>29.9</v>
      </c>
      <c r="HX190" s="19">
        <v>28.9</v>
      </c>
      <c r="HY190" s="19">
        <v>27.9</v>
      </c>
      <c r="HZ190" s="19">
        <v>26.9</v>
      </c>
      <c r="IA190" s="19">
        <v>25.9</v>
      </c>
      <c r="IB190" s="19">
        <v>24.9</v>
      </c>
    </row>
    <row r="191">
      <c r="A191" s="2" t="s">
        <v>1381</v>
      </c>
      <c r="B191" s="2" t="s">
        <v>872</v>
      </c>
      <c r="C191" s="2" t="s">
        <v>280</v>
      </c>
      <c r="D191" s="2" t="s">
        <v>261</v>
      </c>
      <c r="E191" s="2" t="s">
        <v>603</v>
      </c>
      <c r="F191" s="2" t="s">
        <v>1382</v>
      </c>
      <c r="G191" s="2" t="s">
        <v>987</v>
      </c>
      <c r="H191" s="2" t="s">
        <v>1383</v>
      </c>
      <c r="I191" s="2" t="s">
        <v>1384</v>
      </c>
      <c r="J191" s="2" t="s">
        <v>256</v>
      </c>
      <c r="K191" s="2" t="s">
        <v>300</v>
      </c>
      <c r="L191" s="3">
        <v>72.53</v>
      </c>
      <c r="M191" s="3">
        <v>76.16</v>
      </c>
      <c r="N191" s="3">
        <v>144.99</v>
      </c>
      <c r="O191" s="2" t="s">
        <v>230</v>
      </c>
      <c r="P191" s="2" t="s">
        <v>231</v>
      </c>
      <c r="Q191" s="2" t="s">
        <v>232</v>
      </c>
      <c r="R191" s="2" t="s">
        <v>233</v>
      </c>
      <c r="S191" s="2" t="s">
        <v>1385</v>
      </c>
      <c r="T191" s="2" t="s">
        <v>233</v>
      </c>
      <c r="U191" s="2" t="s">
        <v>635</v>
      </c>
      <c r="V191" s="2" t="s">
        <v>945</v>
      </c>
      <c r="W191" s="2" t="s">
        <v>712</v>
      </c>
      <c r="X191" s="2" t="s">
        <v>1386</v>
      </c>
      <c r="Y191" s="2" t="s">
        <v>238</v>
      </c>
      <c r="Z191" s="4">
        <v>439</v>
      </c>
      <c r="AA191" s="4">
        <f>=ROUNDDOWN(48.7777777777778,0)</f>
      </c>
      <c r="AB191" s="5">
        <v>9</v>
      </c>
      <c r="AC191" s="2" t="s">
        <v>233</v>
      </c>
      <c r="AD191" s="4"/>
      <c r="AE191" s="4"/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233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 t="s">
        <v>233</v>
      </c>
      <c r="BD191" s="8" t="s">
        <v>233</v>
      </c>
      <c r="BE191" s="4" t="s">
        <v>233</v>
      </c>
      <c r="BF191" s="8" t="s">
        <v>233</v>
      </c>
      <c r="BG191" s="7" t="s">
        <v>233</v>
      </c>
      <c r="BH191" s="7" t="s">
        <v>233</v>
      </c>
      <c r="BI191" s="7"/>
      <c r="BJ191" s="4">
        <v>36</v>
      </c>
      <c r="BK191" s="8">
        <v>2849.91</v>
      </c>
      <c r="BL191" s="2" t="s">
        <v>1387</v>
      </c>
      <c r="BM191" s="7"/>
      <c r="BN191" s="7"/>
      <c r="BO191" s="4"/>
      <c r="BP191" s="8"/>
      <c r="BQ191" s="4"/>
      <c r="BR191" s="8"/>
      <c r="BS191" s="7"/>
      <c r="BT191" s="7"/>
      <c r="BU191" s="2" t="s">
        <v>1388</v>
      </c>
      <c r="BV191" s="2" t="s">
        <v>233</v>
      </c>
      <c r="BW191" s="2" t="s">
        <v>233</v>
      </c>
      <c r="BX191" s="2" t="s">
        <v>241</v>
      </c>
      <c r="BY191" s="2" t="s">
        <v>242</v>
      </c>
      <c r="BZ191" s="2" t="s">
        <v>230</v>
      </c>
      <c r="CA191" s="2" t="s">
        <v>243</v>
      </c>
      <c r="CB191" s="2" t="s">
        <v>1126</v>
      </c>
      <c r="CC191" s="2" t="s">
        <v>245</v>
      </c>
      <c r="CD191" s="2" t="s">
        <v>233</v>
      </c>
      <c r="CE191" s="4">
        <v>421</v>
      </c>
      <c r="CF191" s="4"/>
      <c r="CG191" s="4"/>
      <c r="CH191" s="4">
        <v>1</v>
      </c>
      <c r="CI191" s="4"/>
      <c r="CJ191" s="4"/>
      <c r="CK191" s="4">
        <v>17</v>
      </c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>
        <v>444</v>
      </c>
      <c r="GD191" s="4">
        <v>393</v>
      </c>
      <c r="GE191" s="4">
        <v>377</v>
      </c>
      <c r="GF191" s="4">
        <v>362</v>
      </c>
      <c r="GG191" s="4">
        <v>335</v>
      </c>
      <c r="GH191" s="4">
        <v>320</v>
      </c>
      <c r="GI191" s="4">
        <v>307</v>
      </c>
      <c r="GJ191" s="4">
        <v>299</v>
      </c>
      <c r="GK191" s="4">
        <v>292</v>
      </c>
      <c r="GL191" s="4">
        <v>282</v>
      </c>
      <c r="GM191" s="4">
        <v>273</v>
      </c>
      <c r="GN191" s="4">
        <v>264</v>
      </c>
      <c r="GO191" s="4">
        <v>255</v>
      </c>
      <c r="GP191" s="4">
        <v>246</v>
      </c>
      <c r="GQ191" s="4">
        <v>237</v>
      </c>
      <c r="GR191" s="4">
        <v>228</v>
      </c>
      <c r="GS191" s="4">
        <v>219</v>
      </c>
      <c r="GT191" s="4">
        <v>209</v>
      </c>
      <c r="GU191" s="4">
        <v>200</v>
      </c>
      <c r="GV191" s="4">
        <v>191</v>
      </c>
      <c r="GW191" s="4">
        <v>182</v>
      </c>
      <c r="GX191" s="4">
        <v>173</v>
      </c>
      <c r="GY191" s="4">
        <v>164</v>
      </c>
      <c r="GZ191" s="4">
        <v>155</v>
      </c>
      <c r="HA191" s="4">
        <v>146</v>
      </c>
      <c r="HB191" s="4">
        <v>137</v>
      </c>
      <c r="HC191" s="19">
        <v>16.4</v>
      </c>
      <c r="HD191" s="19">
        <v>21.8</v>
      </c>
      <c r="HE191" s="19">
        <v>20.9</v>
      </c>
      <c r="HF191" s="19">
        <v>22.6</v>
      </c>
      <c r="HG191" s="19">
        <v>30.5</v>
      </c>
      <c r="HH191" s="19">
        <v>32</v>
      </c>
      <c r="HI191" s="19">
        <v>38.4</v>
      </c>
      <c r="HJ191" s="19">
        <v>33.2</v>
      </c>
      <c r="HK191" s="19">
        <v>32.4</v>
      </c>
      <c r="HL191" s="19">
        <v>31.3</v>
      </c>
      <c r="HM191" s="19">
        <v>30.3</v>
      </c>
      <c r="HN191" s="19">
        <v>29.3</v>
      </c>
      <c r="HO191" s="19">
        <v>28.3</v>
      </c>
      <c r="HP191" s="19">
        <v>27.3</v>
      </c>
      <c r="HQ191" s="19">
        <v>26.3</v>
      </c>
      <c r="HR191" s="19">
        <v>25.3</v>
      </c>
      <c r="HS191" s="19">
        <v>24.3</v>
      </c>
      <c r="HT191" s="19">
        <v>23.2</v>
      </c>
      <c r="HU191" s="19">
        <v>22.2</v>
      </c>
      <c r="HV191" s="19">
        <v>21.2</v>
      </c>
      <c r="HW191" s="19">
        <v>20.2</v>
      </c>
      <c r="HX191" s="19">
        <v>19.2</v>
      </c>
      <c r="HY191" s="19">
        <v>18.2</v>
      </c>
      <c r="HZ191" s="19">
        <v>17.2</v>
      </c>
      <c r="IA191" s="19">
        <v>16.2</v>
      </c>
      <c r="IB191" s="19">
        <v>15.2</v>
      </c>
    </row>
    <row r="192">
      <c r="A192" s="2" t="s">
        <v>1389</v>
      </c>
      <c r="B192" s="2" t="s">
        <v>872</v>
      </c>
      <c r="C192" s="2" t="s">
        <v>280</v>
      </c>
      <c r="D192" s="2" t="s">
        <v>261</v>
      </c>
      <c r="E192" s="2" t="s">
        <v>603</v>
      </c>
      <c r="F192" s="2" t="s">
        <v>1382</v>
      </c>
      <c r="G192" s="2" t="s">
        <v>987</v>
      </c>
      <c r="H192" s="2" t="s">
        <v>1383</v>
      </c>
      <c r="I192" s="2" t="s">
        <v>1384</v>
      </c>
      <c r="J192" s="2" t="s">
        <v>256</v>
      </c>
      <c r="K192" s="2" t="s">
        <v>870</v>
      </c>
      <c r="L192" s="3">
        <v>72.53</v>
      </c>
      <c r="M192" s="3">
        <v>76.16</v>
      </c>
      <c r="N192" s="3">
        <v>144.99</v>
      </c>
      <c r="O192" s="2" t="s">
        <v>230</v>
      </c>
      <c r="P192" s="2" t="s">
        <v>231</v>
      </c>
      <c r="Q192" s="2" t="s">
        <v>232</v>
      </c>
      <c r="R192" s="2" t="s">
        <v>233</v>
      </c>
      <c r="S192" s="2" t="s">
        <v>1390</v>
      </c>
      <c r="T192" s="2" t="s">
        <v>233</v>
      </c>
      <c r="U192" s="2" t="s">
        <v>635</v>
      </c>
      <c r="V192" s="2" t="s">
        <v>945</v>
      </c>
      <c r="W192" s="2" t="s">
        <v>712</v>
      </c>
      <c r="X192" s="2" t="s">
        <v>1386</v>
      </c>
      <c r="Y192" s="2" t="s">
        <v>1391</v>
      </c>
      <c r="Z192" s="4">
        <v>261</v>
      </c>
      <c r="AA192" s="4">
        <f>=ROUNDDOWN(29,0)</f>
      </c>
      <c r="AB192" s="5">
        <v>9</v>
      </c>
      <c r="AC192" s="2" t="s">
        <v>1043</v>
      </c>
      <c r="AD192" s="4">
        <v>60</v>
      </c>
      <c r="AE192" s="4">
        <v>60</v>
      </c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233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233</v>
      </c>
      <c r="AW192" s="8" t="s">
        <v>233</v>
      </c>
      <c r="AX192" s="4" t="s">
        <v>233</v>
      </c>
      <c r="AY192" s="8" t="s">
        <v>233</v>
      </c>
      <c r="AZ192" s="7" t="s">
        <v>233</v>
      </c>
      <c r="BA192" s="7" t="s">
        <v>233</v>
      </c>
      <c r="BB192" s="7"/>
      <c r="BC192" s="4" t="s">
        <v>233</v>
      </c>
      <c r="BD192" s="8" t="s">
        <v>233</v>
      </c>
      <c r="BE192" s="4" t="s">
        <v>233</v>
      </c>
      <c r="BF192" s="8" t="s">
        <v>233</v>
      </c>
      <c r="BG192" s="7" t="s">
        <v>233</v>
      </c>
      <c r="BH192" s="7" t="s">
        <v>233</v>
      </c>
      <c r="BI192" s="7"/>
      <c r="BJ192" s="4">
        <v>56</v>
      </c>
      <c r="BK192" s="8">
        <v>4449.01</v>
      </c>
      <c r="BL192" s="2" t="s">
        <v>1392</v>
      </c>
      <c r="BM192" s="7"/>
      <c r="BN192" s="7"/>
      <c r="BO192" s="4"/>
      <c r="BP192" s="8"/>
      <c r="BQ192" s="4"/>
      <c r="BR192" s="8"/>
      <c r="BS192" s="7"/>
      <c r="BT192" s="7"/>
      <c r="BU192" s="2" t="s">
        <v>1388</v>
      </c>
      <c r="BV192" s="2" t="s">
        <v>233</v>
      </c>
      <c r="BW192" s="2" t="s">
        <v>233</v>
      </c>
      <c r="BX192" s="2" t="s">
        <v>241</v>
      </c>
      <c r="BY192" s="2" t="s">
        <v>242</v>
      </c>
      <c r="BZ192" s="2" t="s">
        <v>230</v>
      </c>
      <c r="CA192" s="2" t="s">
        <v>487</v>
      </c>
      <c r="CB192" s="2" t="s">
        <v>1393</v>
      </c>
      <c r="CC192" s="2" t="s">
        <v>245</v>
      </c>
      <c r="CD192" s="2" t="s">
        <v>233</v>
      </c>
      <c r="CE192" s="4">
        <v>261</v>
      </c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>
        <v>60</v>
      </c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>
        <v>267</v>
      </c>
      <c r="GD192" s="4">
        <v>240</v>
      </c>
      <c r="GE192" s="4">
        <v>227</v>
      </c>
      <c r="GF192" s="4">
        <v>212</v>
      </c>
      <c r="GG192" s="4">
        <v>185</v>
      </c>
      <c r="GH192" s="4">
        <v>170</v>
      </c>
      <c r="GI192" s="4">
        <v>157</v>
      </c>
      <c r="GJ192" s="4">
        <v>149</v>
      </c>
      <c r="GK192" s="4">
        <v>142</v>
      </c>
      <c r="GL192" s="4">
        <v>132</v>
      </c>
      <c r="GM192" s="4">
        <v>123</v>
      </c>
      <c r="GN192" s="4">
        <v>114</v>
      </c>
      <c r="GO192" s="4">
        <v>105</v>
      </c>
      <c r="GP192" s="4">
        <v>96</v>
      </c>
      <c r="GQ192" s="4">
        <v>147</v>
      </c>
      <c r="GR192" s="4">
        <v>138</v>
      </c>
      <c r="GS192" s="4">
        <v>129</v>
      </c>
      <c r="GT192" s="4">
        <v>119</v>
      </c>
      <c r="GU192" s="4">
        <v>110</v>
      </c>
      <c r="GV192" s="4">
        <v>101</v>
      </c>
      <c r="GW192" s="4">
        <v>92</v>
      </c>
      <c r="GX192" s="4">
        <v>83</v>
      </c>
      <c r="GY192" s="4">
        <v>74</v>
      </c>
      <c r="GZ192" s="4">
        <v>65</v>
      </c>
      <c r="HA192" s="4">
        <v>56</v>
      </c>
      <c r="HB192" s="4">
        <v>167</v>
      </c>
      <c r="HC192" s="19">
        <v>13.4</v>
      </c>
      <c r="HD192" s="19">
        <v>13.3</v>
      </c>
      <c r="HE192" s="19">
        <v>12.6</v>
      </c>
      <c r="HF192" s="19">
        <v>13.3</v>
      </c>
      <c r="HG192" s="19">
        <v>16.8</v>
      </c>
      <c r="HH192" s="19">
        <v>17</v>
      </c>
      <c r="HI192" s="19">
        <v>19.6</v>
      </c>
      <c r="HJ192" s="19">
        <v>16.6</v>
      </c>
      <c r="HK192" s="19">
        <v>15.8</v>
      </c>
      <c r="HL192" s="19">
        <v>14.7</v>
      </c>
      <c r="HM192" s="19">
        <v>13.7</v>
      </c>
      <c r="HN192" s="19">
        <v>12.7</v>
      </c>
      <c r="HO192" s="19">
        <v>11.7</v>
      </c>
      <c r="HP192" s="19">
        <v>10.7</v>
      </c>
      <c r="HQ192" s="19">
        <v>16.3</v>
      </c>
      <c r="HR192" s="19">
        <v>15.3</v>
      </c>
      <c r="HS192" s="19">
        <v>14.3</v>
      </c>
      <c r="HT192" s="19">
        <v>13.2</v>
      </c>
      <c r="HU192" s="19">
        <v>12.2</v>
      </c>
      <c r="HV192" s="19">
        <v>11.2</v>
      </c>
      <c r="HW192" s="19">
        <v>10.2</v>
      </c>
      <c r="HX192" s="19">
        <v>9.2</v>
      </c>
      <c r="HY192" s="19">
        <v>8.2</v>
      </c>
      <c r="HZ192" s="19">
        <v>7.2</v>
      </c>
      <c r="IA192" s="19">
        <v>6.2</v>
      </c>
      <c r="IB192" s="19">
        <v>18.6</v>
      </c>
    </row>
    <row r="193">
      <c r="A193" s="2" t="s">
        <v>1394</v>
      </c>
      <c r="B193" s="2" t="s">
        <v>872</v>
      </c>
      <c r="C193" s="2" t="s">
        <v>280</v>
      </c>
      <c r="D193" s="2" t="s">
        <v>261</v>
      </c>
      <c r="E193" s="2" t="s">
        <v>603</v>
      </c>
      <c r="F193" s="2" t="s">
        <v>1382</v>
      </c>
      <c r="G193" s="2" t="s">
        <v>987</v>
      </c>
      <c r="H193" s="2" t="s">
        <v>1383</v>
      </c>
      <c r="I193" s="2" t="s">
        <v>1384</v>
      </c>
      <c r="J193" s="2" t="s">
        <v>285</v>
      </c>
      <c r="K193" s="2" t="s">
        <v>870</v>
      </c>
      <c r="L193" s="3">
        <v>72.53</v>
      </c>
      <c r="M193" s="3">
        <v>76.16</v>
      </c>
      <c r="N193" s="3">
        <v>144.99</v>
      </c>
      <c r="O193" s="2" t="s">
        <v>230</v>
      </c>
      <c r="P193" s="2" t="s">
        <v>231</v>
      </c>
      <c r="Q193" s="2" t="s">
        <v>232</v>
      </c>
      <c r="R193" s="2" t="s">
        <v>233</v>
      </c>
      <c r="S193" s="2" t="s">
        <v>1390</v>
      </c>
      <c r="T193" s="2" t="s">
        <v>233</v>
      </c>
      <c r="U193" s="2" t="s">
        <v>635</v>
      </c>
      <c r="V193" s="2" t="s">
        <v>945</v>
      </c>
      <c r="W193" s="2" t="s">
        <v>712</v>
      </c>
      <c r="X193" s="2" t="s">
        <v>1386</v>
      </c>
      <c r="Y193" s="2" t="s">
        <v>1391</v>
      </c>
      <c r="Z193" s="4">
        <v>174</v>
      </c>
      <c r="AA193" s="4">
        <f>=ROUNDDOWN(58,0)</f>
      </c>
      <c r="AB193" s="5">
        <v>3</v>
      </c>
      <c r="AC193" s="2" t="s">
        <v>233</v>
      </c>
      <c r="AD193" s="4"/>
      <c r="AE193" s="4"/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233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233</v>
      </c>
      <c r="AW193" s="8" t="s">
        <v>233</v>
      </c>
      <c r="AX193" s="4" t="s">
        <v>233</v>
      </c>
      <c r="AY193" s="8" t="s">
        <v>233</v>
      </c>
      <c r="AZ193" s="7" t="s">
        <v>233</v>
      </c>
      <c r="BA193" s="7" t="s">
        <v>233</v>
      </c>
      <c r="BB193" s="7"/>
      <c r="BC193" s="4" t="s">
        <v>233</v>
      </c>
      <c r="BD193" s="8" t="s">
        <v>233</v>
      </c>
      <c r="BE193" s="4" t="s">
        <v>233</v>
      </c>
      <c r="BF193" s="8" t="s">
        <v>233</v>
      </c>
      <c r="BG193" s="7" t="s">
        <v>233</v>
      </c>
      <c r="BH193" s="7" t="s">
        <v>233</v>
      </c>
      <c r="BI193" s="7"/>
      <c r="BJ193" s="4">
        <v>15</v>
      </c>
      <c r="BK193" s="8">
        <v>1188.06</v>
      </c>
      <c r="BL193" s="2" t="s">
        <v>1395</v>
      </c>
      <c r="BM193" s="7"/>
      <c r="BN193" s="7"/>
      <c r="BO193" s="4"/>
      <c r="BP193" s="8"/>
      <c r="BQ193" s="4"/>
      <c r="BR193" s="8"/>
      <c r="BS193" s="7"/>
      <c r="BT193" s="7"/>
      <c r="BU193" s="2" t="s">
        <v>1388</v>
      </c>
      <c r="BV193" s="2" t="s">
        <v>233</v>
      </c>
      <c r="BW193" s="2" t="s">
        <v>233</v>
      </c>
      <c r="BX193" s="2" t="s">
        <v>241</v>
      </c>
      <c r="BY193" s="2" t="s">
        <v>242</v>
      </c>
      <c r="BZ193" s="2" t="s">
        <v>230</v>
      </c>
      <c r="CA193" s="2" t="s">
        <v>487</v>
      </c>
      <c r="CB193" s="2" t="s">
        <v>1396</v>
      </c>
      <c r="CC193" s="2" t="s">
        <v>245</v>
      </c>
      <c r="CD193" s="2" t="s">
        <v>233</v>
      </c>
      <c r="CE193" s="4">
        <v>174</v>
      </c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>
        <v>176</v>
      </c>
      <c r="GD193" s="4">
        <v>172</v>
      </c>
      <c r="GE193" s="4">
        <v>167</v>
      </c>
      <c r="GF193" s="4">
        <v>162</v>
      </c>
      <c r="GG193" s="4">
        <v>152</v>
      </c>
      <c r="GH193" s="4">
        <v>147</v>
      </c>
      <c r="GI193" s="4">
        <v>142</v>
      </c>
      <c r="GJ193" s="4">
        <v>139</v>
      </c>
      <c r="GK193" s="4">
        <v>137</v>
      </c>
      <c r="GL193" s="4">
        <v>134</v>
      </c>
      <c r="GM193" s="4">
        <v>131</v>
      </c>
      <c r="GN193" s="4">
        <v>128</v>
      </c>
      <c r="GO193" s="4">
        <v>125</v>
      </c>
      <c r="GP193" s="4">
        <v>122</v>
      </c>
      <c r="GQ193" s="4">
        <v>119</v>
      </c>
      <c r="GR193" s="4">
        <v>116</v>
      </c>
      <c r="GS193" s="4">
        <v>113</v>
      </c>
      <c r="GT193" s="4">
        <v>110</v>
      </c>
      <c r="GU193" s="4">
        <v>107</v>
      </c>
      <c r="GV193" s="4">
        <v>104</v>
      </c>
      <c r="GW193" s="4">
        <v>101</v>
      </c>
      <c r="GX193" s="4">
        <v>98</v>
      </c>
      <c r="GY193" s="4">
        <v>95</v>
      </c>
      <c r="GZ193" s="4">
        <v>92</v>
      </c>
      <c r="HA193" s="4">
        <v>89</v>
      </c>
      <c r="HB193" s="4">
        <v>86</v>
      </c>
      <c r="HC193" s="19">
        <v>29.3</v>
      </c>
      <c r="HD193" s="19">
        <v>28.7</v>
      </c>
      <c r="HE193" s="19">
        <v>27.8</v>
      </c>
      <c r="HF193" s="19">
        <v>27</v>
      </c>
      <c r="HG193" s="19">
        <v>38</v>
      </c>
      <c r="HH193" s="19">
        <v>49</v>
      </c>
      <c r="HI193" s="19">
        <v>47.3</v>
      </c>
      <c r="HJ193" s="19">
        <v>46.3</v>
      </c>
      <c r="HK193" s="19">
        <v>45.7</v>
      </c>
      <c r="HL193" s="19">
        <v>44.7</v>
      </c>
      <c r="HM193" s="19">
        <v>43.7</v>
      </c>
      <c r="HN193" s="19">
        <v>42.7</v>
      </c>
      <c r="HO193" s="19">
        <v>41.7</v>
      </c>
      <c r="HP193" s="19">
        <v>40.7</v>
      </c>
      <c r="HQ193" s="19">
        <v>39.7</v>
      </c>
      <c r="HR193" s="19">
        <v>38.7</v>
      </c>
      <c r="HS193" s="19">
        <v>37.7</v>
      </c>
      <c r="HT193" s="19">
        <v>36.7</v>
      </c>
      <c r="HU193" s="19">
        <v>35.7</v>
      </c>
      <c r="HV193" s="19">
        <v>34.7</v>
      </c>
      <c r="HW193" s="19">
        <v>33.7</v>
      </c>
      <c r="HX193" s="19">
        <v>32.7</v>
      </c>
      <c r="HY193" s="19">
        <v>31.7</v>
      </c>
      <c r="HZ193" s="19">
        <v>30.7</v>
      </c>
      <c r="IA193" s="19">
        <v>29.7</v>
      </c>
      <c r="IB193" s="19">
        <v>28.7</v>
      </c>
    </row>
    <row r="194">
      <c r="A194" s="2" t="s">
        <v>1397</v>
      </c>
      <c r="B194" s="2" t="s">
        <v>872</v>
      </c>
      <c r="C194" s="2" t="s">
        <v>1398</v>
      </c>
      <c r="D194" s="2" t="s">
        <v>261</v>
      </c>
      <c r="E194" s="2" t="s">
        <v>895</v>
      </c>
      <c r="F194" s="2" t="s">
        <v>1399</v>
      </c>
      <c r="G194" s="2" t="s">
        <v>1400</v>
      </c>
      <c r="H194" s="2" t="s">
        <v>1401</v>
      </c>
      <c r="I194" s="2" t="s">
        <v>1402</v>
      </c>
      <c r="J194" s="2" t="s">
        <v>265</v>
      </c>
      <c r="K194" s="2" t="s">
        <v>1403</v>
      </c>
      <c r="L194" s="3">
        <v>23.8</v>
      </c>
      <c r="M194" s="3">
        <v>24.99</v>
      </c>
      <c r="N194" s="3">
        <v>49.99</v>
      </c>
      <c r="O194" s="2" t="s">
        <v>230</v>
      </c>
      <c r="P194" s="2" t="s">
        <v>597</v>
      </c>
      <c r="Q194" s="2" t="s">
        <v>232</v>
      </c>
      <c r="R194" s="2" t="s">
        <v>233</v>
      </c>
      <c r="S194" s="2" t="s">
        <v>1404</v>
      </c>
      <c r="T194" s="2" t="s">
        <v>469</v>
      </c>
      <c r="U194" s="2" t="s">
        <v>781</v>
      </c>
      <c r="V194" s="2" t="s">
        <v>349</v>
      </c>
      <c r="W194" s="2" t="s">
        <v>620</v>
      </c>
      <c r="X194" s="2" t="s">
        <v>237</v>
      </c>
      <c r="Y194" s="2" t="s">
        <v>1405</v>
      </c>
      <c r="Z194" s="4">
        <v>1096</v>
      </c>
      <c r="AA194" s="4">
        <f>=ROUNDDOWN(84.3076923076923,0)</f>
      </c>
      <c r="AB194" s="5">
        <v>13</v>
      </c>
      <c r="AC194" s="2" t="s">
        <v>233</v>
      </c>
      <c r="AD194" s="4"/>
      <c r="AE194" s="4"/>
      <c r="AF194" s="6">
        <v>63</v>
      </c>
      <c r="AG194" s="6">
        <v>46</v>
      </c>
      <c r="AH194" s="7">
        <v>1</v>
      </c>
      <c r="AI194" s="4"/>
      <c r="AJ194" s="4">
        <f>=ROUNDDOWN({0},0)</f>
      </c>
      <c r="AK194" s="5"/>
      <c r="AL194" s="2" t="s">
        <v>233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 t="s">
        <v>233</v>
      </c>
      <c r="BD194" s="8" t="s">
        <v>233</v>
      </c>
      <c r="BE194" s="4" t="s">
        <v>233</v>
      </c>
      <c r="BF194" s="8" t="s">
        <v>233</v>
      </c>
      <c r="BG194" s="7" t="s">
        <v>233</v>
      </c>
      <c r="BH194" s="7" t="s">
        <v>233</v>
      </c>
      <c r="BI194" s="7"/>
      <c r="BJ194" s="4">
        <v>56</v>
      </c>
      <c r="BK194" s="8">
        <v>1217.3</v>
      </c>
      <c r="BL194" s="2" t="s">
        <v>314</v>
      </c>
      <c r="BM194" s="7"/>
      <c r="BN194" s="7"/>
      <c r="BO194" s="4"/>
      <c r="BP194" s="8"/>
      <c r="BQ194" s="4"/>
      <c r="BR194" s="8"/>
      <c r="BS194" s="7"/>
      <c r="BT194" s="7"/>
      <c r="BU194" s="2" t="s">
        <v>1406</v>
      </c>
      <c r="BV194" s="2" t="s">
        <v>233</v>
      </c>
      <c r="BW194" s="2" t="s">
        <v>233</v>
      </c>
      <c r="BX194" s="2" t="s">
        <v>1407</v>
      </c>
      <c r="BY194" s="2" t="s">
        <v>242</v>
      </c>
      <c r="BZ194" s="2" t="s">
        <v>230</v>
      </c>
      <c r="CA194" s="2" t="s">
        <v>1408</v>
      </c>
      <c r="CB194" s="2" t="s">
        <v>1409</v>
      </c>
      <c r="CC194" s="2" t="s">
        <v>245</v>
      </c>
      <c r="CD194" s="2" t="s">
        <v>233</v>
      </c>
      <c r="CE194" s="4">
        <v>218</v>
      </c>
      <c r="CF194" s="4"/>
      <c r="CG194" s="4"/>
      <c r="CH194" s="4">
        <v>878</v>
      </c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>
        <v>1098</v>
      </c>
      <c r="GD194" s="4">
        <v>1063</v>
      </c>
      <c r="GE194" s="4">
        <v>1026</v>
      </c>
      <c r="GF194" s="4">
        <v>982</v>
      </c>
      <c r="GG194" s="4">
        <v>928</v>
      </c>
      <c r="GH194" s="4">
        <v>896</v>
      </c>
      <c r="GI194" s="4">
        <v>867</v>
      </c>
      <c r="GJ194" s="4">
        <v>846</v>
      </c>
      <c r="GK194" s="4">
        <v>825</v>
      </c>
      <c r="GL194" s="4">
        <v>805</v>
      </c>
      <c r="GM194" s="4">
        <v>787</v>
      </c>
      <c r="GN194" s="4">
        <v>770</v>
      </c>
      <c r="GO194" s="4">
        <v>753</v>
      </c>
      <c r="GP194" s="4">
        <v>741</v>
      </c>
      <c r="GQ194" s="4">
        <v>724</v>
      </c>
      <c r="GR194" s="4">
        <v>704</v>
      </c>
      <c r="GS194" s="4">
        <v>684</v>
      </c>
      <c r="GT194" s="4">
        <v>662</v>
      </c>
      <c r="GU194" s="4">
        <v>642</v>
      </c>
      <c r="GV194" s="4">
        <v>619</v>
      </c>
      <c r="GW194" s="4">
        <v>596</v>
      </c>
      <c r="GX194" s="4">
        <v>573</v>
      </c>
      <c r="GY194" s="4">
        <v>550</v>
      </c>
      <c r="GZ194" s="4">
        <v>529</v>
      </c>
      <c r="HA194" s="4">
        <v>508</v>
      </c>
      <c r="HB194" s="4">
        <v>487</v>
      </c>
      <c r="HC194" s="19">
        <v>40.3</v>
      </c>
      <c r="HD194" s="19">
        <v>39.6</v>
      </c>
      <c r="HE194" s="19">
        <v>38.8</v>
      </c>
      <c r="HF194" s="19">
        <v>45.2</v>
      </c>
      <c r="HG194" s="19">
        <v>54.6</v>
      </c>
      <c r="HH194" s="19">
        <v>60.9</v>
      </c>
      <c r="HI194" s="19">
        <v>69.6</v>
      </c>
      <c r="HJ194" s="19">
        <v>52.2</v>
      </c>
      <c r="HK194" s="19">
        <v>38.2</v>
      </c>
      <c r="HL194" s="19">
        <v>34.7</v>
      </c>
      <c r="HM194" s="19">
        <v>26.7</v>
      </c>
      <c r="HN194" s="19">
        <v>24.1</v>
      </c>
      <c r="HO194" s="19">
        <v>22.2</v>
      </c>
      <c r="HP194" s="19">
        <v>18.6</v>
      </c>
      <c r="HQ194" s="19">
        <v>18.1</v>
      </c>
      <c r="HR194" s="19">
        <v>16.8</v>
      </c>
      <c r="HS194" s="19">
        <v>15.6</v>
      </c>
      <c r="HT194" s="19">
        <v>15.1</v>
      </c>
      <c r="HU194" s="19">
        <v>14</v>
      </c>
      <c r="HV194" s="19">
        <v>14.1</v>
      </c>
      <c r="HW194" s="19">
        <v>13.6</v>
      </c>
      <c r="HX194" s="19">
        <v>13</v>
      </c>
      <c r="HY194" s="19">
        <v>13.1</v>
      </c>
      <c r="HZ194" s="19">
        <v>12.6</v>
      </c>
      <c r="IA194" s="19">
        <v>12.7</v>
      </c>
      <c r="IB194" s="19">
        <v>13.6</v>
      </c>
    </row>
    <row r="195">
      <c r="A195" s="2" t="s">
        <v>1410</v>
      </c>
      <c r="B195" s="2" t="s">
        <v>825</v>
      </c>
      <c r="C195" s="2" t="s">
        <v>1411</v>
      </c>
      <c r="D195" s="2" t="s">
        <v>261</v>
      </c>
      <c r="E195" s="2" t="s">
        <v>603</v>
      </c>
      <c r="F195" s="2" t="s">
        <v>1399</v>
      </c>
      <c r="G195" s="2" t="s">
        <v>1412</v>
      </c>
      <c r="H195" s="2" t="s">
        <v>1413</v>
      </c>
      <c r="I195" s="2" t="s">
        <v>1414</v>
      </c>
      <c r="J195" s="2" t="s">
        <v>1052</v>
      </c>
      <c r="K195" s="2" t="s">
        <v>1415</v>
      </c>
      <c r="L195" s="3">
        <v>23.8</v>
      </c>
      <c r="M195" s="3">
        <v>24.99</v>
      </c>
      <c r="N195" s="3">
        <v>49.99</v>
      </c>
      <c r="O195" s="2" t="s">
        <v>230</v>
      </c>
      <c r="P195" s="2" t="s">
        <v>231</v>
      </c>
      <c r="Q195" s="2" t="s">
        <v>232</v>
      </c>
      <c r="R195" s="2" t="s">
        <v>233</v>
      </c>
      <c r="S195" s="2" t="s">
        <v>1416</v>
      </c>
      <c r="T195" s="2" t="s">
        <v>469</v>
      </c>
      <c r="U195" s="2" t="s">
        <v>287</v>
      </c>
      <c r="V195" s="2" t="s">
        <v>914</v>
      </c>
      <c r="W195" s="2" t="s">
        <v>237</v>
      </c>
      <c r="X195" s="2" t="s">
        <v>915</v>
      </c>
      <c r="Y195" s="2" t="s">
        <v>1417</v>
      </c>
      <c r="Z195" s="4"/>
      <c r="AA195" s="4">
        <f>=ROUNDDOWN({0},0)</f>
      </c>
      <c r="AB195" s="5">
        <v>9</v>
      </c>
      <c r="AC195" s="2" t="s">
        <v>140</v>
      </c>
      <c r="AD195" s="4">
        <v>210</v>
      </c>
      <c r="AE195" s="4">
        <v>390</v>
      </c>
      <c r="AF195" s="6">
        <v>64</v>
      </c>
      <c r="AG195" s="6"/>
      <c r="AH195" s="7">
        <v>0</v>
      </c>
      <c r="AI195" s="4"/>
      <c r="AJ195" s="4">
        <f>=ROUNDDOWN({0},0)</f>
      </c>
      <c r="AK195" s="5"/>
      <c r="AL195" s="2" t="s">
        <v>233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233</v>
      </c>
      <c r="AW195" s="8" t="s">
        <v>233</v>
      </c>
      <c r="AX195" s="4" t="s">
        <v>233</v>
      </c>
      <c r="AY195" s="8" t="s">
        <v>233</v>
      </c>
      <c r="AZ195" s="7" t="s">
        <v>233</v>
      </c>
      <c r="BA195" s="7" t="s">
        <v>233</v>
      </c>
      <c r="BB195" s="7" t="s">
        <v>233</v>
      </c>
      <c r="BC195" s="4" t="s">
        <v>233</v>
      </c>
      <c r="BD195" s="8" t="s">
        <v>233</v>
      </c>
      <c r="BE195" s="4" t="s">
        <v>233</v>
      </c>
      <c r="BF195" s="8" t="s">
        <v>233</v>
      </c>
      <c r="BG195" s="7" t="s">
        <v>233</v>
      </c>
      <c r="BH195" s="7" t="s">
        <v>233</v>
      </c>
      <c r="BI195" s="7"/>
      <c r="BJ195" s="4">
        <v>3</v>
      </c>
      <c r="BK195" s="8">
        <v>80.98</v>
      </c>
      <c r="BL195" s="2" t="s">
        <v>1418</v>
      </c>
      <c r="BM195" s="7"/>
      <c r="BN195" s="7"/>
      <c r="BO195" s="4"/>
      <c r="BP195" s="8"/>
      <c r="BQ195" s="4"/>
      <c r="BR195" s="8"/>
      <c r="BS195" s="7"/>
      <c r="BT195" s="7"/>
      <c r="BU195" s="2" t="s">
        <v>1419</v>
      </c>
      <c r="BV195" s="2" t="s">
        <v>233</v>
      </c>
      <c r="BW195" s="2" t="s">
        <v>233</v>
      </c>
      <c r="BX195" s="2" t="s">
        <v>241</v>
      </c>
      <c r="BY195" s="2" t="s">
        <v>242</v>
      </c>
      <c r="BZ195" s="2" t="s">
        <v>230</v>
      </c>
      <c r="CA195" s="2" t="s">
        <v>820</v>
      </c>
      <c r="CB195" s="2" t="s">
        <v>600</v>
      </c>
      <c r="CC195" s="2" t="s">
        <v>245</v>
      </c>
      <c r="CD195" s="2" t="s">
        <v>233</v>
      </c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>
        <v>210</v>
      </c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>
        <v>180</v>
      </c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>
        <v>1</v>
      </c>
      <c r="GD195" s="4"/>
      <c r="GE195" s="4">
        <v>210</v>
      </c>
      <c r="GF195" s="4">
        <v>194</v>
      </c>
      <c r="GG195" s="4">
        <v>183</v>
      </c>
      <c r="GH195" s="4">
        <v>166</v>
      </c>
      <c r="GI195" s="4">
        <v>151</v>
      </c>
      <c r="GJ195" s="4">
        <v>140</v>
      </c>
      <c r="GK195" s="4">
        <v>130</v>
      </c>
      <c r="GL195" s="4">
        <v>120</v>
      </c>
      <c r="GM195" s="4">
        <v>110</v>
      </c>
      <c r="GN195" s="4">
        <v>101</v>
      </c>
      <c r="GO195" s="4">
        <v>92</v>
      </c>
      <c r="GP195" s="4">
        <v>83</v>
      </c>
      <c r="GQ195" s="4">
        <v>254</v>
      </c>
      <c r="GR195" s="4">
        <v>245</v>
      </c>
      <c r="GS195" s="4">
        <v>236</v>
      </c>
      <c r="GT195" s="4">
        <v>226</v>
      </c>
      <c r="GU195" s="4">
        <v>217</v>
      </c>
      <c r="GV195" s="4">
        <v>208</v>
      </c>
      <c r="GW195" s="4">
        <v>199</v>
      </c>
      <c r="GX195" s="4">
        <v>190</v>
      </c>
      <c r="GY195" s="4">
        <v>181</v>
      </c>
      <c r="GZ195" s="4">
        <v>172</v>
      </c>
      <c r="HA195" s="4">
        <v>162</v>
      </c>
      <c r="HB195" s="4">
        <v>153</v>
      </c>
      <c r="HC195" s="19">
        <v>0.1</v>
      </c>
      <c r="HD195" s="20">
        <v>0</v>
      </c>
      <c r="HE195" s="19">
        <v>14</v>
      </c>
      <c r="HF195" s="19">
        <v>13.9</v>
      </c>
      <c r="HG195" s="19">
        <v>14.1</v>
      </c>
      <c r="HH195" s="19">
        <v>13.8</v>
      </c>
      <c r="HI195" s="19">
        <v>15.1</v>
      </c>
      <c r="HJ195" s="19">
        <v>14</v>
      </c>
      <c r="HK195" s="19">
        <v>13</v>
      </c>
      <c r="HL195" s="19">
        <v>13.3</v>
      </c>
      <c r="HM195" s="19">
        <v>12.2</v>
      </c>
      <c r="HN195" s="19">
        <v>11.2</v>
      </c>
      <c r="HO195" s="19">
        <v>10.2</v>
      </c>
      <c r="HP195" s="19">
        <v>9.2</v>
      </c>
      <c r="HQ195" s="19">
        <v>28.2</v>
      </c>
      <c r="HR195" s="19">
        <v>27.2</v>
      </c>
      <c r="HS195" s="19">
        <v>26.2</v>
      </c>
      <c r="HT195" s="19">
        <v>25.1</v>
      </c>
      <c r="HU195" s="19">
        <v>24.1</v>
      </c>
      <c r="HV195" s="19">
        <v>23.1</v>
      </c>
      <c r="HW195" s="19">
        <v>22.1</v>
      </c>
      <c r="HX195" s="19">
        <v>21.1</v>
      </c>
      <c r="HY195" s="19">
        <v>20.1</v>
      </c>
      <c r="HZ195" s="19">
        <v>19.1</v>
      </c>
      <c r="IA195" s="19">
        <v>18</v>
      </c>
      <c r="IB195" s="19">
        <v>15.3</v>
      </c>
    </row>
    <row r="196">
      <c r="A196" s="2" t="s">
        <v>1420</v>
      </c>
      <c r="B196" s="2" t="s">
        <v>825</v>
      </c>
      <c r="C196" s="2" t="s">
        <v>1411</v>
      </c>
      <c r="D196" s="2" t="s">
        <v>774</v>
      </c>
      <c r="E196" s="2" t="s">
        <v>775</v>
      </c>
      <c r="F196" s="2" t="s">
        <v>1399</v>
      </c>
      <c r="G196" s="2" t="s">
        <v>1412</v>
      </c>
      <c r="H196" s="2" t="s">
        <v>1413</v>
      </c>
      <c r="I196" s="2" t="s">
        <v>1421</v>
      </c>
      <c r="J196" s="2" t="s">
        <v>1052</v>
      </c>
      <c r="K196" s="2" t="s">
        <v>1415</v>
      </c>
      <c r="L196" s="3">
        <v>14.28</v>
      </c>
      <c r="M196" s="3">
        <v>14.99</v>
      </c>
      <c r="N196" s="3">
        <v>29.99</v>
      </c>
      <c r="O196" s="2" t="s">
        <v>230</v>
      </c>
      <c r="P196" s="2" t="s">
        <v>231</v>
      </c>
      <c r="Q196" s="2" t="s">
        <v>232</v>
      </c>
      <c r="R196" s="2" t="s">
        <v>233</v>
      </c>
      <c r="S196" s="2" t="s">
        <v>1416</v>
      </c>
      <c r="T196" s="2" t="s">
        <v>469</v>
      </c>
      <c r="U196" s="2" t="s">
        <v>711</v>
      </c>
      <c r="V196" s="2" t="s">
        <v>914</v>
      </c>
      <c r="W196" s="2" t="s">
        <v>237</v>
      </c>
      <c r="X196" s="2" t="s">
        <v>915</v>
      </c>
      <c r="Y196" s="2" t="s">
        <v>1417</v>
      </c>
      <c r="Z196" s="4">
        <v>9</v>
      </c>
      <c r="AA196" s="4">
        <f>=ROUNDDOWN(2.25,0)</f>
      </c>
      <c r="AB196" s="5">
        <v>4</v>
      </c>
      <c r="AC196" s="2" t="s">
        <v>140</v>
      </c>
      <c r="AD196" s="4">
        <v>80</v>
      </c>
      <c r="AE196" s="4">
        <v>140</v>
      </c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233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233</v>
      </c>
      <c r="AW196" s="8" t="s">
        <v>233</v>
      </c>
      <c r="AX196" s="4" t="s">
        <v>233</v>
      </c>
      <c r="AY196" s="8" t="s">
        <v>233</v>
      </c>
      <c r="AZ196" s="7" t="s">
        <v>233</v>
      </c>
      <c r="BA196" s="7" t="s">
        <v>233</v>
      </c>
      <c r="BB196" s="7" t="s">
        <v>233</v>
      </c>
      <c r="BC196" s="4" t="s">
        <v>233</v>
      </c>
      <c r="BD196" s="8" t="s">
        <v>233</v>
      </c>
      <c r="BE196" s="4" t="s">
        <v>233</v>
      </c>
      <c r="BF196" s="8" t="s">
        <v>233</v>
      </c>
      <c r="BG196" s="7" t="s">
        <v>233</v>
      </c>
      <c r="BH196" s="7" t="s">
        <v>233</v>
      </c>
      <c r="BI196" s="7"/>
      <c r="BJ196" s="4">
        <v>30</v>
      </c>
      <c r="BK196" s="8">
        <v>483.45</v>
      </c>
      <c r="BL196" s="2" t="s">
        <v>1422</v>
      </c>
      <c r="BM196" s="7"/>
      <c r="BN196" s="7"/>
      <c r="BO196" s="4"/>
      <c r="BP196" s="8"/>
      <c r="BQ196" s="4"/>
      <c r="BR196" s="8"/>
      <c r="BS196" s="7"/>
      <c r="BT196" s="7"/>
      <c r="BU196" s="2" t="s">
        <v>1423</v>
      </c>
      <c r="BV196" s="2" t="s">
        <v>233</v>
      </c>
      <c r="BW196" s="2" t="s">
        <v>233</v>
      </c>
      <c r="BX196" s="2" t="s">
        <v>241</v>
      </c>
      <c r="BY196" s="2" t="s">
        <v>242</v>
      </c>
      <c r="BZ196" s="2" t="s">
        <v>230</v>
      </c>
      <c r="CA196" s="2" t="s">
        <v>1143</v>
      </c>
      <c r="CB196" s="2" t="s">
        <v>233</v>
      </c>
      <c r="CC196" s="2" t="s">
        <v>245</v>
      </c>
      <c r="CD196" s="2" t="s">
        <v>233</v>
      </c>
      <c r="CE196" s="4">
        <v>9</v>
      </c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>
        <v>80</v>
      </c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>
        <v>60</v>
      </c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>
        <v>11</v>
      </c>
      <c r="GD196" s="4">
        <v>5</v>
      </c>
      <c r="GE196" s="4">
        <v>80</v>
      </c>
      <c r="GF196" s="4">
        <v>74</v>
      </c>
      <c r="GG196" s="4">
        <v>68</v>
      </c>
      <c r="GH196" s="4">
        <v>59</v>
      </c>
      <c r="GI196" s="4">
        <v>51</v>
      </c>
      <c r="GJ196" s="4">
        <v>45</v>
      </c>
      <c r="GK196" s="4">
        <v>40</v>
      </c>
      <c r="GL196" s="4">
        <v>35</v>
      </c>
      <c r="GM196" s="4">
        <v>31</v>
      </c>
      <c r="GN196" s="4">
        <v>27</v>
      </c>
      <c r="GO196" s="4">
        <v>23</v>
      </c>
      <c r="GP196" s="4">
        <v>19</v>
      </c>
      <c r="GQ196" s="4">
        <v>75</v>
      </c>
      <c r="GR196" s="4">
        <v>71</v>
      </c>
      <c r="GS196" s="4">
        <v>67</v>
      </c>
      <c r="GT196" s="4">
        <v>62</v>
      </c>
      <c r="GU196" s="4">
        <v>58</v>
      </c>
      <c r="GV196" s="4">
        <v>54</v>
      </c>
      <c r="GW196" s="4">
        <v>50</v>
      </c>
      <c r="GX196" s="4">
        <v>46</v>
      </c>
      <c r="GY196" s="4">
        <v>42</v>
      </c>
      <c r="GZ196" s="4">
        <v>38</v>
      </c>
      <c r="HA196" s="4">
        <v>34</v>
      </c>
      <c r="HB196" s="4">
        <v>30</v>
      </c>
      <c r="HC196" s="19">
        <v>1.8</v>
      </c>
      <c r="HD196" s="19">
        <v>0.7</v>
      </c>
      <c r="HE196" s="19">
        <v>11.4</v>
      </c>
      <c r="HF196" s="19">
        <v>10.6</v>
      </c>
      <c r="HG196" s="19">
        <v>9.7</v>
      </c>
      <c r="HH196" s="19">
        <v>9.8</v>
      </c>
      <c r="HI196" s="19">
        <v>10.2</v>
      </c>
      <c r="HJ196" s="19">
        <v>11.3</v>
      </c>
      <c r="HK196" s="19">
        <v>10</v>
      </c>
      <c r="HL196" s="19">
        <v>8.8</v>
      </c>
      <c r="HM196" s="19">
        <v>7.8</v>
      </c>
      <c r="HN196" s="19">
        <v>6.8</v>
      </c>
      <c r="HO196" s="19">
        <v>5.8</v>
      </c>
      <c r="HP196" s="19">
        <v>4.8</v>
      </c>
      <c r="HQ196" s="19">
        <v>18.8</v>
      </c>
      <c r="HR196" s="19">
        <v>17.8</v>
      </c>
      <c r="HS196" s="19">
        <v>16.8</v>
      </c>
      <c r="HT196" s="19">
        <v>15.5</v>
      </c>
      <c r="HU196" s="19">
        <v>14.5</v>
      </c>
      <c r="HV196" s="19">
        <v>13.5</v>
      </c>
      <c r="HW196" s="19">
        <v>12.5</v>
      </c>
      <c r="HX196" s="19">
        <v>11.5</v>
      </c>
      <c r="HY196" s="19">
        <v>10.5</v>
      </c>
      <c r="HZ196" s="19">
        <v>9.5</v>
      </c>
      <c r="IA196" s="19">
        <v>8.5</v>
      </c>
      <c r="IB196" s="19">
        <v>7.5</v>
      </c>
    </row>
    <row r="197">
      <c r="A197" s="2" t="s">
        <v>1424</v>
      </c>
      <c r="B197" s="2" t="s">
        <v>938</v>
      </c>
      <c r="C197" s="2" t="s">
        <v>1318</v>
      </c>
      <c r="D197" s="2" t="s">
        <v>972</v>
      </c>
      <c r="E197" s="2" t="s">
        <v>973</v>
      </c>
      <c r="F197" s="2" t="s">
        <v>1425</v>
      </c>
      <c r="G197" s="2" t="s">
        <v>1426</v>
      </c>
      <c r="H197" s="2" t="s">
        <v>1427</v>
      </c>
      <c r="I197" s="2" t="s">
        <v>1428</v>
      </c>
      <c r="J197" s="2" t="s">
        <v>1429</v>
      </c>
      <c r="K197" s="2" t="s">
        <v>434</v>
      </c>
      <c r="L197" s="3">
        <v>25.65</v>
      </c>
      <c r="M197" s="3">
        <v>26.93</v>
      </c>
      <c r="N197" s="3">
        <v>56.99</v>
      </c>
      <c r="O197" s="2" t="s">
        <v>230</v>
      </c>
      <c r="P197" s="2" t="s">
        <v>231</v>
      </c>
      <c r="Q197" s="2" t="s">
        <v>232</v>
      </c>
      <c r="R197" s="2" t="s">
        <v>233</v>
      </c>
      <c r="S197" s="2" t="s">
        <v>1430</v>
      </c>
      <c r="T197" s="2" t="s">
        <v>233</v>
      </c>
      <c r="U197" s="2" t="s">
        <v>329</v>
      </c>
      <c r="V197" s="2" t="s">
        <v>1431</v>
      </c>
      <c r="W197" s="2" t="s">
        <v>620</v>
      </c>
      <c r="X197" s="2" t="s">
        <v>1432</v>
      </c>
      <c r="Y197" s="2" t="s">
        <v>1433</v>
      </c>
      <c r="Z197" s="4">
        <v>194</v>
      </c>
      <c r="AA197" s="4">
        <f>=ROUNDDOWN(12.125,0)</f>
      </c>
      <c r="AB197" s="5">
        <v>16</v>
      </c>
      <c r="AC197" s="2" t="s">
        <v>139</v>
      </c>
      <c r="AD197" s="4">
        <v>172</v>
      </c>
      <c r="AE197" s="4">
        <v>432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233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 t="s">
        <v>233</v>
      </c>
      <c r="BD197" s="8" t="s">
        <v>233</v>
      </c>
      <c r="BE197" s="4" t="s">
        <v>233</v>
      </c>
      <c r="BF197" s="8" t="s">
        <v>233</v>
      </c>
      <c r="BG197" s="7" t="s">
        <v>233</v>
      </c>
      <c r="BH197" s="7" t="s">
        <v>233</v>
      </c>
      <c r="BI197" s="7"/>
      <c r="BJ197" s="4">
        <v>53</v>
      </c>
      <c r="BK197" s="8">
        <v>1518.53</v>
      </c>
      <c r="BL197" s="2" t="s">
        <v>1434</v>
      </c>
      <c r="BM197" s="7"/>
      <c r="BN197" s="7"/>
      <c r="BO197" s="4"/>
      <c r="BP197" s="8"/>
      <c r="BQ197" s="4"/>
      <c r="BR197" s="8"/>
      <c r="BS197" s="7"/>
      <c r="BT197" s="7"/>
      <c r="BU197" s="2" t="s">
        <v>1435</v>
      </c>
      <c r="BV197" s="2" t="s">
        <v>233</v>
      </c>
      <c r="BW197" s="2" t="s">
        <v>233</v>
      </c>
      <c r="BX197" s="2" t="s">
        <v>293</v>
      </c>
      <c r="BY197" s="2" t="s">
        <v>242</v>
      </c>
      <c r="BZ197" s="2" t="s">
        <v>230</v>
      </c>
      <c r="CA197" s="2" t="s">
        <v>1436</v>
      </c>
      <c r="CB197" s="2" t="s">
        <v>1437</v>
      </c>
      <c r="CC197" s="2" t="s">
        <v>245</v>
      </c>
      <c r="CD197" s="2" t="s">
        <v>233</v>
      </c>
      <c r="CE197" s="4">
        <v>194</v>
      </c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>
        <v>172</v>
      </c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>
        <v>40</v>
      </c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>
        <v>120</v>
      </c>
      <c r="FR197" s="4"/>
      <c r="FS197" s="4"/>
      <c r="FT197" s="4"/>
      <c r="FU197" s="4"/>
      <c r="FV197" s="4"/>
      <c r="FW197" s="4"/>
      <c r="FX197" s="4"/>
      <c r="FY197" s="4"/>
      <c r="FZ197" s="4"/>
      <c r="GA197" s="4">
        <v>100</v>
      </c>
      <c r="GB197" s="4"/>
      <c r="GC197" s="4">
        <v>202</v>
      </c>
      <c r="GD197" s="4">
        <v>177</v>
      </c>
      <c r="GE197" s="4">
        <v>329</v>
      </c>
      <c r="GF197" s="4">
        <v>312</v>
      </c>
      <c r="GG197" s="4">
        <v>330</v>
      </c>
      <c r="GH197" s="4">
        <v>311</v>
      </c>
      <c r="GI197" s="4">
        <v>286</v>
      </c>
      <c r="GJ197" s="4">
        <v>270</v>
      </c>
      <c r="GK197" s="4">
        <v>251</v>
      </c>
      <c r="GL197" s="4">
        <v>235</v>
      </c>
      <c r="GM197" s="4">
        <v>218</v>
      </c>
      <c r="GN197" s="4">
        <v>202</v>
      </c>
      <c r="GO197" s="4">
        <v>186</v>
      </c>
      <c r="GP197" s="4">
        <v>170</v>
      </c>
      <c r="GQ197" s="4">
        <v>154</v>
      </c>
      <c r="GR197" s="4">
        <v>138</v>
      </c>
      <c r="GS197" s="4">
        <v>242</v>
      </c>
      <c r="GT197" s="4">
        <v>223</v>
      </c>
      <c r="GU197" s="4">
        <v>207</v>
      </c>
      <c r="GV197" s="4">
        <v>191</v>
      </c>
      <c r="GW197" s="4">
        <v>275</v>
      </c>
      <c r="GX197" s="4">
        <v>259</v>
      </c>
      <c r="GY197" s="4">
        <v>243</v>
      </c>
      <c r="GZ197" s="4">
        <v>227</v>
      </c>
      <c r="HA197" s="4">
        <v>210</v>
      </c>
      <c r="HB197" s="4">
        <v>194</v>
      </c>
      <c r="HC197" s="19">
        <v>9.6</v>
      </c>
      <c r="HD197" s="19">
        <v>8.9</v>
      </c>
      <c r="HE197" s="19">
        <v>15.7</v>
      </c>
      <c r="HF197" s="19">
        <v>15.6</v>
      </c>
      <c r="HG197" s="19">
        <v>16.5</v>
      </c>
      <c r="HH197" s="19">
        <v>16.4</v>
      </c>
      <c r="HI197" s="19">
        <v>16.8</v>
      </c>
      <c r="HJ197" s="19">
        <v>15.9</v>
      </c>
      <c r="HK197" s="19">
        <v>15.7</v>
      </c>
      <c r="HL197" s="19">
        <v>14.7</v>
      </c>
      <c r="HM197" s="19">
        <v>13.6</v>
      </c>
      <c r="HN197" s="19">
        <v>12.6</v>
      </c>
      <c r="HO197" s="19">
        <v>11.6</v>
      </c>
      <c r="HP197" s="19">
        <v>10</v>
      </c>
      <c r="HQ197" s="19">
        <v>9.1</v>
      </c>
      <c r="HR197" s="19">
        <v>8.1</v>
      </c>
      <c r="HS197" s="19">
        <v>14.2</v>
      </c>
      <c r="HT197" s="19">
        <v>13.9</v>
      </c>
      <c r="HU197" s="19">
        <v>12.9</v>
      </c>
      <c r="HV197" s="19">
        <v>11.9</v>
      </c>
      <c r="HW197" s="19">
        <v>17.2</v>
      </c>
      <c r="HX197" s="19">
        <v>16.2</v>
      </c>
      <c r="HY197" s="19">
        <v>15.2</v>
      </c>
      <c r="HZ197" s="19">
        <v>14.2</v>
      </c>
      <c r="IA197" s="19">
        <v>13.1</v>
      </c>
      <c r="IB197" s="19">
        <v>12.1</v>
      </c>
    </row>
    <row r="198">
      <c r="A198" s="2" t="s">
        <v>1438</v>
      </c>
      <c r="B198" s="2" t="s">
        <v>938</v>
      </c>
      <c r="C198" s="2" t="s">
        <v>1318</v>
      </c>
      <c r="D198" s="2" t="s">
        <v>972</v>
      </c>
      <c r="E198" s="2" t="s">
        <v>973</v>
      </c>
      <c r="F198" s="2" t="s">
        <v>1425</v>
      </c>
      <c r="G198" s="2" t="s">
        <v>1426</v>
      </c>
      <c r="H198" s="2" t="s">
        <v>1427</v>
      </c>
      <c r="I198" s="2" t="s">
        <v>1428</v>
      </c>
      <c r="J198" s="2" t="s">
        <v>1429</v>
      </c>
      <c r="K198" s="2" t="s">
        <v>458</v>
      </c>
      <c r="L198" s="3">
        <v>25.65</v>
      </c>
      <c r="M198" s="3">
        <v>26.93</v>
      </c>
      <c r="N198" s="3">
        <v>56.99</v>
      </c>
      <c r="O198" s="2" t="s">
        <v>230</v>
      </c>
      <c r="P198" s="2" t="s">
        <v>231</v>
      </c>
      <c r="Q198" s="2" t="s">
        <v>232</v>
      </c>
      <c r="R198" s="2" t="s">
        <v>233</v>
      </c>
      <c r="S198" s="2" t="s">
        <v>1430</v>
      </c>
      <c r="T198" s="2" t="s">
        <v>233</v>
      </c>
      <c r="U198" s="2" t="s">
        <v>329</v>
      </c>
      <c r="V198" s="2" t="s">
        <v>1431</v>
      </c>
      <c r="W198" s="2" t="s">
        <v>620</v>
      </c>
      <c r="X198" s="2" t="s">
        <v>1432</v>
      </c>
      <c r="Y198" s="2" t="s">
        <v>1433</v>
      </c>
      <c r="Z198" s="4">
        <v>245</v>
      </c>
      <c r="AA198" s="4">
        <f>=ROUNDDOWN(13.6111111111111,0)</f>
      </c>
      <c r="AB198" s="5">
        <v>18</v>
      </c>
      <c r="AC198" s="2" t="s">
        <v>490</v>
      </c>
      <c r="AD198" s="4">
        <v>240</v>
      </c>
      <c r="AE198" s="4">
        <v>360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233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 t="s">
        <v>233</v>
      </c>
      <c r="BD198" s="8" t="s">
        <v>233</v>
      </c>
      <c r="BE198" s="4" t="s">
        <v>233</v>
      </c>
      <c r="BF198" s="8" t="s">
        <v>233</v>
      </c>
      <c r="BG198" s="7" t="s">
        <v>233</v>
      </c>
      <c r="BH198" s="7" t="s">
        <v>233</v>
      </c>
      <c r="BI198" s="7"/>
      <c r="BJ198" s="4">
        <v>75</v>
      </c>
      <c r="BK198" s="8">
        <v>2133.22</v>
      </c>
      <c r="BL198" s="2" t="s">
        <v>1439</v>
      </c>
      <c r="BM198" s="7"/>
      <c r="BN198" s="7"/>
      <c r="BO198" s="4"/>
      <c r="BP198" s="8"/>
      <c r="BQ198" s="4"/>
      <c r="BR198" s="8"/>
      <c r="BS198" s="7"/>
      <c r="BT198" s="7"/>
      <c r="BU198" s="2" t="s">
        <v>1435</v>
      </c>
      <c r="BV198" s="2" t="s">
        <v>233</v>
      </c>
      <c r="BW198" s="2" t="s">
        <v>233</v>
      </c>
      <c r="BX198" s="2" t="s">
        <v>293</v>
      </c>
      <c r="BY198" s="2" t="s">
        <v>242</v>
      </c>
      <c r="BZ198" s="2" t="s">
        <v>230</v>
      </c>
      <c r="CA198" s="2" t="s">
        <v>1436</v>
      </c>
      <c r="CB198" s="2" t="s">
        <v>1440</v>
      </c>
      <c r="CC198" s="2" t="s">
        <v>245</v>
      </c>
      <c r="CD198" s="2" t="s">
        <v>233</v>
      </c>
      <c r="CE198" s="4">
        <v>245</v>
      </c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>
        <v>240</v>
      </c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>
        <v>120</v>
      </c>
      <c r="FX198" s="4"/>
      <c r="FY198" s="4"/>
      <c r="FZ198" s="4"/>
      <c r="GA198" s="4"/>
      <c r="GB198" s="4"/>
      <c r="GC198" s="4">
        <v>262</v>
      </c>
      <c r="GD198" s="4">
        <v>234</v>
      </c>
      <c r="GE198" s="4">
        <v>211</v>
      </c>
      <c r="GF198" s="4">
        <v>191</v>
      </c>
      <c r="GG198" s="4">
        <v>165</v>
      </c>
      <c r="GH198" s="4">
        <v>145</v>
      </c>
      <c r="GI198" s="4">
        <v>359</v>
      </c>
      <c r="GJ198" s="4">
        <v>343</v>
      </c>
      <c r="GK198" s="4">
        <v>322</v>
      </c>
      <c r="GL198" s="4">
        <v>304</v>
      </c>
      <c r="GM198" s="4">
        <v>285</v>
      </c>
      <c r="GN198" s="4">
        <v>267</v>
      </c>
      <c r="GO198" s="4">
        <v>249</v>
      </c>
      <c r="GP198" s="4">
        <v>231</v>
      </c>
      <c r="GQ198" s="4">
        <v>213</v>
      </c>
      <c r="GR198" s="4">
        <v>195</v>
      </c>
      <c r="GS198" s="4">
        <v>177</v>
      </c>
      <c r="GT198" s="4">
        <v>156</v>
      </c>
      <c r="GU198" s="4">
        <v>258</v>
      </c>
      <c r="GV198" s="4">
        <v>240</v>
      </c>
      <c r="GW198" s="4">
        <v>222</v>
      </c>
      <c r="GX198" s="4">
        <v>204</v>
      </c>
      <c r="GY198" s="4">
        <v>186</v>
      </c>
      <c r="GZ198" s="4">
        <v>168</v>
      </c>
      <c r="HA198" s="4">
        <v>149</v>
      </c>
      <c r="HB198" s="4">
        <v>131</v>
      </c>
      <c r="HC198" s="19">
        <v>10.9</v>
      </c>
      <c r="HD198" s="19">
        <v>10.6</v>
      </c>
      <c r="HE198" s="19">
        <v>9.2</v>
      </c>
      <c r="HF198" s="19">
        <v>8.7</v>
      </c>
      <c r="HG198" s="19">
        <v>7.9</v>
      </c>
      <c r="HH198" s="19">
        <v>7.3</v>
      </c>
      <c r="HI198" s="19">
        <v>19.9</v>
      </c>
      <c r="HJ198" s="19">
        <v>18.1</v>
      </c>
      <c r="HK198" s="19">
        <v>17.9</v>
      </c>
      <c r="HL198" s="19">
        <v>16.9</v>
      </c>
      <c r="HM198" s="19">
        <v>15.8</v>
      </c>
      <c r="HN198" s="19">
        <v>14.8</v>
      </c>
      <c r="HO198" s="19">
        <v>13.8</v>
      </c>
      <c r="HP198" s="19">
        <v>12.2</v>
      </c>
      <c r="HQ198" s="19">
        <v>11.2</v>
      </c>
      <c r="HR198" s="19">
        <v>10.3</v>
      </c>
      <c r="HS198" s="19">
        <v>9.3</v>
      </c>
      <c r="HT198" s="19">
        <v>8.7</v>
      </c>
      <c r="HU198" s="19">
        <v>14.3</v>
      </c>
      <c r="HV198" s="19">
        <v>13.3</v>
      </c>
      <c r="HW198" s="19">
        <v>12.3</v>
      </c>
      <c r="HX198" s="19">
        <v>11.3</v>
      </c>
      <c r="HY198" s="19">
        <v>10.3</v>
      </c>
      <c r="HZ198" s="19">
        <v>9.3</v>
      </c>
      <c r="IA198" s="19">
        <v>8.3</v>
      </c>
      <c r="IB198" s="19">
        <v>7.3</v>
      </c>
    </row>
    <row r="199">
      <c r="A199" s="2" t="s">
        <v>1441</v>
      </c>
      <c r="B199" s="2" t="s">
        <v>773</v>
      </c>
      <c r="C199" s="2" t="s">
        <v>908</v>
      </c>
      <c r="D199" s="2" t="s">
        <v>1442</v>
      </c>
      <c r="E199" s="2" t="s">
        <v>1443</v>
      </c>
      <c r="F199" s="2" t="s">
        <v>1444</v>
      </c>
      <c r="G199" s="2" t="s">
        <v>1444</v>
      </c>
      <c r="H199" s="2" t="s">
        <v>1444</v>
      </c>
      <c r="I199" s="2" t="s">
        <v>1445</v>
      </c>
      <c r="J199" s="2" t="s">
        <v>1446</v>
      </c>
      <c r="K199" s="2" t="s">
        <v>1121</v>
      </c>
      <c r="L199" s="3">
        <v>20.14</v>
      </c>
      <c r="M199" s="3">
        <v>21.15</v>
      </c>
      <c r="N199" s="3">
        <v>44.99</v>
      </c>
      <c r="O199" s="2" t="s">
        <v>230</v>
      </c>
      <c r="P199" s="2" t="s">
        <v>721</v>
      </c>
      <c r="Q199" s="2" t="s">
        <v>232</v>
      </c>
      <c r="R199" s="2" t="s">
        <v>233</v>
      </c>
      <c r="S199" s="2" t="s">
        <v>1447</v>
      </c>
      <c r="T199" s="2" t="s">
        <v>913</v>
      </c>
      <c r="U199" s="2" t="s">
        <v>329</v>
      </c>
      <c r="V199" s="2" t="s">
        <v>914</v>
      </c>
      <c r="W199" s="2" t="s">
        <v>915</v>
      </c>
      <c r="X199" s="2" t="s">
        <v>818</v>
      </c>
      <c r="Y199" s="2" t="s">
        <v>1448</v>
      </c>
      <c r="Z199" s="4">
        <v>394</v>
      </c>
      <c r="AA199" s="4">
        <f>=ROUNDDOWN(65.6666666666667,0)</f>
      </c>
      <c r="AB199" s="5">
        <v>6</v>
      </c>
      <c r="AC199" s="2" t="s">
        <v>233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233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 t="s">
        <v>233</v>
      </c>
      <c r="BD199" s="8" t="s">
        <v>233</v>
      </c>
      <c r="BE199" s="4" t="s">
        <v>233</v>
      </c>
      <c r="BF199" s="8" t="s">
        <v>233</v>
      </c>
      <c r="BG199" s="7" t="s">
        <v>233</v>
      </c>
      <c r="BH199" s="7" t="s">
        <v>233</v>
      </c>
      <c r="BI199" s="7"/>
      <c r="BJ199" s="4">
        <v>57</v>
      </c>
      <c r="BK199" s="8">
        <v>1414.29</v>
      </c>
      <c r="BL199" s="2" t="s">
        <v>1449</v>
      </c>
      <c r="BM199" s="7"/>
      <c r="BN199" s="7"/>
      <c r="BO199" s="4"/>
      <c r="BP199" s="8"/>
      <c r="BQ199" s="4"/>
      <c r="BR199" s="8"/>
      <c r="BS199" s="7"/>
      <c r="BT199" s="7"/>
      <c r="BU199" s="2" t="s">
        <v>1450</v>
      </c>
      <c r="BV199" s="2" t="s">
        <v>233</v>
      </c>
      <c r="BW199" s="2" t="s">
        <v>233</v>
      </c>
      <c r="BX199" s="2" t="s">
        <v>241</v>
      </c>
      <c r="BY199" s="2" t="s">
        <v>242</v>
      </c>
      <c r="BZ199" s="2" t="s">
        <v>230</v>
      </c>
      <c r="CA199" s="2" t="s">
        <v>1451</v>
      </c>
      <c r="CB199" s="2" t="s">
        <v>233</v>
      </c>
      <c r="CC199" s="2" t="s">
        <v>245</v>
      </c>
      <c r="CD199" s="2" t="s">
        <v>233</v>
      </c>
      <c r="CE199" s="4">
        <v>394</v>
      </c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>
        <v>398</v>
      </c>
      <c r="GD199" s="4">
        <v>368</v>
      </c>
      <c r="GE199" s="4">
        <v>349</v>
      </c>
      <c r="GF199" s="4">
        <v>330</v>
      </c>
      <c r="GG199" s="4">
        <v>299</v>
      </c>
      <c r="GH199" s="4">
        <v>275</v>
      </c>
      <c r="GI199" s="4">
        <v>244</v>
      </c>
      <c r="GJ199" s="4">
        <v>227</v>
      </c>
      <c r="GK199" s="4">
        <v>212</v>
      </c>
      <c r="GL199" s="4">
        <v>197</v>
      </c>
      <c r="GM199" s="4">
        <v>191</v>
      </c>
      <c r="GN199" s="4">
        <v>185</v>
      </c>
      <c r="GO199" s="4">
        <v>179</v>
      </c>
      <c r="GP199" s="4">
        <v>173</v>
      </c>
      <c r="GQ199" s="4">
        <v>167</v>
      </c>
      <c r="GR199" s="4">
        <v>161</v>
      </c>
      <c r="GS199" s="4">
        <v>155</v>
      </c>
      <c r="GT199" s="4">
        <v>149</v>
      </c>
      <c r="GU199" s="4">
        <v>143</v>
      </c>
      <c r="GV199" s="4">
        <v>137</v>
      </c>
      <c r="GW199" s="4">
        <v>131</v>
      </c>
      <c r="GX199" s="4">
        <v>125</v>
      </c>
      <c r="GY199" s="4">
        <v>119</v>
      </c>
      <c r="GZ199" s="4">
        <v>113</v>
      </c>
      <c r="HA199" s="4">
        <v>107</v>
      </c>
      <c r="HB199" s="4">
        <v>101</v>
      </c>
      <c r="HC199" s="19">
        <v>15.9</v>
      </c>
      <c r="HD199" s="19">
        <v>16</v>
      </c>
      <c r="HE199" s="19">
        <v>13.4</v>
      </c>
      <c r="HF199" s="19">
        <v>12.7</v>
      </c>
      <c r="HG199" s="19">
        <v>13.6</v>
      </c>
      <c r="HH199" s="19">
        <v>13.8</v>
      </c>
      <c r="HI199" s="19">
        <v>18.8</v>
      </c>
      <c r="HJ199" s="19">
        <v>22.7</v>
      </c>
      <c r="HK199" s="19">
        <v>26.5</v>
      </c>
      <c r="HL199" s="19">
        <v>32.8</v>
      </c>
      <c r="HM199" s="19">
        <v>31.8</v>
      </c>
      <c r="HN199" s="19">
        <v>30.8</v>
      </c>
      <c r="HO199" s="19">
        <v>29.8</v>
      </c>
      <c r="HP199" s="19">
        <v>28.8</v>
      </c>
      <c r="HQ199" s="19">
        <v>27.8</v>
      </c>
      <c r="HR199" s="19">
        <v>26.8</v>
      </c>
      <c r="HS199" s="19">
        <v>25.8</v>
      </c>
      <c r="HT199" s="19">
        <v>24.8</v>
      </c>
      <c r="HU199" s="19">
        <v>23.8</v>
      </c>
      <c r="HV199" s="19">
        <v>22.8</v>
      </c>
      <c r="HW199" s="19">
        <v>21.8</v>
      </c>
      <c r="HX199" s="19">
        <v>20.8</v>
      </c>
      <c r="HY199" s="19">
        <v>19.8</v>
      </c>
      <c r="HZ199" s="19">
        <v>18.8</v>
      </c>
      <c r="IA199" s="19">
        <v>17.8</v>
      </c>
      <c r="IB199" s="19">
        <v>16.8</v>
      </c>
    </row>
    <row r="200">
      <c r="A200" s="2" t="s">
        <v>1452</v>
      </c>
      <c r="B200" s="2" t="s">
        <v>773</v>
      </c>
      <c r="C200" s="2" t="s">
        <v>908</v>
      </c>
      <c r="D200" s="2" t="s">
        <v>1442</v>
      </c>
      <c r="E200" s="2" t="s">
        <v>1443</v>
      </c>
      <c r="F200" s="2" t="s">
        <v>1444</v>
      </c>
      <c r="G200" s="2" t="s">
        <v>1444</v>
      </c>
      <c r="H200" s="2" t="s">
        <v>1444</v>
      </c>
      <c r="I200" s="2" t="s">
        <v>1445</v>
      </c>
      <c r="J200" s="2" t="s">
        <v>1446</v>
      </c>
      <c r="K200" s="2" t="s">
        <v>1014</v>
      </c>
      <c r="L200" s="3">
        <v>20.14</v>
      </c>
      <c r="M200" s="3">
        <v>21.15</v>
      </c>
      <c r="N200" s="3">
        <v>44.99</v>
      </c>
      <c r="O200" s="2" t="s">
        <v>230</v>
      </c>
      <c r="P200" s="2" t="s">
        <v>231</v>
      </c>
      <c r="Q200" s="2" t="s">
        <v>232</v>
      </c>
      <c r="R200" s="2" t="s">
        <v>233</v>
      </c>
      <c r="S200" s="2" t="s">
        <v>1453</v>
      </c>
      <c r="T200" s="2" t="s">
        <v>913</v>
      </c>
      <c r="U200" s="2" t="s">
        <v>329</v>
      </c>
      <c r="V200" s="2" t="s">
        <v>914</v>
      </c>
      <c r="W200" s="2" t="s">
        <v>915</v>
      </c>
      <c r="X200" s="2" t="s">
        <v>818</v>
      </c>
      <c r="Y200" s="2" t="s">
        <v>1448</v>
      </c>
      <c r="Z200" s="4">
        <v>297</v>
      </c>
      <c r="AA200" s="4">
        <f>=ROUNDDOWN(24.75,0)</f>
      </c>
      <c r="AB200" s="5">
        <v>12</v>
      </c>
      <c r="AC200" s="2" t="s">
        <v>164</v>
      </c>
      <c r="AD200" s="4">
        <v>800</v>
      </c>
      <c r="AE200" s="4">
        <v>800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233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 t="s">
        <v>233</v>
      </c>
      <c r="BD200" s="8" t="s">
        <v>233</v>
      </c>
      <c r="BE200" s="4" t="s">
        <v>233</v>
      </c>
      <c r="BF200" s="8" t="s">
        <v>233</v>
      </c>
      <c r="BG200" s="7" t="s">
        <v>233</v>
      </c>
      <c r="BH200" s="7" t="s">
        <v>233</v>
      </c>
      <c r="BI200" s="7"/>
      <c r="BJ200" s="4">
        <v>91</v>
      </c>
      <c r="BK200" s="8">
        <v>2201.85</v>
      </c>
      <c r="BL200" s="2" t="s">
        <v>1454</v>
      </c>
      <c r="BM200" s="7"/>
      <c r="BN200" s="7"/>
      <c r="BO200" s="4"/>
      <c r="BP200" s="8"/>
      <c r="BQ200" s="4"/>
      <c r="BR200" s="8"/>
      <c r="BS200" s="7"/>
      <c r="BT200" s="7"/>
      <c r="BU200" s="2" t="s">
        <v>1450</v>
      </c>
      <c r="BV200" s="2" t="s">
        <v>233</v>
      </c>
      <c r="BW200" s="2" t="s">
        <v>233</v>
      </c>
      <c r="BX200" s="2" t="s">
        <v>241</v>
      </c>
      <c r="BY200" s="2" t="s">
        <v>242</v>
      </c>
      <c r="BZ200" s="2" t="s">
        <v>230</v>
      </c>
      <c r="CA200" s="2" t="s">
        <v>1451</v>
      </c>
      <c r="CB200" s="2" t="s">
        <v>1455</v>
      </c>
      <c r="CC200" s="2" t="s">
        <v>245</v>
      </c>
      <c r="CD200" s="2" t="s">
        <v>233</v>
      </c>
      <c r="CE200" s="4">
        <v>297</v>
      </c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>
        <v>800</v>
      </c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>
        <v>301</v>
      </c>
      <c r="GD200" s="4">
        <v>268</v>
      </c>
      <c r="GE200" s="4">
        <v>215</v>
      </c>
      <c r="GF200" s="4">
        <v>161</v>
      </c>
      <c r="GG200" s="4">
        <v>68</v>
      </c>
      <c r="GH200" s="4"/>
      <c r="GI200" s="4">
        <v>800</v>
      </c>
      <c r="GJ200" s="4">
        <v>749</v>
      </c>
      <c r="GK200" s="4">
        <v>708</v>
      </c>
      <c r="GL200" s="4">
        <v>665</v>
      </c>
      <c r="GM200" s="4">
        <v>653</v>
      </c>
      <c r="GN200" s="4">
        <v>641</v>
      </c>
      <c r="GO200" s="4">
        <v>629</v>
      </c>
      <c r="GP200" s="4">
        <v>617</v>
      </c>
      <c r="GQ200" s="4">
        <v>605</v>
      </c>
      <c r="GR200" s="4">
        <v>593</v>
      </c>
      <c r="GS200" s="4">
        <v>581</v>
      </c>
      <c r="GT200" s="4">
        <v>568</v>
      </c>
      <c r="GU200" s="4">
        <v>556</v>
      </c>
      <c r="GV200" s="4">
        <v>544</v>
      </c>
      <c r="GW200" s="4">
        <v>532</v>
      </c>
      <c r="GX200" s="4">
        <v>520</v>
      </c>
      <c r="GY200" s="4">
        <v>508</v>
      </c>
      <c r="GZ200" s="4">
        <v>496</v>
      </c>
      <c r="HA200" s="4">
        <v>484</v>
      </c>
      <c r="HB200" s="4">
        <v>472</v>
      </c>
      <c r="HC200" s="19">
        <v>5.2</v>
      </c>
      <c r="HD200" s="19">
        <v>3.9</v>
      </c>
      <c r="HE200" s="19">
        <v>2.8</v>
      </c>
      <c r="HF200" s="19">
        <v>2.1</v>
      </c>
      <c r="HG200" s="19">
        <v>1.1</v>
      </c>
      <c r="HH200" s="20">
        <v>0</v>
      </c>
      <c r="HI200" s="19">
        <v>21.6</v>
      </c>
      <c r="HJ200" s="19">
        <v>27.7</v>
      </c>
      <c r="HK200" s="19">
        <v>35.4</v>
      </c>
      <c r="HL200" s="19">
        <v>55.4</v>
      </c>
      <c r="HM200" s="19">
        <v>54.4</v>
      </c>
      <c r="HN200" s="19">
        <v>53.4</v>
      </c>
      <c r="HO200" s="19">
        <v>52.4</v>
      </c>
      <c r="HP200" s="19">
        <v>51.4</v>
      </c>
      <c r="HQ200" s="19">
        <v>50.4</v>
      </c>
      <c r="HR200" s="19">
        <v>49.4</v>
      </c>
      <c r="HS200" s="19">
        <v>48.4</v>
      </c>
      <c r="HT200" s="19">
        <v>47.3</v>
      </c>
      <c r="HU200" s="19">
        <v>46.3</v>
      </c>
      <c r="HV200" s="19">
        <v>45.3</v>
      </c>
      <c r="HW200" s="19">
        <v>44.3</v>
      </c>
      <c r="HX200" s="19">
        <v>43.3</v>
      </c>
      <c r="HY200" s="19">
        <v>42.3</v>
      </c>
      <c r="HZ200" s="19">
        <v>41.3</v>
      </c>
      <c r="IA200" s="19">
        <v>40.3</v>
      </c>
      <c r="IB200" s="19">
        <v>39.3</v>
      </c>
    </row>
    <row r="201">
      <c r="A201" s="2" t="s">
        <v>1456</v>
      </c>
      <c r="B201" s="2" t="s">
        <v>736</v>
      </c>
      <c r="C201" s="2" t="s">
        <v>280</v>
      </c>
      <c r="D201" s="2" t="s">
        <v>1197</v>
      </c>
      <c r="E201" s="2" t="s">
        <v>738</v>
      </c>
      <c r="F201" s="2" t="s">
        <v>1457</v>
      </c>
      <c r="G201" s="2" t="s">
        <v>1457</v>
      </c>
      <c r="H201" s="2" t="s">
        <v>1457</v>
      </c>
      <c r="I201" s="2" t="s">
        <v>1458</v>
      </c>
      <c r="J201" s="2" t="s">
        <v>741</v>
      </c>
      <c r="K201" s="2" t="s">
        <v>229</v>
      </c>
      <c r="L201" s="3">
        <v>46.22</v>
      </c>
      <c r="M201" s="3">
        <v>48.53</v>
      </c>
      <c r="N201" s="3">
        <v>89.24</v>
      </c>
      <c r="O201" s="2" t="s">
        <v>230</v>
      </c>
      <c r="P201" s="2" t="s">
        <v>231</v>
      </c>
      <c r="Q201" s="2" t="s">
        <v>232</v>
      </c>
      <c r="R201" s="2" t="s">
        <v>233</v>
      </c>
      <c r="S201" s="2" t="s">
        <v>1459</v>
      </c>
      <c r="T201" s="2" t="s">
        <v>233</v>
      </c>
      <c r="U201" s="2" t="s">
        <v>711</v>
      </c>
      <c r="V201" s="2" t="s">
        <v>744</v>
      </c>
      <c r="W201" s="2" t="s">
        <v>620</v>
      </c>
      <c r="X201" s="2" t="s">
        <v>233</v>
      </c>
      <c r="Y201" s="2" t="s">
        <v>1460</v>
      </c>
      <c r="Z201" s="4">
        <v>154</v>
      </c>
      <c r="AA201" s="4">
        <f>=ROUNDDOWN(55,0)</f>
      </c>
      <c r="AB201" s="5">
        <v>2.8</v>
      </c>
      <c r="AC201" s="2" t="s">
        <v>233</v>
      </c>
      <c r="AD201" s="4"/>
      <c r="AE201" s="4"/>
      <c r="AF201" s="6">
        <v>63</v>
      </c>
      <c r="AG201" s="6"/>
      <c r="AH201" s="7">
        <v>1</v>
      </c>
      <c r="AI201" s="4"/>
      <c r="AJ201" s="4">
        <f>=ROUNDDOWN({0},0)</f>
      </c>
      <c r="AK201" s="5"/>
      <c r="AL201" s="2" t="s">
        <v>233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>
        <v>12</v>
      </c>
      <c r="BK201" s="8">
        <v>702.78</v>
      </c>
      <c r="BL201" s="2" t="s">
        <v>1461</v>
      </c>
      <c r="BM201" s="7"/>
      <c r="BN201" s="7"/>
      <c r="BO201" s="4"/>
      <c r="BP201" s="8"/>
      <c r="BQ201" s="4"/>
      <c r="BR201" s="8"/>
      <c r="BS201" s="7"/>
      <c r="BT201" s="7"/>
      <c r="BU201" s="2" t="s">
        <v>1462</v>
      </c>
      <c r="BV201" s="2" t="s">
        <v>233</v>
      </c>
      <c r="BW201" s="2" t="s">
        <v>233</v>
      </c>
      <c r="BX201" s="2" t="s">
        <v>241</v>
      </c>
      <c r="BY201" s="2" t="s">
        <v>242</v>
      </c>
      <c r="BZ201" s="2" t="s">
        <v>230</v>
      </c>
      <c r="CA201" s="2" t="s">
        <v>1463</v>
      </c>
      <c r="CB201" s="2" t="s">
        <v>1464</v>
      </c>
      <c r="CC201" s="2" t="s">
        <v>245</v>
      </c>
      <c r="CD201" s="2" t="s">
        <v>233</v>
      </c>
      <c r="CE201" s="4"/>
      <c r="CF201" s="4">
        <v>154</v>
      </c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>
        <v>160</v>
      </c>
      <c r="GD201" s="4">
        <v>148</v>
      </c>
      <c r="GE201" s="4">
        <v>144</v>
      </c>
      <c r="GF201" s="4">
        <v>140</v>
      </c>
      <c r="GG201" s="4">
        <v>136</v>
      </c>
      <c r="GH201" s="4">
        <v>132</v>
      </c>
      <c r="GI201" s="4">
        <v>128</v>
      </c>
      <c r="GJ201" s="4">
        <v>125</v>
      </c>
      <c r="GK201" s="4">
        <v>122</v>
      </c>
      <c r="GL201" s="4">
        <v>119</v>
      </c>
      <c r="GM201" s="4">
        <v>116</v>
      </c>
      <c r="GN201" s="4">
        <v>113</v>
      </c>
      <c r="GO201" s="4">
        <v>110</v>
      </c>
      <c r="GP201" s="4">
        <v>107</v>
      </c>
      <c r="GQ201" s="4">
        <v>104</v>
      </c>
      <c r="GR201" s="4">
        <v>101</v>
      </c>
      <c r="GS201" s="4">
        <v>98</v>
      </c>
      <c r="GT201" s="4">
        <v>95</v>
      </c>
      <c r="GU201" s="4">
        <v>92</v>
      </c>
      <c r="GV201" s="4">
        <v>89</v>
      </c>
      <c r="GW201" s="4">
        <v>86</v>
      </c>
      <c r="GX201" s="4">
        <v>83</v>
      </c>
      <c r="GY201" s="4">
        <v>80</v>
      </c>
      <c r="GZ201" s="4">
        <v>77</v>
      </c>
      <c r="HA201" s="4">
        <v>74</v>
      </c>
      <c r="HB201" s="4">
        <v>71</v>
      </c>
      <c r="HC201" s="19">
        <v>26.7</v>
      </c>
      <c r="HD201" s="19">
        <v>37</v>
      </c>
      <c r="HE201" s="19">
        <v>36</v>
      </c>
      <c r="HF201" s="19">
        <v>35</v>
      </c>
      <c r="HG201" s="19">
        <v>34</v>
      </c>
      <c r="HH201" s="19">
        <v>44</v>
      </c>
      <c r="HI201" s="19">
        <v>42.7</v>
      </c>
      <c r="HJ201" s="19">
        <v>41.7</v>
      </c>
      <c r="HK201" s="19">
        <v>40.7</v>
      </c>
      <c r="HL201" s="19">
        <v>39.7</v>
      </c>
      <c r="HM201" s="19">
        <v>38.7</v>
      </c>
      <c r="HN201" s="19">
        <v>37.7</v>
      </c>
      <c r="HO201" s="19">
        <v>36.7</v>
      </c>
      <c r="HP201" s="19">
        <v>35.7</v>
      </c>
      <c r="HQ201" s="19">
        <v>34.7</v>
      </c>
      <c r="HR201" s="19">
        <v>33.7</v>
      </c>
      <c r="HS201" s="19">
        <v>32.7</v>
      </c>
      <c r="HT201" s="19">
        <v>31.7</v>
      </c>
      <c r="HU201" s="19">
        <v>30.7</v>
      </c>
      <c r="HV201" s="19">
        <v>29.7</v>
      </c>
      <c r="HW201" s="19">
        <v>28.7</v>
      </c>
      <c r="HX201" s="19">
        <v>27.7</v>
      </c>
      <c r="HY201" s="19">
        <v>26.7</v>
      </c>
      <c r="HZ201" s="19">
        <v>25.7</v>
      </c>
      <c r="IA201" s="19">
        <v>24.7</v>
      </c>
      <c r="IB201" s="19">
        <v>23.7</v>
      </c>
    </row>
    <row r="202">
      <c r="A202" s="2" t="s">
        <v>1465</v>
      </c>
      <c r="B202" s="2" t="s">
        <v>761</v>
      </c>
      <c r="C202" s="2" t="s">
        <v>762</v>
      </c>
      <c r="D202" s="2" t="s">
        <v>1080</v>
      </c>
      <c r="E202" s="2" t="s">
        <v>1466</v>
      </c>
      <c r="F202" s="2" t="s">
        <v>1467</v>
      </c>
      <c r="G202" s="2" t="s">
        <v>1467</v>
      </c>
      <c r="H202" s="2" t="s">
        <v>1467</v>
      </c>
      <c r="I202" s="2" t="s">
        <v>1468</v>
      </c>
      <c r="J202" s="2" t="s">
        <v>741</v>
      </c>
      <c r="K202" s="2" t="s">
        <v>720</v>
      </c>
      <c r="L202" s="3">
        <v>213.75</v>
      </c>
      <c r="M202" s="3">
        <v>224.44</v>
      </c>
      <c r="N202" s="3">
        <v>449</v>
      </c>
      <c r="O202" s="2" t="s">
        <v>230</v>
      </c>
      <c r="P202" s="2" t="s">
        <v>231</v>
      </c>
      <c r="Q202" s="2" t="s">
        <v>232</v>
      </c>
      <c r="R202" s="2" t="s">
        <v>233</v>
      </c>
      <c r="S202" s="2" t="s">
        <v>233</v>
      </c>
      <c r="T202" s="2" t="s">
        <v>233</v>
      </c>
      <c r="U202" s="2" t="s">
        <v>329</v>
      </c>
      <c r="V202" s="2" t="s">
        <v>609</v>
      </c>
      <c r="W202" s="2" t="s">
        <v>712</v>
      </c>
      <c r="X202" s="2" t="s">
        <v>237</v>
      </c>
      <c r="Y202" s="2" t="s">
        <v>1469</v>
      </c>
      <c r="Z202" s="4">
        <v>91</v>
      </c>
      <c r="AA202" s="4">
        <f>=ROUNDDOWN(27.5757575757576,0)</f>
      </c>
      <c r="AB202" s="5">
        <v>3.3</v>
      </c>
      <c r="AC202" s="2" t="s">
        <v>1470</v>
      </c>
      <c r="AD202" s="4">
        <v>180</v>
      </c>
      <c r="AE202" s="4">
        <v>180</v>
      </c>
      <c r="AF202" s="6">
        <v>74</v>
      </c>
      <c r="AG202" s="6"/>
      <c r="AH202" s="7">
        <v>1</v>
      </c>
      <c r="AI202" s="4"/>
      <c r="AJ202" s="4">
        <f>=ROUNDDOWN({0},0)</f>
      </c>
      <c r="AK202" s="5"/>
      <c r="AL202" s="2" t="s">
        <v>233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/>
      <c r="BD202" s="8"/>
      <c r="BE202" s="4"/>
      <c r="BF202" s="8"/>
      <c r="BG202" s="7"/>
      <c r="BH202" s="7"/>
      <c r="BI202" s="7"/>
      <c r="BJ202" s="4">
        <v>6</v>
      </c>
      <c r="BK202" s="8">
        <v>1391.51</v>
      </c>
      <c r="BL202" s="2" t="s">
        <v>1471</v>
      </c>
      <c r="BM202" s="7"/>
      <c r="BN202" s="7"/>
      <c r="BO202" s="4"/>
      <c r="BP202" s="8"/>
      <c r="BQ202" s="4"/>
      <c r="BR202" s="8"/>
      <c r="BS202" s="7"/>
      <c r="BT202" s="7"/>
      <c r="BU202" s="2" t="s">
        <v>1472</v>
      </c>
      <c r="BV202" s="2" t="s">
        <v>233</v>
      </c>
      <c r="BW202" s="2" t="s">
        <v>233</v>
      </c>
      <c r="BX202" s="2" t="s">
        <v>241</v>
      </c>
      <c r="BY202" s="2" t="s">
        <v>242</v>
      </c>
      <c r="BZ202" s="2" t="s">
        <v>230</v>
      </c>
      <c r="CA202" s="2" t="s">
        <v>1473</v>
      </c>
      <c r="CB202" s="2" t="s">
        <v>1474</v>
      </c>
      <c r="CC202" s="2" t="s">
        <v>245</v>
      </c>
      <c r="CD202" s="2" t="s">
        <v>233</v>
      </c>
      <c r="CE202" s="4"/>
      <c r="CF202" s="4">
        <v>91</v>
      </c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>
        <v>180</v>
      </c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>
        <v>93</v>
      </c>
      <c r="GD202" s="4">
        <v>88</v>
      </c>
      <c r="GE202" s="4">
        <v>84</v>
      </c>
      <c r="GF202" s="4">
        <v>81</v>
      </c>
      <c r="GG202" s="4">
        <v>75</v>
      </c>
      <c r="GH202" s="4">
        <v>250</v>
      </c>
      <c r="GI202" s="4">
        <v>247</v>
      </c>
      <c r="GJ202" s="4">
        <v>245</v>
      </c>
      <c r="GK202" s="4">
        <v>243</v>
      </c>
      <c r="GL202" s="4">
        <v>240</v>
      </c>
      <c r="GM202" s="4">
        <v>238</v>
      </c>
      <c r="GN202" s="4">
        <v>235</v>
      </c>
      <c r="GO202" s="4">
        <v>233</v>
      </c>
      <c r="GP202" s="4">
        <v>231</v>
      </c>
      <c r="GQ202" s="4">
        <v>228</v>
      </c>
      <c r="GR202" s="4">
        <v>225</v>
      </c>
      <c r="GS202" s="4">
        <v>222</v>
      </c>
      <c r="GT202" s="4">
        <v>219</v>
      </c>
      <c r="GU202" s="4">
        <v>216</v>
      </c>
      <c r="GV202" s="4">
        <v>213</v>
      </c>
      <c r="GW202" s="4">
        <v>210</v>
      </c>
      <c r="GX202" s="4">
        <v>207</v>
      </c>
      <c r="GY202" s="4">
        <v>204</v>
      </c>
      <c r="GZ202" s="4">
        <v>201</v>
      </c>
      <c r="HA202" s="4">
        <v>198</v>
      </c>
      <c r="HB202" s="4">
        <v>195</v>
      </c>
      <c r="HC202" s="19">
        <v>23.3</v>
      </c>
      <c r="HD202" s="19">
        <v>22</v>
      </c>
      <c r="HE202" s="19">
        <v>21</v>
      </c>
      <c r="HF202" s="19">
        <v>20.3</v>
      </c>
      <c r="HG202" s="19">
        <v>25</v>
      </c>
      <c r="HH202" s="19">
        <v>125</v>
      </c>
      <c r="HI202" s="19">
        <v>123.5</v>
      </c>
      <c r="HJ202" s="19">
        <v>122.5</v>
      </c>
      <c r="HK202" s="19">
        <v>121.5</v>
      </c>
      <c r="HL202" s="19">
        <v>120</v>
      </c>
      <c r="HM202" s="19">
        <v>119</v>
      </c>
      <c r="HN202" s="19">
        <v>117.5</v>
      </c>
      <c r="HO202" s="19">
        <v>77.7</v>
      </c>
      <c r="HP202" s="19">
        <v>77</v>
      </c>
      <c r="HQ202" s="19">
        <v>76</v>
      </c>
      <c r="HR202" s="19">
        <v>75</v>
      </c>
      <c r="HS202" s="19">
        <v>74</v>
      </c>
      <c r="HT202" s="19">
        <v>73</v>
      </c>
      <c r="HU202" s="19">
        <v>72</v>
      </c>
      <c r="HV202" s="19">
        <v>71</v>
      </c>
      <c r="HW202" s="19">
        <v>70</v>
      </c>
      <c r="HX202" s="19">
        <v>69</v>
      </c>
      <c r="HY202" s="19">
        <v>68</v>
      </c>
      <c r="HZ202" s="19">
        <v>67</v>
      </c>
      <c r="IA202" s="19">
        <v>66</v>
      </c>
      <c r="IB202" s="19">
        <v>65</v>
      </c>
    </row>
    <row r="203">
      <c r="A203" s="2" t="s">
        <v>1475</v>
      </c>
      <c r="B203" s="2" t="s">
        <v>872</v>
      </c>
      <c r="C203" s="2" t="s">
        <v>280</v>
      </c>
      <c r="D203" s="2" t="s">
        <v>261</v>
      </c>
      <c r="E203" s="2" t="s">
        <v>603</v>
      </c>
      <c r="F203" s="2" t="s">
        <v>1476</v>
      </c>
      <c r="G203" s="2" t="s">
        <v>1477</v>
      </c>
      <c r="H203" s="2" t="s">
        <v>1478</v>
      </c>
      <c r="I203" s="2" t="s">
        <v>1479</v>
      </c>
      <c r="J203" s="2" t="s">
        <v>336</v>
      </c>
      <c r="K203" s="2" t="s">
        <v>1014</v>
      </c>
      <c r="L203" s="3">
        <v>60.74</v>
      </c>
      <c r="M203" s="3">
        <v>63.78</v>
      </c>
      <c r="N203" s="3">
        <v>124.99</v>
      </c>
      <c r="O203" s="2" t="s">
        <v>230</v>
      </c>
      <c r="P203" s="2" t="s">
        <v>231</v>
      </c>
      <c r="Q203" s="2" t="s">
        <v>232</v>
      </c>
      <c r="R203" s="2" t="s">
        <v>233</v>
      </c>
      <c r="S203" s="2" t="s">
        <v>1480</v>
      </c>
      <c r="T203" s="2" t="s">
        <v>233</v>
      </c>
      <c r="U203" s="2" t="s">
        <v>635</v>
      </c>
      <c r="V203" s="2" t="s">
        <v>945</v>
      </c>
      <c r="W203" s="2" t="s">
        <v>915</v>
      </c>
      <c r="X203" s="2" t="s">
        <v>1481</v>
      </c>
      <c r="Y203" s="2" t="s">
        <v>1482</v>
      </c>
      <c r="Z203" s="4">
        <v>722</v>
      </c>
      <c r="AA203" s="4">
        <f>=ROUNDDOWN(55.5384615384615,0)</f>
      </c>
      <c r="AB203" s="5">
        <v>13</v>
      </c>
      <c r="AC203" s="2" t="s">
        <v>140</v>
      </c>
      <c r="AD203" s="4">
        <v>111</v>
      </c>
      <c r="AE203" s="4">
        <v>111</v>
      </c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233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233</v>
      </c>
      <c r="AW203" s="8" t="s">
        <v>233</v>
      </c>
      <c r="AX203" s="4" t="s">
        <v>233</v>
      </c>
      <c r="AY203" s="8" t="s">
        <v>233</v>
      </c>
      <c r="AZ203" s="7" t="s">
        <v>233</v>
      </c>
      <c r="BA203" s="7" t="s">
        <v>233</v>
      </c>
      <c r="BB203" s="7"/>
      <c r="BC203" s="4" t="s">
        <v>233</v>
      </c>
      <c r="BD203" s="8" t="s">
        <v>233</v>
      </c>
      <c r="BE203" s="4" t="s">
        <v>233</v>
      </c>
      <c r="BF203" s="8" t="s">
        <v>233</v>
      </c>
      <c r="BG203" s="7" t="s">
        <v>233</v>
      </c>
      <c r="BH203" s="7" t="s">
        <v>233</v>
      </c>
      <c r="BI203" s="7"/>
      <c r="BJ203" s="4">
        <v>66</v>
      </c>
      <c r="BK203" s="8">
        <v>4613.39</v>
      </c>
      <c r="BL203" s="2" t="s">
        <v>1483</v>
      </c>
      <c r="BM203" s="7"/>
      <c r="BN203" s="7"/>
      <c r="BO203" s="4"/>
      <c r="BP203" s="8"/>
      <c r="BQ203" s="4"/>
      <c r="BR203" s="8"/>
      <c r="BS203" s="7"/>
      <c r="BT203" s="7"/>
      <c r="BU203" s="2" t="s">
        <v>1484</v>
      </c>
      <c r="BV203" s="2" t="s">
        <v>233</v>
      </c>
      <c r="BW203" s="2" t="s">
        <v>233</v>
      </c>
      <c r="BX203" s="2" t="s">
        <v>293</v>
      </c>
      <c r="BY203" s="2" t="s">
        <v>242</v>
      </c>
      <c r="BZ203" s="2" t="s">
        <v>230</v>
      </c>
      <c r="CA203" s="2" t="s">
        <v>1485</v>
      </c>
      <c r="CB203" s="2" t="s">
        <v>1486</v>
      </c>
      <c r="CC203" s="2" t="s">
        <v>245</v>
      </c>
      <c r="CD203" s="2" t="s">
        <v>233</v>
      </c>
      <c r="CE203" s="4">
        <v>722</v>
      </c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>
        <v>111</v>
      </c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>
        <v>740</v>
      </c>
      <c r="GD203" s="4">
        <v>573</v>
      </c>
      <c r="GE203" s="4">
        <v>659</v>
      </c>
      <c r="GF203" s="4">
        <v>632</v>
      </c>
      <c r="GG203" s="4">
        <v>605</v>
      </c>
      <c r="GH203" s="4">
        <v>578</v>
      </c>
      <c r="GI203" s="4">
        <v>551</v>
      </c>
      <c r="GJ203" s="4">
        <v>524</v>
      </c>
      <c r="GK203" s="4">
        <v>497</v>
      </c>
      <c r="GL203" s="4">
        <v>483</v>
      </c>
      <c r="GM203" s="4">
        <v>469</v>
      </c>
      <c r="GN203" s="4">
        <v>456</v>
      </c>
      <c r="GO203" s="4">
        <v>443</v>
      </c>
      <c r="GP203" s="4">
        <v>430</v>
      </c>
      <c r="GQ203" s="4">
        <v>417</v>
      </c>
      <c r="GR203" s="4">
        <v>404</v>
      </c>
      <c r="GS203" s="4">
        <v>391</v>
      </c>
      <c r="GT203" s="4">
        <v>377</v>
      </c>
      <c r="GU203" s="4">
        <v>364</v>
      </c>
      <c r="GV203" s="4">
        <v>351</v>
      </c>
      <c r="GW203" s="4">
        <v>338</v>
      </c>
      <c r="GX203" s="4">
        <v>325</v>
      </c>
      <c r="GY203" s="4">
        <v>312</v>
      </c>
      <c r="GZ203" s="4">
        <v>299</v>
      </c>
      <c r="HA203" s="4">
        <v>285</v>
      </c>
      <c r="HB203" s="4">
        <v>272</v>
      </c>
      <c r="HC203" s="19">
        <v>11.9</v>
      </c>
      <c r="HD203" s="19">
        <v>22</v>
      </c>
      <c r="HE203" s="19">
        <v>24.4</v>
      </c>
      <c r="HF203" s="19">
        <v>23.4</v>
      </c>
      <c r="HG203" s="19">
        <v>22.4</v>
      </c>
      <c r="HH203" s="19">
        <v>24.1</v>
      </c>
      <c r="HI203" s="19">
        <v>27.6</v>
      </c>
      <c r="HJ203" s="19">
        <v>30.8</v>
      </c>
      <c r="HK203" s="19">
        <v>35.5</v>
      </c>
      <c r="HL203" s="19">
        <v>37.2</v>
      </c>
      <c r="HM203" s="19">
        <v>36.1</v>
      </c>
      <c r="HN203" s="19">
        <v>35.1</v>
      </c>
      <c r="HO203" s="19">
        <v>34.1</v>
      </c>
      <c r="HP203" s="19">
        <v>33.1</v>
      </c>
      <c r="HQ203" s="19">
        <v>32.1</v>
      </c>
      <c r="HR203" s="19">
        <v>31.1</v>
      </c>
      <c r="HS203" s="19">
        <v>30.1</v>
      </c>
      <c r="HT203" s="19">
        <v>29</v>
      </c>
      <c r="HU203" s="19">
        <v>28</v>
      </c>
      <c r="HV203" s="19">
        <v>27</v>
      </c>
      <c r="HW203" s="19">
        <v>26</v>
      </c>
      <c r="HX203" s="19">
        <v>25</v>
      </c>
      <c r="HY203" s="19">
        <v>24</v>
      </c>
      <c r="HZ203" s="19">
        <v>23</v>
      </c>
      <c r="IA203" s="19">
        <v>21.9</v>
      </c>
      <c r="IB203" s="19">
        <v>20.9</v>
      </c>
    </row>
    <row r="204">
      <c r="A204" s="2" t="s">
        <v>1487</v>
      </c>
      <c r="B204" s="2" t="s">
        <v>872</v>
      </c>
      <c r="C204" s="2" t="s">
        <v>280</v>
      </c>
      <c r="D204" s="2" t="s">
        <v>261</v>
      </c>
      <c r="E204" s="2" t="s">
        <v>603</v>
      </c>
      <c r="F204" s="2" t="s">
        <v>1476</v>
      </c>
      <c r="G204" s="2" t="s">
        <v>1477</v>
      </c>
      <c r="H204" s="2" t="s">
        <v>1478</v>
      </c>
      <c r="I204" s="2" t="s">
        <v>1479</v>
      </c>
      <c r="J204" s="2" t="s">
        <v>285</v>
      </c>
      <c r="K204" s="2" t="s">
        <v>1014</v>
      </c>
      <c r="L204" s="3">
        <v>69.74</v>
      </c>
      <c r="M204" s="3">
        <v>73.23</v>
      </c>
      <c r="N204" s="3">
        <v>144.99</v>
      </c>
      <c r="O204" s="2" t="s">
        <v>230</v>
      </c>
      <c r="P204" s="2" t="s">
        <v>231</v>
      </c>
      <c r="Q204" s="2" t="s">
        <v>232</v>
      </c>
      <c r="R204" s="2" t="s">
        <v>233</v>
      </c>
      <c r="S204" s="2" t="s">
        <v>1480</v>
      </c>
      <c r="T204" s="2" t="s">
        <v>233</v>
      </c>
      <c r="U204" s="2" t="s">
        <v>635</v>
      </c>
      <c r="V204" s="2" t="s">
        <v>945</v>
      </c>
      <c r="W204" s="2" t="s">
        <v>915</v>
      </c>
      <c r="X204" s="2" t="s">
        <v>1481</v>
      </c>
      <c r="Y204" s="2" t="s">
        <v>1482</v>
      </c>
      <c r="Z204" s="4">
        <v>246</v>
      </c>
      <c r="AA204" s="4">
        <f>=ROUNDDOWN(35.1428571428571,0)</f>
      </c>
      <c r="AB204" s="5">
        <v>7</v>
      </c>
      <c r="AC204" s="2" t="s">
        <v>140</v>
      </c>
      <c r="AD204" s="4">
        <v>252</v>
      </c>
      <c r="AE204" s="4">
        <v>252</v>
      </c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233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233</v>
      </c>
      <c r="AW204" s="8" t="s">
        <v>233</v>
      </c>
      <c r="AX204" s="4" t="s">
        <v>233</v>
      </c>
      <c r="AY204" s="8" t="s">
        <v>233</v>
      </c>
      <c r="AZ204" s="7" t="s">
        <v>233</v>
      </c>
      <c r="BA204" s="7" t="s">
        <v>233</v>
      </c>
      <c r="BB204" s="7"/>
      <c r="BC204" s="4" t="s">
        <v>233</v>
      </c>
      <c r="BD204" s="8" t="s">
        <v>233</v>
      </c>
      <c r="BE204" s="4" t="s">
        <v>233</v>
      </c>
      <c r="BF204" s="8" t="s">
        <v>233</v>
      </c>
      <c r="BG204" s="7" t="s">
        <v>233</v>
      </c>
      <c r="BH204" s="7" t="s">
        <v>233</v>
      </c>
      <c r="BI204" s="7"/>
      <c r="BJ204" s="4">
        <v>46</v>
      </c>
      <c r="BK204" s="8">
        <v>3649.88</v>
      </c>
      <c r="BL204" s="2" t="s">
        <v>1488</v>
      </c>
      <c r="BM204" s="7"/>
      <c r="BN204" s="7"/>
      <c r="BO204" s="4"/>
      <c r="BP204" s="8"/>
      <c r="BQ204" s="4"/>
      <c r="BR204" s="8"/>
      <c r="BS204" s="7"/>
      <c r="BT204" s="7"/>
      <c r="BU204" s="2" t="s">
        <v>1484</v>
      </c>
      <c r="BV204" s="2" t="s">
        <v>233</v>
      </c>
      <c r="BW204" s="2" t="s">
        <v>233</v>
      </c>
      <c r="BX204" s="2" t="s">
        <v>293</v>
      </c>
      <c r="BY204" s="2" t="s">
        <v>242</v>
      </c>
      <c r="BZ204" s="2" t="s">
        <v>230</v>
      </c>
      <c r="CA204" s="2" t="s">
        <v>1485</v>
      </c>
      <c r="CB204" s="2" t="s">
        <v>1130</v>
      </c>
      <c r="CC204" s="2" t="s">
        <v>245</v>
      </c>
      <c r="CD204" s="2" t="s">
        <v>233</v>
      </c>
      <c r="CE204" s="4">
        <v>246</v>
      </c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>
        <v>252</v>
      </c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>
        <v>261</v>
      </c>
      <c r="GD204" s="4">
        <v>153</v>
      </c>
      <c r="GE204" s="4">
        <v>378</v>
      </c>
      <c r="GF204" s="4">
        <v>368</v>
      </c>
      <c r="GG204" s="4">
        <v>358</v>
      </c>
      <c r="GH204" s="4">
        <v>348</v>
      </c>
      <c r="GI204" s="4">
        <v>338</v>
      </c>
      <c r="GJ204" s="4">
        <v>313</v>
      </c>
      <c r="GK204" s="4">
        <v>306</v>
      </c>
      <c r="GL204" s="4">
        <v>301</v>
      </c>
      <c r="GM204" s="4">
        <v>297</v>
      </c>
      <c r="GN204" s="4">
        <v>293</v>
      </c>
      <c r="GO204" s="4">
        <v>288</v>
      </c>
      <c r="GP204" s="4">
        <v>281</v>
      </c>
      <c r="GQ204" s="4">
        <v>274</v>
      </c>
      <c r="GR204" s="4">
        <v>267</v>
      </c>
      <c r="GS204" s="4">
        <v>260</v>
      </c>
      <c r="GT204" s="4">
        <v>252</v>
      </c>
      <c r="GU204" s="4">
        <v>245</v>
      </c>
      <c r="GV204" s="4">
        <v>238</v>
      </c>
      <c r="GW204" s="4">
        <v>231</v>
      </c>
      <c r="GX204" s="4">
        <v>224</v>
      </c>
      <c r="GY204" s="4">
        <v>217</v>
      </c>
      <c r="GZ204" s="4">
        <v>210</v>
      </c>
      <c r="HA204" s="4">
        <v>202</v>
      </c>
      <c r="HB204" s="4">
        <v>195</v>
      </c>
      <c r="HC204" s="19">
        <v>6.7</v>
      </c>
      <c r="HD204" s="19">
        <v>10.9</v>
      </c>
      <c r="HE204" s="19">
        <v>37.8</v>
      </c>
      <c r="HF204" s="19">
        <v>26.3</v>
      </c>
      <c r="HG204" s="19">
        <v>27.5</v>
      </c>
      <c r="HH204" s="19">
        <v>29</v>
      </c>
      <c r="HI204" s="19">
        <v>33.8</v>
      </c>
      <c r="HJ204" s="19">
        <v>62.6</v>
      </c>
      <c r="HK204" s="19">
        <v>76.5</v>
      </c>
      <c r="HL204" s="19">
        <v>60.2</v>
      </c>
      <c r="HM204" s="19">
        <v>49.5</v>
      </c>
      <c r="HN204" s="19">
        <v>48.8</v>
      </c>
      <c r="HO204" s="19">
        <v>41.1</v>
      </c>
      <c r="HP204" s="19">
        <v>40.1</v>
      </c>
      <c r="HQ204" s="19">
        <v>39.1</v>
      </c>
      <c r="HR204" s="19">
        <v>38.1</v>
      </c>
      <c r="HS204" s="19">
        <v>37.1</v>
      </c>
      <c r="HT204" s="19">
        <v>36</v>
      </c>
      <c r="HU204" s="19">
        <v>35</v>
      </c>
      <c r="HV204" s="19">
        <v>34</v>
      </c>
      <c r="HW204" s="19">
        <v>33</v>
      </c>
      <c r="HX204" s="19">
        <v>32</v>
      </c>
      <c r="HY204" s="19">
        <v>31</v>
      </c>
      <c r="HZ204" s="19">
        <v>30</v>
      </c>
      <c r="IA204" s="19">
        <v>28.9</v>
      </c>
      <c r="IB204" s="19">
        <v>27.9</v>
      </c>
    </row>
    <row r="205">
      <c r="A205" s="2" t="s">
        <v>1489</v>
      </c>
      <c r="B205" s="2" t="s">
        <v>811</v>
      </c>
      <c r="C205" s="2" t="s">
        <v>789</v>
      </c>
      <c r="D205" s="2" t="s">
        <v>813</v>
      </c>
      <c r="E205" s="2" t="s">
        <v>814</v>
      </c>
      <c r="F205" s="2" t="s">
        <v>1490</v>
      </c>
      <c r="G205" s="2" t="s">
        <v>1490</v>
      </c>
      <c r="H205" s="2" t="s">
        <v>1490</v>
      </c>
      <c r="I205" s="2" t="s">
        <v>1491</v>
      </c>
      <c r="J205" s="2" t="s">
        <v>741</v>
      </c>
      <c r="K205" s="2" t="s">
        <v>1492</v>
      </c>
      <c r="L205" s="3">
        <v>54.94</v>
      </c>
      <c r="M205" s="3">
        <v>57.69</v>
      </c>
      <c r="N205" s="3">
        <v>119.99</v>
      </c>
      <c r="O205" s="2" t="s">
        <v>230</v>
      </c>
      <c r="P205" s="2" t="s">
        <v>231</v>
      </c>
      <c r="Q205" s="2" t="s">
        <v>232</v>
      </c>
      <c r="R205" s="2" t="s">
        <v>233</v>
      </c>
      <c r="S205" s="2" t="s">
        <v>233</v>
      </c>
      <c r="T205" s="2" t="s">
        <v>233</v>
      </c>
      <c r="U205" s="2" t="s">
        <v>329</v>
      </c>
      <c r="V205" s="2" t="s">
        <v>609</v>
      </c>
      <c r="W205" s="2" t="s">
        <v>712</v>
      </c>
      <c r="X205" s="2" t="s">
        <v>233</v>
      </c>
      <c r="Y205" s="2" t="s">
        <v>1244</v>
      </c>
      <c r="Z205" s="4">
        <v>171</v>
      </c>
      <c r="AA205" s="4">
        <f>=ROUNDDOWN(34.2,0)</f>
      </c>
      <c r="AB205" s="5">
        <v>5</v>
      </c>
      <c r="AC205" s="2" t="s">
        <v>233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233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/>
      <c r="BD205" s="8"/>
      <c r="BE205" s="4"/>
      <c r="BF205" s="8"/>
      <c r="BG205" s="7"/>
      <c r="BH205" s="7"/>
      <c r="BI205" s="7"/>
      <c r="BJ205" s="4">
        <v>24</v>
      </c>
      <c r="BK205" s="8">
        <v>1481.6</v>
      </c>
      <c r="BL205" s="2" t="s">
        <v>1493</v>
      </c>
      <c r="BM205" s="7"/>
      <c r="BN205" s="7"/>
      <c r="BO205" s="4"/>
      <c r="BP205" s="8"/>
      <c r="BQ205" s="4"/>
      <c r="BR205" s="8"/>
      <c r="BS205" s="7"/>
      <c r="BT205" s="7"/>
      <c r="BU205" s="2" t="s">
        <v>1494</v>
      </c>
      <c r="BV205" s="2" t="s">
        <v>233</v>
      </c>
      <c r="BW205" s="2" t="s">
        <v>233</v>
      </c>
      <c r="BX205" s="2" t="s">
        <v>293</v>
      </c>
      <c r="BY205" s="2" t="s">
        <v>242</v>
      </c>
      <c r="BZ205" s="2" t="s">
        <v>230</v>
      </c>
      <c r="CA205" s="2" t="s">
        <v>1495</v>
      </c>
      <c r="CB205" s="2" t="s">
        <v>1496</v>
      </c>
      <c r="CC205" s="2" t="s">
        <v>245</v>
      </c>
      <c r="CD205" s="2" t="s">
        <v>233</v>
      </c>
      <c r="CE205" s="4"/>
      <c r="CF205" s="4">
        <v>171</v>
      </c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>
        <v>174</v>
      </c>
      <c r="GD205" s="4">
        <v>160</v>
      </c>
      <c r="GE205" s="4">
        <v>154</v>
      </c>
      <c r="GF205" s="4">
        <v>148</v>
      </c>
      <c r="GG205" s="4">
        <v>143</v>
      </c>
      <c r="GH205" s="4">
        <v>138</v>
      </c>
      <c r="GI205" s="4">
        <v>132</v>
      </c>
      <c r="GJ205" s="4">
        <v>127</v>
      </c>
      <c r="GK205" s="4">
        <v>122</v>
      </c>
      <c r="GL205" s="4">
        <v>117</v>
      </c>
      <c r="GM205" s="4">
        <v>112</v>
      </c>
      <c r="GN205" s="4">
        <v>107</v>
      </c>
      <c r="GO205" s="4">
        <v>102</v>
      </c>
      <c r="GP205" s="4">
        <v>97</v>
      </c>
      <c r="GQ205" s="4">
        <v>92</v>
      </c>
      <c r="GR205" s="4">
        <v>87</v>
      </c>
      <c r="GS205" s="4">
        <v>82</v>
      </c>
      <c r="GT205" s="4">
        <v>76</v>
      </c>
      <c r="GU205" s="4">
        <v>71</v>
      </c>
      <c r="GV205" s="4">
        <v>66</v>
      </c>
      <c r="GW205" s="4">
        <v>61</v>
      </c>
      <c r="GX205" s="4">
        <v>56</v>
      </c>
      <c r="GY205" s="4">
        <v>51</v>
      </c>
      <c r="GZ205" s="4">
        <v>46</v>
      </c>
      <c r="HA205" s="4">
        <v>41</v>
      </c>
      <c r="HB205" s="4">
        <v>36</v>
      </c>
      <c r="HC205" s="19">
        <v>21.8</v>
      </c>
      <c r="HD205" s="19">
        <v>26.7</v>
      </c>
      <c r="HE205" s="19">
        <v>25.7</v>
      </c>
      <c r="HF205" s="19">
        <v>29.6</v>
      </c>
      <c r="HG205" s="19">
        <v>28.6</v>
      </c>
      <c r="HH205" s="19">
        <v>27.6</v>
      </c>
      <c r="HI205" s="19">
        <v>26.4</v>
      </c>
      <c r="HJ205" s="19">
        <v>25.4</v>
      </c>
      <c r="HK205" s="19">
        <v>24.4</v>
      </c>
      <c r="HL205" s="19">
        <v>23.4</v>
      </c>
      <c r="HM205" s="19">
        <v>22.4</v>
      </c>
      <c r="HN205" s="19">
        <v>21.4</v>
      </c>
      <c r="HO205" s="19">
        <v>20.4</v>
      </c>
      <c r="HP205" s="19">
        <v>19.4</v>
      </c>
      <c r="HQ205" s="19">
        <v>18.4</v>
      </c>
      <c r="HR205" s="19">
        <v>17.4</v>
      </c>
      <c r="HS205" s="19">
        <v>16.4</v>
      </c>
      <c r="HT205" s="19">
        <v>15.2</v>
      </c>
      <c r="HU205" s="19">
        <v>14.2</v>
      </c>
      <c r="HV205" s="19">
        <v>13.2</v>
      </c>
      <c r="HW205" s="19">
        <v>12.2</v>
      </c>
      <c r="HX205" s="19">
        <v>11.2</v>
      </c>
      <c r="HY205" s="19">
        <v>10.2</v>
      </c>
      <c r="HZ205" s="19">
        <v>9.2</v>
      </c>
      <c r="IA205" s="19">
        <v>8.2</v>
      </c>
      <c r="IB205" s="19">
        <v>7.2</v>
      </c>
    </row>
    <row r="206">
      <c r="A206" s="2" t="s">
        <v>1497</v>
      </c>
      <c r="B206" s="2" t="s">
        <v>736</v>
      </c>
      <c r="C206" s="2" t="s">
        <v>762</v>
      </c>
      <c r="D206" s="2" t="s">
        <v>1197</v>
      </c>
      <c r="E206" s="2" t="s">
        <v>1198</v>
      </c>
      <c r="F206" s="2" t="s">
        <v>1498</v>
      </c>
      <c r="G206" s="2" t="s">
        <v>1498</v>
      </c>
      <c r="H206" s="2" t="s">
        <v>1498</v>
      </c>
      <c r="I206" s="2" t="s">
        <v>1499</v>
      </c>
      <c r="J206" s="2" t="s">
        <v>741</v>
      </c>
      <c r="K206" s="2" t="s">
        <v>1500</v>
      </c>
      <c r="L206" s="3">
        <v>32.38</v>
      </c>
      <c r="M206" s="3">
        <v>34</v>
      </c>
      <c r="N206" s="3">
        <v>67.99</v>
      </c>
      <c r="O206" s="2" t="s">
        <v>230</v>
      </c>
      <c r="P206" s="2" t="s">
        <v>231</v>
      </c>
      <c r="Q206" s="2" t="s">
        <v>232</v>
      </c>
      <c r="R206" s="2" t="s">
        <v>233</v>
      </c>
      <c r="S206" s="2" t="s">
        <v>233</v>
      </c>
      <c r="T206" s="2" t="s">
        <v>233</v>
      </c>
      <c r="U206" s="2" t="s">
        <v>711</v>
      </c>
      <c r="V206" s="2" t="s">
        <v>609</v>
      </c>
      <c r="W206" s="2" t="s">
        <v>237</v>
      </c>
      <c r="X206" s="2" t="s">
        <v>712</v>
      </c>
      <c r="Y206" s="2" t="s">
        <v>1501</v>
      </c>
      <c r="Z206" s="4">
        <v>300</v>
      </c>
      <c r="AA206" s="4">
        <f>=ROUNDDOWN(34.0909090909091,0)</f>
      </c>
      <c r="AB206" s="5">
        <v>8.8</v>
      </c>
      <c r="AC206" s="2" t="s">
        <v>233</v>
      </c>
      <c r="AD206" s="4"/>
      <c r="AE206" s="4"/>
      <c r="AF206" s="6">
        <v>63</v>
      </c>
      <c r="AG206" s="6"/>
      <c r="AH206" s="7">
        <v>1</v>
      </c>
      <c r="AI206" s="4"/>
      <c r="AJ206" s="4">
        <f>=ROUNDDOWN({0},0)</f>
      </c>
      <c r="AK206" s="5"/>
      <c r="AL206" s="2" t="s">
        <v>233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>
        <v>37</v>
      </c>
      <c r="BK206" s="8">
        <v>1469.04</v>
      </c>
      <c r="BL206" s="2" t="s">
        <v>1502</v>
      </c>
      <c r="BM206" s="7"/>
      <c r="BN206" s="7"/>
      <c r="BO206" s="4"/>
      <c r="BP206" s="8"/>
      <c r="BQ206" s="4"/>
      <c r="BR206" s="8"/>
      <c r="BS206" s="7"/>
      <c r="BT206" s="7"/>
      <c r="BU206" s="2" t="s">
        <v>1503</v>
      </c>
      <c r="BV206" s="2" t="s">
        <v>233</v>
      </c>
      <c r="BW206" s="2" t="s">
        <v>233</v>
      </c>
      <c r="BX206" s="2" t="s">
        <v>241</v>
      </c>
      <c r="BY206" s="2" t="s">
        <v>242</v>
      </c>
      <c r="BZ206" s="2" t="s">
        <v>230</v>
      </c>
      <c r="CA206" s="2" t="s">
        <v>1504</v>
      </c>
      <c r="CB206" s="2" t="s">
        <v>1505</v>
      </c>
      <c r="CC206" s="2" t="s">
        <v>245</v>
      </c>
      <c r="CD206" s="2" t="s">
        <v>233</v>
      </c>
      <c r="CE206" s="4"/>
      <c r="CF206" s="4">
        <v>300</v>
      </c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>
        <v>315</v>
      </c>
      <c r="GD206" s="4">
        <v>295</v>
      </c>
      <c r="GE206" s="4">
        <v>286</v>
      </c>
      <c r="GF206" s="4">
        <v>276</v>
      </c>
      <c r="GG206" s="4">
        <v>265</v>
      </c>
      <c r="GH206" s="4">
        <v>255</v>
      </c>
      <c r="GI206" s="4">
        <v>245</v>
      </c>
      <c r="GJ206" s="4">
        <v>237</v>
      </c>
      <c r="GK206" s="4">
        <v>229</v>
      </c>
      <c r="GL206" s="4">
        <v>221</v>
      </c>
      <c r="GM206" s="4">
        <v>213</v>
      </c>
      <c r="GN206" s="4">
        <v>205</v>
      </c>
      <c r="GO206" s="4">
        <v>197</v>
      </c>
      <c r="GP206" s="4">
        <v>189</v>
      </c>
      <c r="GQ206" s="4">
        <v>181</v>
      </c>
      <c r="GR206" s="4">
        <v>173</v>
      </c>
      <c r="GS206" s="4">
        <v>165</v>
      </c>
      <c r="GT206" s="4">
        <v>155</v>
      </c>
      <c r="GU206" s="4">
        <v>147</v>
      </c>
      <c r="GV206" s="4">
        <v>139</v>
      </c>
      <c r="GW206" s="4">
        <v>131</v>
      </c>
      <c r="GX206" s="4">
        <v>123</v>
      </c>
      <c r="GY206" s="4">
        <v>115</v>
      </c>
      <c r="GZ206" s="4">
        <v>107</v>
      </c>
      <c r="HA206" s="4">
        <v>99</v>
      </c>
      <c r="HB206" s="4">
        <v>91</v>
      </c>
      <c r="HC206" s="19">
        <v>26.3</v>
      </c>
      <c r="HD206" s="19">
        <v>29.5</v>
      </c>
      <c r="HE206" s="19">
        <v>28.6</v>
      </c>
      <c r="HF206" s="19">
        <v>27.6</v>
      </c>
      <c r="HG206" s="19">
        <v>29.4</v>
      </c>
      <c r="HH206" s="19">
        <v>31.9</v>
      </c>
      <c r="HI206" s="19">
        <v>30.6</v>
      </c>
      <c r="HJ206" s="19">
        <v>29.6</v>
      </c>
      <c r="HK206" s="19">
        <v>28.6</v>
      </c>
      <c r="HL206" s="19">
        <v>27.6</v>
      </c>
      <c r="HM206" s="19">
        <v>26.6</v>
      </c>
      <c r="HN206" s="19">
        <v>25.6</v>
      </c>
      <c r="HO206" s="19">
        <v>24.6</v>
      </c>
      <c r="HP206" s="19">
        <v>23.6</v>
      </c>
      <c r="HQ206" s="19">
        <v>22.6</v>
      </c>
      <c r="HR206" s="19">
        <v>21.6</v>
      </c>
      <c r="HS206" s="19">
        <v>20.6</v>
      </c>
      <c r="HT206" s="19">
        <v>19.4</v>
      </c>
      <c r="HU206" s="19">
        <v>18.4</v>
      </c>
      <c r="HV206" s="19">
        <v>17.4</v>
      </c>
      <c r="HW206" s="19">
        <v>16.4</v>
      </c>
      <c r="HX206" s="19">
        <v>15.4</v>
      </c>
      <c r="HY206" s="19">
        <v>14.4</v>
      </c>
      <c r="HZ206" s="19">
        <v>13.4</v>
      </c>
      <c r="IA206" s="19">
        <v>12.4</v>
      </c>
      <c r="IB206" s="19">
        <v>11.4</v>
      </c>
    </row>
    <row r="207">
      <c r="A207" s="2" t="s">
        <v>1506</v>
      </c>
      <c r="B207" s="2" t="s">
        <v>872</v>
      </c>
      <c r="C207" s="2" t="s">
        <v>1398</v>
      </c>
      <c r="D207" s="2" t="s">
        <v>261</v>
      </c>
      <c r="E207" s="2" t="s">
        <v>895</v>
      </c>
      <c r="F207" s="2" t="s">
        <v>1507</v>
      </c>
      <c r="G207" s="2" t="s">
        <v>1508</v>
      </c>
      <c r="H207" s="2" t="s">
        <v>1509</v>
      </c>
      <c r="I207" s="2" t="s">
        <v>1510</v>
      </c>
      <c r="J207" s="2" t="s">
        <v>1052</v>
      </c>
      <c r="K207" s="2" t="s">
        <v>1511</v>
      </c>
      <c r="L207" s="3">
        <v>23.8</v>
      </c>
      <c r="M207" s="3">
        <v>24.99</v>
      </c>
      <c r="N207" s="3">
        <v>49.99</v>
      </c>
      <c r="O207" s="2" t="s">
        <v>230</v>
      </c>
      <c r="P207" s="2" t="s">
        <v>597</v>
      </c>
      <c r="Q207" s="2" t="s">
        <v>232</v>
      </c>
      <c r="R207" s="2" t="s">
        <v>233</v>
      </c>
      <c r="S207" s="2" t="s">
        <v>1512</v>
      </c>
      <c r="T207" s="2" t="s">
        <v>469</v>
      </c>
      <c r="U207" s="2" t="s">
        <v>711</v>
      </c>
      <c r="V207" s="2" t="s">
        <v>349</v>
      </c>
      <c r="W207" s="2" t="s">
        <v>620</v>
      </c>
      <c r="X207" s="2" t="s">
        <v>237</v>
      </c>
      <c r="Y207" s="2" t="s">
        <v>1513</v>
      </c>
      <c r="Z207" s="4">
        <v>923</v>
      </c>
      <c r="AA207" s="4">
        <f>=ROUNDDOWN(65.9285714285714,0)</f>
      </c>
      <c r="AB207" s="5">
        <v>14</v>
      </c>
      <c r="AC207" s="2" t="s">
        <v>233</v>
      </c>
      <c r="AD207" s="4"/>
      <c r="AE207" s="4"/>
      <c r="AF207" s="6">
        <v>63</v>
      </c>
      <c r="AG207" s="6">
        <v>46</v>
      </c>
      <c r="AH207" s="7">
        <v>1</v>
      </c>
      <c r="AI207" s="4"/>
      <c r="AJ207" s="4">
        <f>=ROUNDDOWN({0},0)</f>
      </c>
      <c r="AK207" s="5"/>
      <c r="AL207" s="2" t="s">
        <v>233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 t="s">
        <v>233</v>
      </c>
      <c r="BD207" s="8" t="s">
        <v>233</v>
      </c>
      <c r="BE207" s="4" t="s">
        <v>233</v>
      </c>
      <c r="BF207" s="8" t="s">
        <v>233</v>
      </c>
      <c r="BG207" s="7" t="s">
        <v>233</v>
      </c>
      <c r="BH207" s="7" t="s">
        <v>233</v>
      </c>
      <c r="BI207" s="7"/>
      <c r="BJ207" s="4">
        <v>30</v>
      </c>
      <c r="BK207" s="8">
        <v>774.16</v>
      </c>
      <c r="BL207" s="2" t="s">
        <v>1514</v>
      </c>
      <c r="BM207" s="7"/>
      <c r="BN207" s="7"/>
      <c r="BO207" s="4"/>
      <c r="BP207" s="8"/>
      <c r="BQ207" s="4"/>
      <c r="BR207" s="8"/>
      <c r="BS207" s="7"/>
      <c r="BT207" s="7"/>
      <c r="BU207" s="2" t="s">
        <v>1515</v>
      </c>
      <c r="BV207" s="2" t="s">
        <v>233</v>
      </c>
      <c r="BW207" s="2" t="s">
        <v>233</v>
      </c>
      <c r="BX207" s="2" t="s">
        <v>1407</v>
      </c>
      <c r="BY207" s="2" t="s">
        <v>242</v>
      </c>
      <c r="BZ207" s="2" t="s">
        <v>230</v>
      </c>
      <c r="CA207" s="2" t="s">
        <v>1516</v>
      </c>
      <c r="CB207" s="2" t="s">
        <v>1517</v>
      </c>
      <c r="CC207" s="2" t="s">
        <v>245</v>
      </c>
      <c r="CD207" s="2" t="s">
        <v>233</v>
      </c>
      <c r="CE207" s="4">
        <v>359</v>
      </c>
      <c r="CF207" s="4"/>
      <c r="CG207" s="4"/>
      <c r="CH207" s="4">
        <v>564</v>
      </c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>
        <v>924</v>
      </c>
      <c r="GD207" s="4">
        <v>837</v>
      </c>
      <c r="GE207" s="4">
        <v>768</v>
      </c>
      <c r="GF207" s="4">
        <v>711</v>
      </c>
      <c r="GG207" s="4">
        <v>616</v>
      </c>
      <c r="GH207" s="4">
        <v>548</v>
      </c>
      <c r="GI207" s="4">
        <v>480</v>
      </c>
      <c r="GJ207" s="4">
        <v>415</v>
      </c>
      <c r="GK207" s="4">
        <v>364</v>
      </c>
      <c r="GL207" s="4">
        <v>349</v>
      </c>
      <c r="GM207" s="4">
        <v>336</v>
      </c>
      <c r="GN207" s="4">
        <v>323</v>
      </c>
      <c r="GO207" s="4">
        <v>310</v>
      </c>
      <c r="GP207" s="4">
        <v>297</v>
      </c>
      <c r="GQ207" s="4">
        <v>284</v>
      </c>
      <c r="GR207" s="4">
        <v>271</v>
      </c>
      <c r="GS207" s="4">
        <v>258</v>
      </c>
      <c r="GT207" s="4">
        <v>487</v>
      </c>
      <c r="GU207" s="4">
        <v>473</v>
      </c>
      <c r="GV207" s="4">
        <v>459</v>
      </c>
      <c r="GW207" s="4">
        <v>445</v>
      </c>
      <c r="GX207" s="4">
        <v>431</v>
      </c>
      <c r="GY207" s="4">
        <v>417</v>
      </c>
      <c r="GZ207" s="4">
        <v>403</v>
      </c>
      <c r="HA207" s="4">
        <v>389</v>
      </c>
      <c r="HB207" s="4">
        <v>375</v>
      </c>
      <c r="HC207" s="19">
        <v>18</v>
      </c>
      <c r="HD207" s="19">
        <v>18.6</v>
      </c>
      <c r="HE207" s="19">
        <v>17.7</v>
      </c>
      <c r="HF207" s="19">
        <v>12.6</v>
      </c>
      <c r="HG207" s="19">
        <v>9.8</v>
      </c>
      <c r="HH207" s="19">
        <v>9.5</v>
      </c>
      <c r="HI207" s="19">
        <v>9.1</v>
      </c>
      <c r="HJ207" s="19">
        <v>9</v>
      </c>
      <c r="HK207" s="19">
        <v>13</v>
      </c>
      <c r="HL207" s="19">
        <v>13.4</v>
      </c>
      <c r="HM207" s="19">
        <v>12.9</v>
      </c>
      <c r="HN207" s="19">
        <v>12.4</v>
      </c>
      <c r="HO207" s="19">
        <v>11.9</v>
      </c>
      <c r="HP207" s="19">
        <v>10.6</v>
      </c>
      <c r="HQ207" s="19">
        <v>12.9</v>
      </c>
      <c r="HR207" s="19">
        <v>15.1</v>
      </c>
      <c r="HS207" s="19">
        <v>21.5</v>
      </c>
      <c r="HT207" s="19">
        <v>51.5</v>
      </c>
      <c r="HU207" s="19">
        <v>50.5</v>
      </c>
      <c r="HV207" s="19">
        <v>49.5</v>
      </c>
      <c r="HW207" s="19">
        <v>48.5</v>
      </c>
      <c r="HX207" s="19">
        <v>47.5</v>
      </c>
      <c r="HY207" s="19">
        <v>46.5</v>
      </c>
      <c r="HZ207" s="19">
        <v>45.5</v>
      </c>
      <c r="IA207" s="19">
        <v>44.5</v>
      </c>
      <c r="IB207" s="19">
        <v>43.5</v>
      </c>
    </row>
    <row r="208">
      <c r="A208" s="2" t="s">
        <v>1518</v>
      </c>
      <c r="B208" s="2" t="s">
        <v>872</v>
      </c>
      <c r="C208" s="2" t="s">
        <v>1398</v>
      </c>
      <c r="D208" s="2" t="s">
        <v>261</v>
      </c>
      <c r="E208" s="2" t="s">
        <v>895</v>
      </c>
      <c r="F208" s="2" t="s">
        <v>1507</v>
      </c>
      <c r="G208" s="2" t="s">
        <v>1508</v>
      </c>
      <c r="H208" s="2" t="s">
        <v>1509</v>
      </c>
      <c r="I208" s="2" t="s">
        <v>1510</v>
      </c>
      <c r="J208" s="2" t="s">
        <v>1052</v>
      </c>
      <c r="K208" s="2" t="s">
        <v>1519</v>
      </c>
      <c r="L208" s="3">
        <v>23.8</v>
      </c>
      <c r="M208" s="3">
        <v>24.99</v>
      </c>
      <c r="N208" s="3">
        <v>44.99</v>
      </c>
      <c r="O208" s="2" t="s">
        <v>230</v>
      </c>
      <c r="P208" s="2" t="s">
        <v>231</v>
      </c>
      <c r="Q208" s="2" t="s">
        <v>232</v>
      </c>
      <c r="R208" s="2" t="s">
        <v>233</v>
      </c>
      <c r="S208" s="2" t="s">
        <v>1520</v>
      </c>
      <c r="T208" s="2" t="s">
        <v>469</v>
      </c>
      <c r="U208" s="2" t="s">
        <v>711</v>
      </c>
      <c r="V208" s="2" t="s">
        <v>349</v>
      </c>
      <c r="W208" s="2" t="s">
        <v>620</v>
      </c>
      <c r="X208" s="2" t="s">
        <v>237</v>
      </c>
      <c r="Y208" s="2" t="s">
        <v>1521</v>
      </c>
      <c r="Z208" s="4">
        <v>96</v>
      </c>
      <c r="AA208" s="4">
        <f>=ROUNDDOWN(22.8571428571429,0)</f>
      </c>
      <c r="AB208" s="5">
        <v>4.2</v>
      </c>
      <c r="AC208" s="2" t="s">
        <v>154</v>
      </c>
      <c r="AD208" s="4">
        <v>210</v>
      </c>
      <c r="AE208" s="4">
        <v>510</v>
      </c>
      <c r="AF208" s="6">
        <v>63</v>
      </c>
      <c r="AG208" s="6">
        <v>46</v>
      </c>
      <c r="AH208" s="7">
        <v>1</v>
      </c>
      <c r="AI208" s="4"/>
      <c r="AJ208" s="4">
        <f>=ROUNDDOWN({0},0)</f>
      </c>
      <c r="AK208" s="5"/>
      <c r="AL208" s="2" t="s">
        <v>233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 t="s">
        <v>233</v>
      </c>
      <c r="BD208" s="8" t="s">
        <v>233</v>
      </c>
      <c r="BE208" s="4" t="s">
        <v>233</v>
      </c>
      <c r="BF208" s="8" t="s">
        <v>233</v>
      </c>
      <c r="BG208" s="7" t="s">
        <v>233</v>
      </c>
      <c r="BH208" s="7" t="s">
        <v>233</v>
      </c>
      <c r="BI208" s="7"/>
      <c r="BJ208" s="4">
        <v>24</v>
      </c>
      <c r="BK208" s="8">
        <v>594.1</v>
      </c>
      <c r="BL208" s="2" t="s">
        <v>1522</v>
      </c>
      <c r="BM208" s="7"/>
      <c r="BN208" s="7"/>
      <c r="BO208" s="4"/>
      <c r="BP208" s="8"/>
      <c r="BQ208" s="4"/>
      <c r="BR208" s="8"/>
      <c r="BS208" s="7"/>
      <c r="BT208" s="7"/>
      <c r="BU208" s="2" t="s">
        <v>1515</v>
      </c>
      <c r="BV208" s="2" t="s">
        <v>233</v>
      </c>
      <c r="BW208" s="2" t="s">
        <v>233</v>
      </c>
      <c r="BX208" s="2" t="s">
        <v>1407</v>
      </c>
      <c r="BY208" s="2" t="s">
        <v>242</v>
      </c>
      <c r="BZ208" s="2" t="s">
        <v>230</v>
      </c>
      <c r="CA208" s="2" t="s">
        <v>1523</v>
      </c>
      <c r="CB208" s="2" t="s">
        <v>233</v>
      </c>
      <c r="CC208" s="2" t="s">
        <v>245</v>
      </c>
      <c r="CD208" s="2" t="s">
        <v>233</v>
      </c>
      <c r="CE208" s="4">
        <v>26</v>
      </c>
      <c r="CF208" s="4"/>
      <c r="CG208" s="4"/>
      <c r="CH208" s="4">
        <v>70</v>
      </c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>
        <v>210</v>
      </c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>
        <v>300</v>
      </c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>
        <v>103</v>
      </c>
      <c r="GD208" s="4">
        <v>54</v>
      </c>
      <c r="GE208" s="4">
        <v>30</v>
      </c>
      <c r="GF208" s="4">
        <v>10</v>
      </c>
      <c r="GG208" s="4"/>
      <c r="GH208" s="4">
        <v>210</v>
      </c>
      <c r="GI208" s="4">
        <v>184</v>
      </c>
      <c r="GJ208" s="4">
        <v>160</v>
      </c>
      <c r="GK208" s="4">
        <v>140</v>
      </c>
      <c r="GL208" s="4">
        <v>134</v>
      </c>
      <c r="GM208" s="4">
        <v>128</v>
      </c>
      <c r="GN208" s="4">
        <v>122</v>
      </c>
      <c r="GO208" s="4">
        <v>116</v>
      </c>
      <c r="GP208" s="4">
        <v>110</v>
      </c>
      <c r="GQ208" s="4">
        <v>104</v>
      </c>
      <c r="GR208" s="4">
        <v>98</v>
      </c>
      <c r="GS208" s="4">
        <v>392</v>
      </c>
      <c r="GT208" s="4">
        <v>385</v>
      </c>
      <c r="GU208" s="4">
        <v>379</v>
      </c>
      <c r="GV208" s="4">
        <v>373</v>
      </c>
      <c r="GW208" s="4">
        <v>367</v>
      </c>
      <c r="GX208" s="4">
        <v>361</v>
      </c>
      <c r="GY208" s="4">
        <v>355</v>
      </c>
      <c r="GZ208" s="4">
        <v>349</v>
      </c>
      <c r="HA208" s="4">
        <v>343</v>
      </c>
      <c r="HB208" s="4">
        <v>337</v>
      </c>
      <c r="HC208" s="19">
        <v>3</v>
      </c>
      <c r="HD208" s="19">
        <v>1.6</v>
      </c>
      <c r="HE208" s="19">
        <v>0.9</v>
      </c>
      <c r="HF208" s="19">
        <v>0.3</v>
      </c>
      <c r="HG208" s="20">
        <v>0</v>
      </c>
      <c r="HH208" s="19">
        <v>5.6</v>
      </c>
      <c r="HI208" s="19">
        <v>6.6</v>
      </c>
      <c r="HJ208" s="19">
        <v>8</v>
      </c>
      <c r="HK208" s="19">
        <v>11.7</v>
      </c>
      <c r="HL208" s="19">
        <v>11.2</v>
      </c>
      <c r="HM208" s="19">
        <v>10.7</v>
      </c>
      <c r="HN208" s="19">
        <v>10.2</v>
      </c>
      <c r="HO208" s="19">
        <v>9.7</v>
      </c>
      <c r="HP208" s="19">
        <v>11</v>
      </c>
      <c r="HQ208" s="19">
        <v>13</v>
      </c>
      <c r="HR208" s="19">
        <v>16.4</v>
      </c>
      <c r="HS208" s="19">
        <v>60.5</v>
      </c>
      <c r="HT208" s="19">
        <v>59.4</v>
      </c>
      <c r="HU208" s="19">
        <v>58.4</v>
      </c>
      <c r="HV208" s="19">
        <v>57.4</v>
      </c>
      <c r="HW208" s="19">
        <v>56.4</v>
      </c>
      <c r="HX208" s="19">
        <v>55.4</v>
      </c>
      <c r="HY208" s="19">
        <v>54.4</v>
      </c>
      <c r="HZ208" s="19">
        <v>53.4</v>
      </c>
      <c r="IA208" s="19">
        <v>52.4</v>
      </c>
      <c r="IB208" s="19">
        <v>51.4</v>
      </c>
    </row>
    <row r="209">
      <c r="A209" s="2" t="s">
        <v>1524</v>
      </c>
      <c r="B209" s="2" t="s">
        <v>872</v>
      </c>
      <c r="C209" s="2" t="s">
        <v>1398</v>
      </c>
      <c r="D209" s="2" t="s">
        <v>261</v>
      </c>
      <c r="E209" s="2" t="s">
        <v>895</v>
      </c>
      <c r="F209" s="2" t="s">
        <v>1507</v>
      </c>
      <c r="G209" s="2" t="s">
        <v>1508</v>
      </c>
      <c r="H209" s="2" t="s">
        <v>1509</v>
      </c>
      <c r="I209" s="2" t="s">
        <v>1510</v>
      </c>
      <c r="J209" s="2" t="s">
        <v>1052</v>
      </c>
      <c r="K209" s="2" t="s">
        <v>1525</v>
      </c>
      <c r="L209" s="3">
        <v>23.8</v>
      </c>
      <c r="M209" s="3">
        <v>24.99</v>
      </c>
      <c r="N209" s="3">
        <v>49.99</v>
      </c>
      <c r="O209" s="2" t="s">
        <v>230</v>
      </c>
      <c r="P209" s="2" t="s">
        <v>231</v>
      </c>
      <c r="Q209" s="2" t="s">
        <v>232</v>
      </c>
      <c r="R209" s="2" t="s">
        <v>233</v>
      </c>
      <c r="S209" s="2" t="s">
        <v>1526</v>
      </c>
      <c r="T209" s="2" t="s">
        <v>469</v>
      </c>
      <c r="U209" s="2" t="s">
        <v>711</v>
      </c>
      <c r="V209" s="2" t="s">
        <v>349</v>
      </c>
      <c r="W209" s="2" t="s">
        <v>620</v>
      </c>
      <c r="X209" s="2" t="s">
        <v>237</v>
      </c>
      <c r="Y209" s="2" t="s">
        <v>595</v>
      </c>
      <c r="Z209" s="4">
        <v>337</v>
      </c>
      <c r="AA209" s="4">
        <f>=ROUNDDOWN(67.4,0)</f>
      </c>
      <c r="AB209" s="5">
        <v>5</v>
      </c>
      <c r="AC209" s="2" t="s">
        <v>233</v>
      </c>
      <c r="AD209" s="4"/>
      <c r="AE209" s="4"/>
      <c r="AF209" s="6">
        <v>63</v>
      </c>
      <c r="AG209" s="6">
        <v>46</v>
      </c>
      <c r="AH209" s="7">
        <v>1</v>
      </c>
      <c r="AI209" s="4"/>
      <c r="AJ209" s="4">
        <f>=ROUNDDOWN({0},0)</f>
      </c>
      <c r="AK209" s="5"/>
      <c r="AL209" s="2" t="s">
        <v>233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233</v>
      </c>
      <c r="AW209" s="8" t="s">
        <v>233</v>
      </c>
      <c r="AX209" s="4" t="s">
        <v>233</v>
      </c>
      <c r="AY209" s="8" t="s">
        <v>233</v>
      </c>
      <c r="AZ209" s="7" t="s">
        <v>233</v>
      </c>
      <c r="BA209" s="7" t="s">
        <v>233</v>
      </c>
      <c r="BB209" s="7"/>
      <c r="BC209" s="4" t="s">
        <v>233</v>
      </c>
      <c r="BD209" s="8" t="s">
        <v>233</v>
      </c>
      <c r="BE209" s="4" t="s">
        <v>233</v>
      </c>
      <c r="BF209" s="8" t="s">
        <v>233</v>
      </c>
      <c r="BG209" s="7" t="s">
        <v>233</v>
      </c>
      <c r="BH209" s="7" t="s">
        <v>233</v>
      </c>
      <c r="BI209" s="7"/>
      <c r="BJ209" s="4">
        <v>25</v>
      </c>
      <c r="BK209" s="8">
        <v>691.41</v>
      </c>
      <c r="BL209" s="2" t="s">
        <v>1527</v>
      </c>
      <c r="BM209" s="7"/>
      <c r="BN209" s="7"/>
      <c r="BO209" s="4"/>
      <c r="BP209" s="8"/>
      <c r="BQ209" s="4"/>
      <c r="BR209" s="8"/>
      <c r="BS209" s="7"/>
      <c r="BT209" s="7"/>
      <c r="BU209" s="2" t="s">
        <v>1515</v>
      </c>
      <c r="BV209" s="2" t="s">
        <v>233</v>
      </c>
      <c r="BW209" s="2" t="s">
        <v>233</v>
      </c>
      <c r="BX209" s="2" t="s">
        <v>1407</v>
      </c>
      <c r="BY209" s="2" t="s">
        <v>242</v>
      </c>
      <c r="BZ209" s="2" t="s">
        <v>230</v>
      </c>
      <c r="CA209" s="2" t="s">
        <v>595</v>
      </c>
      <c r="CB209" s="2" t="s">
        <v>589</v>
      </c>
      <c r="CC209" s="2" t="s">
        <v>245</v>
      </c>
      <c r="CD209" s="2" t="s">
        <v>233</v>
      </c>
      <c r="CE209" s="4">
        <v>215</v>
      </c>
      <c r="CF209" s="4"/>
      <c r="CG209" s="4"/>
      <c r="CH209" s="4">
        <v>122</v>
      </c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>
        <v>339</v>
      </c>
      <c r="GD209" s="4">
        <v>314</v>
      </c>
      <c r="GE209" s="4">
        <v>283</v>
      </c>
      <c r="GF209" s="4">
        <v>261</v>
      </c>
      <c r="GG209" s="4">
        <v>227</v>
      </c>
      <c r="GH209" s="4">
        <v>201</v>
      </c>
      <c r="GI209" s="4">
        <v>177</v>
      </c>
      <c r="GJ209" s="4">
        <v>141</v>
      </c>
      <c r="GK209" s="4">
        <v>122</v>
      </c>
      <c r="GL209" s="4">
        <v>115</v>
      </c>
      <c r="GM209" s="4">
        <v>111</v>
      </c>
      <c r="GN209" s="4">
        <v>107</v>
      </c>
      <c r="GO209" s="4">
        <v>103</v>
      </c>
      <c r="GP209" s="4">
        <v>99</v>
      </c>
      <c r="GQ209" s="4">
        <v>124</v>
      </c>
      <c r="GR209" s="4">
        <v>120</v>
      </c>
      <c r="GS209" s="4">
        <v>116</v>
      </c>
      <c r="GT209" s="4">
        <v>112</v>
      </c>
      <c r="GU209" s="4">
        <v>108</v>
      </c>
      <c r="GV209" s="4">
        <v>104</v>
      </c>
      <c r="GW209" s="4">
        <v>99</v>
      </c>
      <c r="GX209" s="4">
        <v>94</v>
      </c>
      <c r="GY209" s="4">
        <v>89</v>
      </c>
      <c r="GZ209" s="4">
        <v>84</v>
      </c>
      <c r="HA209" s="4">
        <v>79</v>
      </c>
      <c r="HB209" s="4">
        <v>74</v>
      </c>
      <c r="HC209" s="19">
        <v>11.9</v>
      </c>
      <c r="HD209" s="19">
        <v>11</v>
      </c>
      <c r="HE209" s="19">
        <v>10.7</v>
      </c>
      <c r="HF209" s="19">
        <v>8.5</v>
      </c>
      <c r="HG209" s="19">
        <v>8.5</v>
      </c>
      <c r="HH209" s="19">
        <v>9.3</v>
      </c>
      <c r="HI209" s="19">
        <v>9.9</v>
      </c>
      <c r="HJ209" s="19">
        <v>17.7</v>
      </c>
      <c r="HK209" s="19">
        <v>30.5</v>
      </c>
      <c r="HL209" s="19">
        <v>28.8</v>
      </c>
      <c r="HM209" s="19">
        <v>27.8</v>
      </c>
      <c r="HN209" s="19">
        <v>26.8</v>
      </c>
      <c r="HO209" s="19">
        <v>25.8</v>
      </c>
      <c r="HP209" s="19">
        <v>24.8</v>
      </c>
      <c r="HQ209" s="19">
        <v>31</v>
      </c>
      <c r="HR209" s="19">
        <v>30</v>
      </c>
      <c r="HS209" s="19">
        <v>29</v>
      </c>
      <c r="HT209" s="19">
        <v>28</v>
      </c>
      <c r="HU209" s="19">
        <v>21</v>
      </c>
      <c r="HV209" s="19">
        <v>20.2</v>
      </c>
      <c r="HW209" s="19">
        <v>19.2</v>
      </c>
      <c r="HX209" s="19">
        <v>18.2</v>
      </c>
      <c r="HY209" s="19">
        <v>17.2</v>
      </c>
      <c r="HZ209" s="19">
        <v>16.2</v>
      </c>
      <c r="IA209" s="19">
        <v>15.2</v>
      </c>
      <c r="IB209" s="19">
        <v>14.2</v>
      </c>
    </row>
    <row r="210">
      <c r="A210" s="2" t="s">
        <v>1528</v>
      </c>
      <c r="B210" s="2" t="s">
        <v>872</v>
      </c>
      <c r="C210" s="2" t="s">
        <v>1398</v>
      </c>
      <c r="D210" s="2" t="s">
        <v>261</v>
      </c>
      <c r="E210" s="2" t="s">
        <v>895</v>
      </c>
      <c r="F210" s="2" t="s">
        <v>1507</v>
      </c>
      <c r="G210" s="2" t="s">
        <v>1508</v>
      </c>
      <c r="H210" s="2" t="s">
        <v>1509</v>
      </c>
      <c r="I210" s="2" t="s">
        <v>1510</v>
      </c>
      <c r="J210" s="2" t="s">
        <v>265</v>
      </c>
      <c r="K210" s="2" t="s">
        <v>1525</v>
      </c>
      <c r="L210" s="3">
        <v>30.95</v>
      </c>
      <c r="M210" s="3">
        <v>32.5</v>
      </c>
      <c r="N210" s="3">
        <v>64.99</v>
      </c>
      <c r="O210" s="2" t="s">
        <v>230</v>
      </c>
      <c r="P210" s="2" t="s">
        <v>231</v>
      </c>
      <c r="Q210" s="2" t="s">
        <v>232</v>
      </c>
      <c r="R210" s="2" t="s">
        <v>233</v>
      </c>
      <c r="S210" s="2" t="s">
        <v>1526</v>
      </c>
      <c r="T210" s="2" t="s">
        <v>469</v>
      </c>
      <c r="U210" s="2" t="s">
        <v>781</v>
      </c>
      <c r="V210" s="2" t="s">
        <v>349</v>
      </c>
      <c r="W210" s="2" t="s">
        <v>620</v>
      </c>
      <c r="X210" s="2" t="s">
        <v>237</v>
      </c>
      <c r="Y210" s="2" t="s">
        <v>595</v>
      </c>
      <c r="Z210" s="4">
        <v>1018</v>
      </c>
      <c r="AA210" s="4">
        <f>=ROUNDDOWN(40.72,0)</f>
      </c>
      <c r="AB210" s="5">
        <v>25</v>
      </c>
      <c r="AC210" s="2" t="s">
        <v>233</v>
      </c>
      <c r="AD210" s="4"/>
      <c r="AE210" s="4"/>
      <c r="AF210" s="6">
        <v>63</v>
      </c>
      <c r="AG210" s="6">
        <v>46</v>
      </c>
      <c r="AH210" s="7">
        <v>1</v>
      </c>
      <c r="AI210" s="4"/>
      <c r="AJ210" s="4">
        <f>=ROUNDDOWN({0},0)</f>
      </c>
      <c r="AK210" s="5"/>
      <c r="AL210" s="2" t="s">
        <v>233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233</v>
      </c>
      <c r="AW210" s="8" t="s">
        <v>233</v>
      </c>
      <c r="AX210" s="4" t="s">
        <v>233</v>
      </c>
      <c r="AY210" s="8" t="s">
        <v>233</v>
      </c>
      <c r="AZ210" s="7" t="s">
        <v>233</v>
      </c>
      <c r="BA210" s="7" t="s">
        <v>233</v>
      </c>
      <c r="BB210" s="7"/>
      <c r="BC210" s="4" t="s">
        <v>233</v>
      </c>
      <c r="BD210" s="8" t="s">
        <v>233</v>
      </c>
      <c r="BE210" s="4" t="s">
        <v>233</v>
      </c>
      <c r="BF210" s="8" t="s">
        <v>233</v>
      </c>
      <c r="BG210" s="7" t="s">
        <v>233</v>
      </c>
      <c r="BH210" s="7" t="s">
        <v>233</v>
      </c>
      <c r="BI210" s="7"/>
      <c r="BJ210" s="4">
        <v>184</v>
      </c>
      <c r="BK210" s="8">
        <v>6332</v>
      </c>
      <c r="BL210" s="2" t="s">
        <v>1529</v>
      </c>
      <c r="BM210" s="7"/>
      <c r="BN210" s="7"/>
      <c r="BO210" s="4"/>
      <c r="BP210" s="8"/>
      <c r="BQ210" s="4"/>
      <c r="BR210" s="8"/>
      <c r="BS210" s="7"/>
      <c r="BT210" s="7"/>
      <c r="BU210" s="2" t="s">
        <v>1515</v>
      </c>
      <c r="BV210" s="2" t="s">
        <v>233</v>
      </c>
      <c r="BW210" s="2" t="s">
        <v>233</v>
      </c>
      <c r="BX210" s="2" t="s">
        <v>1407</v>
      </c>
      <c r="BY210" s="2" t="s">
        <v>242</v>
      </c>
      <c r="BZ210" s="2" t="s">
        <v>230</v>
      </c>
      <c r="CA210" s="2" t="s">
        <v>595</v>
      </c>
      <c r="CB210" s="2" t="s">
        <v>443</v>
      </c>
      <c r="CC210" s="2" t="s">
        <v>245</v>
      </c>
      <c r="CD210" s="2" t="s">
        <v>233</v>
      </c>
      <c r="CE210" s="4">
        <v>417</v>
      </c>
      <c r="CF210" s="4"/>
      <c r="CG210" s="4"/>
      <c r="CH210" s="4">
        <v>601</v>
      </c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>
        <v>1033</v>
      </c>
      <c r="GD210" s="4">
        <v>881</v>
      </c>
      <c r="GE210" s="4">
        <v>760</v>
      </c>
      <c r="GF210" s="4">
        <v>660</v>
      </c>
      <c r="GG210" s="4">
        <v>496</v>
      </c>
      <c r="GH210" s="4">
        <v>385</v>
      </c>
      <c r="GI210" s="4">
        <v>274</v>
      </c>
      <c r="GJ210" s="4">
        <v>163</v>
      </c>
      <c r="GK210" s="4">
        <v>72</v>
      </c>
      <c r="GL210" s="4">
        <v>42</v>
      </c>
      <c r="GM210" s="4">
        <v>22</v>
      </c>
      <c r="GN210" s="4">
        <v>2</v>
      </c>
      <c r="GO210" s="4"/>
      <c r="GP210" s="4"/>
      <c r="GQ210" s="4">
        <v>188</v>
      </c>
      <c r="GR210" s="4">
        <v>150</v>
      </c>
      <c r="GS210" s="4">
        <v>127</v>
      </c>
      <c r="GT210" s="4">
        <v>553</v>
      </c>
      <c r="GU210" s="4">
        <v>528</v>
      </c>
      <c r="GV210" s="4">
        <v>503</v>
      </c>
      <c r="GW210" s="4">
        <v>478</v>
      </c>
      <c r="GX210" s="4">
        <v>453</v>
      </c>
      <c r="GY210" s="4">
        <v>428</v>
      </c>
      <c r="GZ210" s="4">
        <v>403</v>
      </c>
      <c r="HA210" s="4">
        <v>377</v>
      </c>
      <c r="HB210" s="4">
        <v>352</v>
      </c>
      <c r="HC210" s="19">
        <v>13.2</v>
      </c>
      <c r="HD210" s="19">
        <v>7.9</v>
      </c>
      <c r="HE210" s="19">
        <v>5.8</v>
      </c>
      <c r="HF210" s="19">
        <v>4.5</v>
      </c>
      <c r="HG210" s="19">
        <v>2.4</v>
      </c>
      <c r="HH210" s="19">
        <v>2.3</v>
      </c>
      <c r="HI210" s="19">
        <v>2.2</v>
      </c>
      <c r="HJ210" s="19">
        <v>2.1</v>
      </c>
      <c r="HK210" s="19">
        <v>2</v>
      </c>
      <c r="HL210" s="19">
        <v>1.8</v>
      </c>
      <c r="HM210" s="19">
        <v>1.4</v>
      </c>
      <c r="HN210" s="19">
        <v>0.1</v>
      </c>
      <c r="HO210" s="20">
        <v>0</v>
      </c>
      <c r="HP210" s="20">
        <v>0</v>
      </c>
      <c r="HQ210" s="19">
        <v>3.9</v>
      </c>
      <c r="HR210" s="19">
        <v>5</v>
      </c>
      <c r="HS210" s="19">
        <v>5.8</v>
      </c>
      <c r="HT210" s="19">
        <v>21.3</v>
      </c>
      <c r="HU210" s="19">
        <v>20.3</v>
      </c>
      <c r="HV210" s="19">
        <v>19.3</v>
      </c>
      <c r="HW210" s="19">
        <v>18.3</v>
      </c>
      <c r="HX210" s="19">
        <v>17.3</v>
      </c>
      <c r="HY210" s="19">
        <v>16.3</v>
      </c>
      <c r="HZ210" s="19">
        <v>15.3</v>
      </c>
      <c r="IA210" s="19">
        <v>14.3</v>
      </c>
      <c r="IB210" s="19">
        <v>13.3</v>
      </c>
    </row>
    <row r="211">
      <c r="A211" s="2" t="s">
        <v>1530</v>
      </c>
      <c r="B211" s="2" t="s">
        <v>761</v>
      </c>
      <c r="C211" s="2" t="s">
        <v>280</v>
      </c>
      <c r="D211" s="2" t="s">
        <v>1531</v>
      </c>
      <c r="E211" s="2" t="s">
        <v>1532</v>
      </c>
      <c r="F211" s="2" t="s">
        <v>1533</v>
      </c>
      <c r="G211" s="2" t="s">
        <v>1534</v>
      </c>
      <c r="H211" s="2" t="s">
        <v>1535</v>
      </c>
      <c r="I211" s="2" t="s">
        <v>1536</v>
      </c>
      <c r="J211" s="2" t="s">
        <v>741</v>
      </c>
      <c r="K211" s="2" t="s">
        <v>300</v>
      </c>
      <c r="L211" s="3">
        <v>276</v>
      </c>
      <c r="M211" s="3">
        <v>289.8</v>
      </c>
      <c r="N211" s="3">
        <v>579</v>
      </c>
      <c r="O211" s="2" t="s">
        <v>230</v>
      </c>
      <c r="P211" s="2" t="s">
        <v>721</v>
      </c>
      <c r="Q211" s="2" t="s">
        <v>232</v>
      </c>
      <c r="R211" s="2" t="s">
        <v>233</v>
      </c>
      <c r="S211" s="2" t="s">
        <v>1537</v>
      </c>
      <c r="T211" s="2" t="s">
        <v>233</v>
      </c>
      <c r="U211" s="2" t="s">
        <v>329</v>
      </c>
      <c r="V211" s="2" t="s">
        <v>236</v>
      </c>
      <c r="W211" s="2" t="s">
        <v>712</v>
      </c>
      <c r="X211" s="2" t="s">
        <v>233</v>
      </c>
      <c r="Y211" s="2" t="s">
        <v>1538</v>
      </c>
      <c r="Z211" s="4">
        <v>100</v>
      </c>
      <c r="AA211" s="4">
        <f>=ROUNDDOWN(33.3333333333333,0)</f>
      </c>
      <c r="AB211" s="5">
        <v>3</v>
      </c>
      <c r="AC211" s="2" t="s">
        <v>746</v>
      </c>
      <c r="AD211" s="4">
        <v>44</v>
      </c>
      <c r="AE211" s="4">
        <v>100</v>
      </c>
      <c r="AF211" s="6">
        <v>69</v>
      </c>
      <c r="AG211" s="6"/>
      <c r="AH211" s="7">
        <v>1</v>
      </c>
      <c r="AI211" s="4"/>
      <c r="AJ211" s="4">
        <f>=ROUNDDOWN({0},0)</f>
      </c>
      <c r="AK211" s="5"/>
      <c r="AL211" s="2" t="s">
        <v>233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/>
      <c r="BD211" s="8"/>
      <c r="BE211" s="4"/>
      <c r="BF211" s="8"/>
      <c r="BG211" s="7"/>
      <c r="BH211" s="7"/>
      <c r="BI211" s="7"/>
      <c r="BJ211" s="4">
        <v>2</v>
      </c>
      <c r="BK211" s="8">
        <v>579.6</v>
      </c>
      <c r="BL211" s="2" t="s">
        <v>1304</v>
      </c>
      <c r="BM211" s="7"/>
      <c r="BN211" s="7"/>
      <c r="BO211" s="4"/>
      <c r="BP211" s="8"/>
      <c r="BQ211" s="4"/>
      <c r="BR211" s="8"/>
      <c r="BS211" s="7"/>
      <c r="BT211" s="7"/>
      <c r="BU211" s="2" t="s">
        <v>1539</v>
      </c>
      <c r="BV211" s="2" t="s">
        <v>233</v>
      </c>
      <c r="BW211" s="2" t="s">
        <v>233</v>
      </c>
      <c r="BX211" s="2" t="s">
        <v>241</v>
      </c>
      <c r="BY211" s="2" t="s">
        <v>242</v>
      </c>
      <c r="BZ211" s="2" t="s">
        <v>230</v>
      </c>
      <c r="CA211" s="2" t="s">
        <v>1540</v>
      </c>
      <c r="CB211" s="2" t="s">
        <v>1541</v>
      </c>
      <c r="CC211" s="2" t="s">
        <v>245</v>
      </c>
      <c r="CD211" s="2" t="s">
        <v>233</v>
      </c>
      <c r="CE211" s="4"/>
      <c r="CF211" s="4">
        <v>100</v>
      </c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>
        <v>44</v>
      </c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>
        <v>56</v>
      </c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>
        <v>100</v>
      </c>
      <c r="GD211" s="4">
        <v>96</v>
      </c>
      <c r="GE211" s="4">
        <v>92</v>
      </c>
      <c r="GF211" s="4">
        <v>88</v>
      </c>
      <c r="GG211" s="4">
        <v>82</v>
      </c>
      <c r="GH211" s="4">
        <v>122</v>
      </c>
      <c r="GI211" s="4">
        <v>119</v>
      </c>
      <c r="GJ211" s="4">
        <v>173</v>
      </c>
      <c r="GK211" s="4">
        <v>171</v>
      </c>
      <c r="GL211" s="4">
        <v>168</v>
      </c>
      <c r="GM211" s="4">
        <v>166</v>
      </c>
      <c r="GN211" s="4">
        <v>163</v>
      </c>
      <c r="GO211" s="4">
        <v>161</v>
      </c>
      <c r="GP211" s="4">
        <v>159</v>
      </c>
      <c r="GQ211" s="4">
        <v>156</v>
      </c>
      <c r="GR211" s="4">
        <v>153</v>
      </c>
      <c r="GS211" s="4">
        <v>150</v>
      </c>
      <c r="GT211" s="4">
        <v>146</v>
      </c>
      <c r="GU211" s="4">
        <v>144</v>
      </c>
      <c r="GV211" s="4">
        <v>141</v>
      </c>
      <c r="GW211" s="4">
        <v>138</v>
      </c>
      <c r="GX211" s="4">
        <v>135</v>
      </c>
      <c r="GY211" s="4">
        <v>132</v>
      </c>
      <c r="GZ211" s="4">
        <v>129</v>
      </c>
      <c r="HA211" s="4">
        <v>126</v>
      </c>
      <c r="HB211" s="4">
        <v>123</v>
      </c>
      <c r="HC211" s="19">
        <v>25</v>
      </c>
      <c r="HD211" s="19">
        <v>24</v>
      </c>
      <c r="HE211" s="19">
        <v>23</v>
      </c>
      <c r="HF211" s="19">
        <v>22</v>
      </c>
      <c r="HG211" s="19">
        <v>27.3</v>
      </c>
      <c r="HH211" s="19">
        <v>61</v>
      </c>
      <c r="HI211" s="19">
        <v>59.5</v>
      </c>
      <c r="HJ211" s="19">
        <v>86.5</v>
      </c>
      <c r="HK211" s="19">
        <v>85.5</v>
      </c>
      <c r="HL211" s="19">
        <v>84</v>
      </c>
      <c r="HM211" s="19">
        <v>83</v>
      </c>
      <c r="HN211" s="19">
        <v>81.5</v>
      </c>
      <c r="HO211" s="19">
        <v>53.7</v>
      </c>
      <c r="HP211" s="19">
        <v>53</v>
      </c>
      <c r="HQ211" s="19">
        <v>52</v>
      </c>
      <c r="HR211" s="19">
        <v>51</v>
      </c>
      <c r="HS211" s="19">
        <v>50</v>
      </c>
      <c r="HT211" s="19">
        <v>48.7</v>
      </c>
      <c r="HU211" s="19">
        <v>48</v>
      </c>
      <c r="HV211" s="19">
        <v>47</v>
      </c>
      <c r="HW211" s="19">
        <v>46</v>
      </c>
      <c r="HX211" s="19">
        <v>45</v>
      </c>
      <c r="HY211" s="19">
        <v>44</v>
      </c>
      <c r="HZ211" s="19">
        <v>43</v>
      </c>
      <c r="IA211" s="19">
        <v>42</v>
      </c>
      <c r="IB211" s="19">
        <v>41</v>
      </c>
    </row>
    <row r="212">
      <c r="A212" s="2" t="s">
        <v>1542</v>
      </c>
      <c r="B212" s="2" t="s">
        <v>872</v>
      </c>
      <c r="C212" s="2" t="s">
        <v>908</v>
      </c>
      <c r="D212" s="2" t="s">
        <v>261</v>
      </c>
      <c r="E212" s="2" t="s">
        <v>895</v>
      </c>
      <c r="F212" s="2" t="s">
        <v>1543</v>
      </c>
      <c r="G212" s="2" t="s">
        <v>1543</v>
      </c>
      <c r="H212" s="2" t="s">
        <v>1543</v>
      </c>
      <c r="I212" s="2" t="s">
        <v>1544</v>
      </c>
      <c r="J212" s="2" t="s">
        <v>1052</v>
      </c>
      <c r="K212" s="2" t="s">
        <v>1014</v>
      </c>
      <c r="L212" s="3">
        <v>45.71</v>
      </c>
      <c r="M212" s="3">
        <v>48</v>
      </c>
      <c r="N212" s="3">
        <v>99.99</v>
      </c>
      <c r="O212" s="2" t="s">
        <v>230</v>
      </c>
      <c r="P212" s="2" t="s">
        <v>231</v>
      </c>
      <c r="Q212" s="2" t="s">
        <v>232</v>
      </c>
      <c r="R212" s="2" t="s">
        <v>233</v>
      </c>
      <c r="S212" s="2" t="s">
        <v>1545</v>
      </c>
      <c r="T212" s="2" t="s">
        <v>1546</v>
      </c>
      <c r="U212" s="2" t="s">
        <v>711</v>
      </c>
      <c r="V212" s="2" t="s">
        <v>1547</v>
      </c>
      <c r="W212" s="2" t="s">
        <v>915</v>
      </c>
      <c r="X212" s="2" t="s">
        <v>712</v>
      </c>
      <c r="Y212" s="2" t="s">
        <v>1548</v>
      </c>
      <c r="Z212" s="4">
        <v>112</v>
      </c>
      <c r="AA212" s="4">
        <f>=ROUNDDOWN(22.4,0)</f>
      </c>
      <c r="AB212" s="5">
        <v>5</v>
      </c>
      <c r="AC212" s="2" t="s">
        <v>490</v>
      </c>
      <c r="AD212" s="4">
        <v>100</v>
      </c>
      <c r="AE212" s="4">
        <v>170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233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>
        <v>12</v>
      </c>
      <c r="BK212" s="8">
        <v>630.92</v>
      </c>
      <c r="BL212" s="2" t="s">
        <v>1549</v>
      </c>
      <c r="BM212" s="7"/>
      <c r="BN212" s="7"/>
      <c r="BO212" s="4"/>
      <c r="BP212" s="8"/>
      <c r="BQ212" s="4"/>
      <c r="BR212" s="8"/>
      <c r="BS212" s="7"/>
      <c r="BT212" s="7"/>
      <c r="BU212" s="2" t="s">
        <v>1550</v>
      </c>
      <c r="BV212" s="2" t="s">
        <v>233</v>
      </c>
      <c r="BW212" s="2" t="s">
        <v>233</v>
      </c>
      <c r="BX212" s="2" t="s">
        <v>241</v>
      </c>
      <c r="BY212" s="2" t="s">
        <v>242</v>
      </c>
      <c r="BZ212" s="2" t="s">
        <v>230</v>
      </c>
      <c r="CA212" s="2" t="s">
        <v>1551</v>
      </c>
      <c r="CB212" s="2" t="s">
        <v>1552</v>
      </c>
      <c r="CC212" s="2" t="s">
        <v>245</v>
      </c>
      <c r="CD212" s="2" t="s">
        <v>233</v>
      </c>
      <c r="CE212" s="4">
        <v>112</v>
      </c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>
        <v>100</v>
      </c>
      <c r="DZ212" s="4"/>
      <c r="EA212" s="4"/>
      <c r="EB212" s="4"/>
      <c r="EC212" s="4"/>
      <c r="ED212" s="4">
        <v>70</v>
      </c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>
        <v>114</v>
      </c>
      <c r="GD212" s="4">
        <v>92</v>
      </c>
      <c r="GE212" s="4">
        <v>78</v>
      </c>
      <c r="GF212" s="4">
        <v>74</v>
      </c>
      <c r="GG212" s="4">
        <v>49</v>
      </c>
      <c r="GH212" s="4">
        <v>41</v>
      </c>
      <c r="GI212" s="4">
        <v>132</v>
      </c>
      <c r="GJ212" s="4">
        <v>193</v>
      </c>
      <c r="GK212" s="4">
        <v>184</v>
      </c>
      <c r="GL212" s="4">
        <v>175</v>
      </c>
      <c r="GM212" s="4">
        <v>166</v>
      </c>
      <c r="GN212" s="4">
        <v>157</v>
      </c>
      <c r="GO212" s="4">
        <v>148</v>
      </c>
      <c r="GP212" s="4">
        <v>139</v>
      </c>
      <c r="GQ212" s="4">
        <v>134</v>
      </c>
      <c r="GR212" s="4">
        <v>129</v>
      </c>
      <c r="GS212" s="4">
        <v>124</v>
      </c>
      <c r="GT212" s="4">
        <v>118</v>
      </c>
      <c r="GU212" s="4">
        <v>113</v>
      </c>
      <c r="GV212" s="4">
        <v>117</v>
      </c>
      <c r="GW212" s="4">
        <v>112</v>
      </c>
      <c r="GX212" s="4">
        <v>107</v>
      </c>
      <c r="GY212" s="4">
        <v>102</v>
      </c>
      <c r="GZ212" s="4">
        <v>97</v>
      </c>
      <c r="HA212" s="4">
        <v>92</v>
      </c>
      <c r="HB212" s="4">
        <v>87</v>
      </c>
      <c r="HC212" s="19">
        <v>7.1</v>
      </c>
      <c r="HD212" s="19">
        <v>7.1</v>
      </c>
      <c r="HE212" s="19">
        <v>6.5</v>
      </c>
      <c r="HF212" s="19">
        <v>5.7</v>
      </c>
      <c r="HG212" s="19">
        <v>5.4</v>
      </c>
      <c r="HH212" s="19">
        <v>4.6</v>
      </c>
      <c r="HI212" s="19">
        <v>14.7</v>
      </c>
      <c r="HJ212" s="19">
        <v>21.4</v>
      </c>
      <c r="HK212" s="19">
        <v>20.4</v>
      </c>
      <c r="HL212" s="19">
        <v>19.4</v>
      </c>
      <c r="HM212" s="19">
        <v>20.8</v>
      </c>
      <c r="HN212" s="19">
        <v>22.4</v>
      </c>
      <c r="HO212" s="19">
        <v>24.7</v>
      </c>
      <c r="HP212" s="19">
        <v>27.8</v>
      </c>
      <c r="HQ212" s="19">
        <v>26.8</v>
      </c>
      <c r="HR212" s="19">
        <v>25.8</v>
      </c>
      <c r="HS212" s="19">
        <v>24.8</v>
      </c>
      <c r="HT212" s="19">
        <v>23.6</v>
      </c>
      <c r="HU212" s="19">
        <v>22.6</v>
      </c>
      <c r="HV212" s="19">
        <v>23.4</v>
      </c>
      <c r="HW212" s="19">
        <v>22.4</v>
      </c>
      <c r="HX212" s="19">
        <v>21.4</v>
      </c>
      <c r="HY212" s="19">
        <v>20.4</v>
      </c>
      <c r="HZ212" s="19">
        <v>19.4</v>
      </c>
      <c r="IA212" s="19">
        <v>18.4</v>
      </c>
      <c r="IB212" s="19">
        <v>17.4</v>
      </c>
    </row>
    <row r="213">
      <c r="A213" s="2" t="s">
        <v>1553</v>
      </c>
      <c r="B213" s="2" t="s">
        <v>773</v>
      </c>
      <c r="C213" s="2" t="s">
        <v>762</v>
      </c>
      <c r="D213" s="2" t="s">
        <v>297</v>
      </c>
      <c r="E213" s="2" t="s">
        <v>298</v>
      </c>
      <c r="F213" s="2" t="s">
        <v>1554</v>
      </c>
      <c r="G213" s="2" t="s">
        <v>1554</v>
      </c>
      <c r="H213" s="2" t="s">
        <v>1554</v>
      </c>
      <c r="I213" s="2" t="s">
        <v>1555</v>
      </c>
      <c r="J213" s="2" t="s">
        <v>1556</v>
      </c>
      <c r="K213" s="2" t="s">
        <v>1525</v>
      </c>
      <c r="L213" s="3">
        <v>10.58</v>
      </c>
      <c r="M213" s="3">
        <v>11.11</v>
      </c>
      <c r="N213" s="3">
        <v>22.99</v>
      </c>
      <c r="O213" s="2" t="s">
        <v>230</v>
      </c>
      <c r="P213" s="2" t="s">
        <v>721</v>
      </c>
      <c r="Q213" s="2" t="s">
        <v>232</v>
      </c>
      <c r="R213" s="2" t="s">
        <v>233</v>
      </c>
      <c r="S213" s="2" t="s">
        <v>1557</v>
      </c>
      <c r="T213" s="2" t="s">
        <v>1558</v>
      </c>
      <c r="U213" s="2" t="s">
        <v>329</v>
      </c>
      <c r="V213" s="2" t="s">
        <v>236</v>
      </c>
      <c r="W213" s="2" t="s">
        <v>237</v>
      </c>
      <c r="X213" s="2" t="s">
        <v>916</v>
      </c>
      <c r="Y213" s="2" t="s">
        <v>614</v>
      </c>
      <c r="Z213" s="4">
        <v>514</v>
      </c>
      <c r="AA213" s="4">
        <f>=ROUNDDOWN(128.5,0)</f>
      </c>
      <c r="AB213" s="5">
        <v>4</v>
      </c>
      <c r="AC213" s="2" t="s">
        <v>233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233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233</v>
      </c>
      <c r="AW213" s="8" t="s">
        <v>233</v>
      </c>
      <c r="AX213" s="4" t="s">
        <v>233</v>
      </c>
      <c r="AY213" s="8" t="s">
        <v>233</v>
      </c>
      <c r="AZ213" s="7" t="s">
        <v>233</v>
      </c>
      <c r="BA213" s="7" t="s">
        <v>233</v>
      </c>
      <c r="BB213" s="7"/>
      <c r="BC213" s="4" t="s">
        <v>233</v>
      </c>
      <c r="BD213" s="8" t="s">
        <v>233</v>
      </c>
      <c r="BE213" s="4" t="s">
        <v>233</v>
      </c>
      <c r="BF213" s="8" t="s">
        <v>233</v>
      </c>
      <c r="BG213" s="7" t="s">
        <v>233</v>
      </c>
      <c r="BH213" s="7" t="s">
        <v>233</v>
      </c>
      <c r="BI213" s="7"/>
      <c r="BJ213" s="4">
        <v>7</v>
      </c>
      <c r="BK213" s="8">
        <v>83.68</v>
      </c>
      <c r="BL213" s="2" t="s">
        <v>1559</v>
      </c>
      <c r="BM213" s="7"/>
      <c r="BN213" s="7"/>
      <c r="BO213" s="4"/>
      <c r="BP213" s="8"/>
      <c r="BQ213" s="4"/>
      <c r="BR213" s="8"/>
      <c r="BS213" s="7"/>
      <c r="BT213" s="7"/>
      <c r="BU213" s="2" t="s">
        <v>1560</v>
      </c>
      <c r="BV213" s="2" t="s">
        <v>233</v>
      </c>
      <c r="BW213" s="2" t="s">
        <v>233</v>
      </c>
      <c r="BX213" s="2" t="s">
        <v>241</v>
      </c>
      <c r="BY213" s="2" t="s">
        <v>242</v>
      </c>
      <c r="BZ213" s="2" t="s">
        <v>230</v>
      </c>
      <c r="CA213" s="2" t="s">
        <v>439</v>
      </c>
      <c r="CB213" s="2" t="s">
        <v>1561</v>
      </c>
      <c r="CC213" s="2" t="s">
        <v>245</v>
      </c>
      <c r="CD213" s="2" t="s">
        <v>233</v>
      </c>
      <c r="CE213" s="4">
        <v>514</v>
      </c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>
        <v>514</v>
      </c>
      <c r="GD213" s="4">
        <v>506</v>
      </c>
      <c r="GE213" s="4">
        <v>496</v>
      </c>
      <c r="GF213" s="4">
        <v>486</v>
      </c>
      <c r="GG213" s="4">
        <v>463</v>
      </c>
      <c r="GH213" s="4">
        <v>445</v>
      </c>
      <c r="GI213" s="4">
        <v>427</v>
      </c>
      <c r="GJ213" s="4">
        <v>419</v>
      </c>
      <c r="GK213" s="4">
        <v>415</v>
      </c>
      <c r="GL213" s="4">
        <v>408</v>
      </c>
      <c r="GM213" s="4">
        <v>402</v>
      </c>
      <c r="GN213" s="4">
        <v>396</v>
      </c>
      <c r="GO213" s="4">
        <v>390</v>
      </c>
      <c r="GP213" s="4">
        <v>384</v>
      </c>
      <c r="GQ213" s="4">
        <v>378</v>
      </c>
      <c r="GR213" s="4">
        <v>374</v>
      </c>
      <c r="GS213" s="4">
        <v>370</v>
      </c>
      <c r="GT213" s="4">
        <v>366</v>
      </c>
      <c r="GU213" s="4">
        <v>362</v>
      </c>
      <c r="GV213" s="4">
        <v>354</v>
      </c>
      <c r="GW213" s="4">
        <v>346</v>
      </c>
      <c r="GX213" s="4">
        <v>338</v>
      </c>
      <c r="GY213" s="4">
        <v>330</v>
      </c>
      <c r="GZ213" s="4">
        <v>324</v>
      </c>
      <c r="HA213" s="4">
        <v>318</v>
      </c>
      <c r="HB213" s="4">
        <v>312</v>
      </c>
      <c r="HC213" s="19">
        <v>39.5</v>
      </c>
      <c r="HD213" s="19">
        <v>33.7</v>
      </c>
      <c r="HE213" s="19">
        <v>29.2</v>
      </c>
      <c r="HF213" s="19">
        <v>28.6</v>
      </c>
      <c r="HG213" s="19">
        <v>38.6</v>
      </c>
      <c r="HH213" s="19">
        <v>49.4</v>
      </c>
      <c r="HI213" s="19">
        <v>71.2</v>
      </c>
      <c r="HJ213" s="19">
        <v>69.8</v>
      </c>
      <c r="HK213" s="19">
        <v>69.2</v>
      </c>
      <c r="HL213" s="19">
        <v>68</v>
      </c>
      <c r="HM213" s="19">
        <v>67</v>
      </c>
      <c r="HN213" s="19">
        <v>66</v>
      </c>
      <c r="HO213" s="19">
        <v>78</v>
      </c>
      <c r="HP213" s="19">
        <v>96</v>
      </c>
      <c r="HQ213" s="19">
        <v>94.5</v>
      </c>
      <c r="HR213" s="19">
        <v>74.8</v>
      </c>
      <c r="HS213" s="19">
        <v>61.7</v>
      </c>
      <c r="HT213" s="19">
        <v>52.3</v>
      </c>
      <c r="HU213" s="19">
        <v>45.3</v>
      </c>
      <c r="HV213" s="19">
        <v>44.3</v>
      </c>
      <c r="HW213" s="19">
        <v>49.4</v>
      </c>
      <c r="HX213" s="19">
        <v>56.3</v>
      </c>
      <c r="HY213" s="19">
        <v>55</v>
      </c>
      <c r="HZ213" s="19">
        <v>54</v>
      </c>
      <c r="IA213" s="19">
        <v>53</v>
      </c>
      <c r="IB213" s="19">
        <v>52</v>
      </c>
    </row>
    <row r="214">
      <c r="A214" s="2" t="s">
        <v>1562</v>
      </c>
      <c r="B214" s="2" t="s">
        <v>773</v>
      </c>
      <c r="C214" s="2" t="s">
        <v>762</v>
      </c>
      <c r="D214" s="2" t="s">
        <v>297</v>
      </c>
      <c r="E214" s="2" t="s">
        <v>298</v>
      </c>
      <c r="F214" s="2" t="s">
        <v>1554</v>
      </c>
      <c r="G214" s="2" t="s">
        <v>1554</v>
      </c>
      <c r="H214" s="2" t="s">
        <v>1554</v>
      </c>
      <c r="I214" s="2" t="s">
        <v>1563</v>
      </c>
      <c r="J214" s="2" t="s">
        <v>1564</v>
      </c>
      <c r="K214" s="2" t="s">
        <v>1525</v>
      </c>
      <c r="L214" s="3">
        <v>12.96</v>
      </c>
      <c r="M214" s="3">
        <v>13.61</v>
      </c>
      <c r="N214" s="3">
        <v>26.99</v>
      </c>
      <c r="O214" s="2" t="s">
        <v>230</v>
      </c>
      <c r="P214" s="2" t="s">
        <v>721</v>
      </c>
      <c r="Q214" s="2" t="s">
        <v>232</v>
      </c>
      <c r="R214" s="2" t="s">
        <v>233</v>
      </c>
      <c r="S214" s="2" t="s">
        <v>1557</v>
      </c>
      <c r="T214" s="2" t="s">
        <v>1558</v>
      </c>
      <c r="U214" s="2" t="s">
        <v>329</v>
      </c>
      <c r="V214" s="2" t="s">
        <v>236</v>
      </c>
      <c r="W214" s="2" t="s">
        <v>237</v>
      </c>
      <c r="X214" s="2" t="s">
        <v>916</v>
      </c>
      <c r="Y214" s="2" t="s">
        <v>614</v>
      </c>
      <c r="Z214" s="4">
        <v>702</v>
      </c>
      <c r="AA214" s="4">
        <f>=ROUNDDOWN(140.4,0)</f>
      </c>
      <c r="AB214" s="5">
        <v>5</v>
      </c>
      <c r="AC214" s="2" t="s">
        <v>233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233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233</v>
      </c>
      <c r="AW214" s="8" t="s">
        <v>233</v>
      </c>
      <c r="AX214" s="4" t="s">
        <v>233</v>
      </c>
      <c r="AY214" s="8" t="s">
        <v>233</v>
      </c>
      <c r="AZ214" s="7" t="s">
        <v>233</v>
      </c>
      <c r="BA214" s="7" t="s">
        <v>233</v>
      </c>
      <c r="BB214" s="7"/>
      <c r="BC214" s="4" t="s">
        <v>233</v>
      </c>
      <c r="BD214" s="8" t="s">
        <v>233</v>
      </c>
      <c r="BE214" s="4" t="s">
        <v>233</v>
      </c>
      <c r="BF214" s="8" t="s">
        <v>233</v>
      </c>
      <c r="BG214" s="7" t="s">
        <v>233</v>
      </c>
      <c r="BH214" s="7" t="s">
        <v>233</v>
      </c>
      <c r="BI214" s="7"/>
      <c r="BJ214" s="4">
        <v>11</v>
      </c>
      <c r="BK214" s="8">
        <v>144.71</v>
      </c>
      <c r="BL214" s="2" t="s">
        <v>1565</v>
      </c>
      <c r="BM214" s="7"/>
      <c r="BN214" s="7"/>
      <c r="BO214" s="4"/>
      <c r="BP214" s="8"/>
      <c r="BQ214" s="4"/>
      <c r="BR214" s="8"/>
      <c r="BS214" s="7"/>
      <c r="BT214" s="7"/>
      <c r="BU214" s="2" t="s">
        <v>1566</v>
      </c>
      <c r="BV214" s="2" t="s">
        <v>233</v>
      </c>
      <c r="BW214" s="2" t="s">
        <v>233</v>
      </c>
      <c r="BX214" s="2" t="s">
        <v>241</v>
      </c>
      <c r="BY214" s="2" t="s">
        <v>242</v>
      </c>
      <c r="BZ214" s="2" t="s">
        <v>230</v>
      </c>
      <c r="CA214" s="2" t="s">
        <v>439</v>
      </c>
      <c r="CB214" s="2" t="s">
        <v>233</v>
      </c>
      <c r="CC214" s="2" t="s">
        <v>245</v>
      </c>
      <c r="CD214" s="2" t="s">
        <v>233</v>
      </c>
      <c r="CE214" s="4">
        <v>702</v>
      </c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>
        <v>702</v>
      </c>
      <c r="GD214" s="4">
        <v>669</v>
      </c>
      <c r="GE214" s="4">
        <v>657</v>
      </c>
      <c r="GF214" s="4">
        <v>645</v>
      </c>
      <c r="GG214" s="4">
        <v>620</v>
      </c>
      <c r="GH214" s="4">
        <v>600</v>
      </c>
      <c r="GI214" s="4">
        <v>580</v>
      </c>
      <c r="GJ214" s="4">
        <v>570</v>
      </c>
      <c r="GK214" s="4">
        <v>565</v>
      </c>
      <c r="GL214" s="4">
        <v>557</v>
      </c>
      <c r="GM214" s="4">
        <v>550</v>
      </c>
      <c r="GN214" s="4">
        <v>543</v>
      </c>
      <c r="GO214" s="4">
        <v>535</v>
      </c>
      <c r="GP214" s="4">
        <v>527</v>
      </c>
      <c r="GQ214" s="4">
        <v>519</v>
      </c>
      <c r="GR214" s="4">
        <v>513</v>
      </c>
      <c r="GS214" s="4">
        <v>507</v>
      </c>
      <c r="GT214" s="4">
        <v>501</v>
      </c>
      <c r="GU214" s="4">
        <v>495</v>
      </c>
      <c r="GV214" s="4">
        <v>485</v>
      </c>
      <c r="GW214" s="4">
        <v>475</v>
      </c>
      <c r="GX214" s="4">
        <v>465</v>
      </c>
      <c r="GY214" s="4">
        <v>455</v>
      </c>
      <c r="GZ214" s="4">
        <v>447</v>
      </c>
      <c r="HA214" s="4">
        <v>439</v>
      </c>
      <c r="HB214" s="4">
        <v>432</v>
      </c>
      <c r="HC214" s="19">
        <v>35.1</v>
      </c>
      <c r="HD214" s="19">
        <v>39.4</v>
      </c>
      <c r="HE214" s="19">
        <v>34.6</v>
      </c>
      <c r="HF214" s="19">
        <v>33.9</v>
      </c>
      <c r="HG214" s="19">
        <v>44.3</v>
      </c>
      <c r="HH214" s="19">
        <v>54.5</v>
      </c>
      <c r="HI214" s="19">
        <v>72.5</v>
      </c>
      <c r="HJ214" s="19">
        <v>81.4</v>
      </c>
      <c r="HK214" s="19">
        <v>70.6</v>
      </c>
      <c r="HL214" s="19">
        <v>69.6</v>
      </c>
      <c r="HM214" s="19">
        <v>68.8</v>
      </c>
      <c r="HN214" s="19">
        <v>67.9</v>
      </c>
      <c r="HO214" s="19">
        <v>76.4</v>
      </c>
      <c r="HP214" s="19">
        <v>87.8</v>
      </c>
      <c r="HQ214" s="19">
        <v>86.5</v>
      </c>
      <c r="HR214" s="19">
        <v>73.3</v>
      </c>
      <c r="HS214" s="19">
        <v>63.4</v>
      </c>
      <c r="HT214" s="19">
        <v>55.7</v>
      </c>
      <c r="HU214" s="19">
        <v>49.5</v>
      </c>
      <c r="HV214" s="19">
        <v>48.5</v>
      </c>
      <c r="HW214" s="19">
        <v>52.8</v>
      </c>
      <c r="HX214" s="19">
        <v>58.1</v>
      </c>
      <c r="HY214" s="19">
        <v>56.9</v>
      </c>
      <c r="HZ214" s="19">
        <v>63.9</v>
      </c>
      <c r="IA214" s="19">
        <v>62.7</v>
      </c>
      <c r="IB214" s="19">
        <v>61.7</v>
      </c>
    </row>
    <row r="215">
      <c r="A215" s="2" t="s">
        <v>1567</v>
      </c>
      <c r="B215" s="2" t="s">
        <v>773</v>
      </c>
      <c r="C215" s="2" t="s">
        <v>762</v>
      </c>
      <c r="D215" s="2" t="s">
        <v>297</v>
      </c>
      <c r="E215" s="2" t="s">
        <v>298</v>
      </c>
      <c r="F215" s="2" t="s">
        <v>1554</v>
      </c>
      <c r="G215" s="2" t="s">
        <v>1554</v>
      </c>
      <c r="H215" s="2" t="s">
        <v>1554</v>
      </c>
      <c r="I215" s="2" t="s">
        <v>1563</v>
      </c>
      <c r="J215" s="2" t="s">
        <v>1564</v>
      </c>
      <c r="K215" s="2" t="s">
        <v>1500</v>
      </c>
      <c r="L215" s="3">
        <v>12.96</v>
      </c>
      <c r="M215" s="3">
        <v>13.61</v>
      </c>
      <c r="N215" s="3">
        <v>26.99</v>
      </c>
      <c r="O215" s="2" t="s">
        <v>230</v>
      </c>
      <c r="P215" s="2" t="s">
        <v>721</v>
      </c>
      <c r="Q215" s="2" t="s">
        <v>232</v>
      </c>
      <c r="R215" s="2" t="s">
        <v>233</v>
      </c>
      <c r="S215" s="2" t="s">
        <v>1568</v>
      </c>
      <c r="T215" s="2" t="s">
        <v>1558</v>
      </c>
      <c r="U215" s="2" t="s">
        <v>329</v>
      </c>
      <c r="V215" s="2" t="s">
        <v>236</v>
      </c>
      <c r="W215" s="2" t="s">
        <v>237</v>
      </c>
      <c r="X215" s="2" t="s">
        <v>916</v>
      </c>
      <c r="Y215" s="2" t="s">
        <v>614</v>
      </c>
      <c r="Z215" s="4">
        <v>197</v>
      </c>
      <c r="AA215" s="4">
        <f>=ROUNDDOWN(98.5,0)</f>
      </c>
      <c r="AB215" s="5">
        <v>2</v>
      </c>
      <c r="AC215" s="2" t="s">
        <v>233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233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233</v>
      </c>
      <c r="AW215" s="8" t="s">
        <v>233</v>
      </c>
      <c r="AX215" s="4" t="s">
        <v>233</v>
      </c>
      <c r="AY215" s="8" t="s">
        <v>233</v>
      </c>
      <c r="AZ215" s="7" t="s">
        <v>233</v>
      </c>
      <c r="BA215" s="7" t="s">
        <v>233</v>
      </c>
      <c r="BB215" s="7"/>
      <c r="BC215" s="4" t="s">
        <v>233</v>
      </c>
      <c r="BD215" s="8" t="s">
        <v>233</v>
      </c>
      <c r="BE215" s="4" t="s">
        <v>233</v>
      </c>
      <c r="BF215" s="8" t="s">
        <v>233</v>
      </c>
      <c r="BG215" s="7" t="s">
        <v>233</v>
      </c>
      <c r="BH215" s="7" t="s">
        <v>233</v>
      </c>
      <c r="BI215" s="7"/>
      <c r="BJ215" s="4"/>
      <c r="BK215" s="8"/>
      <c r="BL215" s="2" t="s">
        <v>233</v>
      </c>
      <c r="BM215" s="7"/>
      <c r="BN215" s="7"/>
      <c r="BO215" s="4"/>
      <c r="BP215" s="8"/>
      <c r="BQ215" s="4"/>
      <c r="BR215" s="8"/>
      <c r="BS215" s="7"/>
      <c r="BT215" s="7"/>
      <c r="BU215" s="2" t="s">
        <v>1566</v>
      </c>
      <c r="BV215" s="2" t="s">
        <v>233</v>
      </c>
      <c r="BW215" s="2" t="s">
        <v>233</v>
      </c>
      <c r="BX215" s="2" t="s">
        <v>241</v>
      </c>
      <c r="BY215" s="2" t="s">
        <v>242</v>
      </c>
      <c r="BZ215" s="2" t="s">
        <v>230</v>
      </c>
      <c r="CA215" s="2" t="s">
        <v>439</v>
      </c>
      <c r="CB215" s="2" t="s">
        <v>1569</v>
      </c>
      <c r="CC215" s="2" t="s">
        <v>245</v>
      </c>
      <c r="CD215" s="2" t="s">
        <v>233</v>
      </c>
      <c r="CE215" s="4">
        <v>197</v>
      </c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>
        <v>202</v>
      </c>
      <c r="GD215" s="4">
        <v>193</v>
      </c>
      <c r="GE215" s="4">
        <v>188</v>
      </c>
      <c r="GF215" s="4">
        <v>183</v>
      </c>
      <c r="GG215" s="4">
        <v>172</v>
      </c>
      <c r="GH215" s="4">
        <v>163</v>
      </c>
      <c r="GI215" s="4">
        <v>154</v>
      </c>
      <c r="GJ215" s="4">
        <v>150</v>
      </c>
      <c r="GK215" s="4">
        <v>148</v>
      </c>
      <c r="GL215" s="4">
        <v>145</v>
      </c>
      <c r="GM215" s="4">
        <v>142</v>
      </c>
      <c r="GN215" s="4">
        <v>139</v>
      </c>
      <c r="GO215" s="4">
        <v>136</v>
      </c>
      <c r="GP215" s="4">
        <v>133</v>
      </c>
      <c r="GQ215" s="4">
        <v>130</v>
      </c>
      <c r="GR215" s="4">
        <v>128</v>
      </c>
      <c r="GS215" s="4">
        <v>126</v>
      </c>
      <c r="GT215" s="4">
        <v>124</v>
      </c>
      <c r="GU215" s="4">
        <v>122</v>
      </c>
      <c r="GV215" s="4">
        <v>118</v>
      </c>
      <c r="GW215" s="4">
        <v>114</v>
      </c>
      <c r="GX215" s="4">
        <v>110</v>
      </c>
      <c r="GY215" s="4">
        <v>106</v>
      </c>
      <c r="GZ215" s="4">
        <v>103</v>
      </c>
      <c r="HA215" s="4">
        <v>100</v>
      </c>
      <c r="HB215" s="4">
        <v>97</v>
      </c>
      <c r="HC215" s="19">
        <v>25.3</v>
      </c>
      <c r="HD215" s="19">
        <v>24.1</v>
      </c>
      <c r="HE215" s="19">
        <v>23.5</v>
      </c>
      <c r="HF215" s="19">
        <v>22.9</v>
      </c>
      <c r="HG215" s="19">
        <v>28.7</v>
      </c>
      <c r="HH215" s="19">
        <v>40.8</v>
      </c>
      <c r="HI215" s="19">
        <v>51.3</v>
      </c>
      <c r="HJ215" s="19">
        <v>50</v>
      </c>
      <c r="HK215" s="19">
        <v>49.3</v>
      </c>
      <c r="HL215" s="19">
        <v>48.3</v>
      </c>
      <c r="HM215" s="19">
        <v>47.3</v>
      </c>
      <c r="HN215" s="19">
        <v>46.3</v>
      </c>
      <c r="HO215" s="19">
        <v>68</v>
      </c>
      <c r="HP215" s="19">
        <v>66.5</v>
      </c>
      <c r="HQ215" s="19">
        <v>65</v>
      </c>
      <c r="HR215" s="19">
        <v>64</v>
      </c>
      <c r="HS215" s="19">
        <v>42</v>
      </c>
      <c r="HT215" s="19">
        <v>31</v>
      </c>
      <c r="HU215" s="19">
        <v>30.5</v>
      </c>
      <c r="HV215" s="19">
        <v>29.5</v>
      </c>
      <c r="HW215" s="19">
        <v>28.5</v>
      </c>
      <c r="HX215" s="19">
        <v>36.7</v>
      </c>
      <c r="HY215" s="19">
        <v>35.3</v>
      </c>
      <c r="HZ215" s="19">
        <v>34.3</v>
      </c>
      <c r="IA215" s="19">
        <v>33.3</v>
      </c>
      <c r="IB215" s="19">
        <v>32.3</v>
      </c>
    </row>
    <row r="216">
      <c r="A216" s="2" t="s">
        <v>1570</v>
      </c>
      <c r="B216" s="2" t="s">
        <v>773</v>
      </c>
      <c r="C216" s="2" t="s">
        <v>762</v>
      </c>
      <c r="D216" s="2" t="s">
        <v>1442</v>
      </c>
      <c r="E216" s="2" t="s">
        <v>1443</v>
      </c>
      <c r="F216" s="2" t="s">
        <v>1554</v>
      </c>
      <c r="G216" s="2" t="s">
        <v>1554</v>
      </c>
      <c r="H216" s="2" t="s">
        <v>1554</v>
      </c>
      <c r="I216" s="2" t="s">
        <v>1443</v>
      </c>
      <c r="J216" s="2" t="s">
        <v>1446</v>
      </c>
      <c r="K216" s="2" t="s">
        <v>1500</v>
      </c>
      <c r="L216" s="3">
        <v>18.09</v>
      </c>
      <c r="M216" s="3">
        <v>18.99</v>
      </c>
      <c r="N216" s="3">
        <v>38.99</v>
      </c>
      <c r="O216" s="2" t="s">
        <v>230</v>
      </c>
      <c r="P216" s="2" t="s">
        <v>231</v>
      </c>
      <c r="Q216" s="2" t="s">
        <v>232</v>
      </c>
      <c r="R216" s="2" t="s">
        <v>233</v>
      </c>
      <c r="S216" s="2" t="s">
        <v>1568</v>
      </c>
      <c r="T216" s="2" t="s">
        <v>1558</v>
      </c>
      <c r="U216" s="2" t="s">
        <v>329</v>
      </c>
      <c r="V216" s="2" t="s">
        <v>236</v>
      </c>
      <c r="W216" s="2" t="s">
        <v>237</v>
      </c>
      <c r="X216" s="2" t="s">
        <v>916</v>
      </c>
      <c r="Y216" s="2" t="s">
        <v>614</v>
      </c>
      <c r="Z216" s="4">
        <v>368</v>
      </c>
      <c r="AA216" s="4">
        <f>=ROUNDDOWN(18.4,0)</f>
      </c>
      <c r="AB216" s="5">
        <v>20</v>
      </c>
      <c r="AC216" s="2" t="s">
        <v>140</v>
      </c>
      <c r="AD216" s="4">
        <v>300</v>
      </c>
      <c r="AE216" s="4">
        <v>700</v>
      </c>
      <c r="AF216" s="6">
        <v>65</v>
      </c>
      <c r="AG216" s="6"/>
      <c r="AH216" s="7">
        <v>0.0645</v>
      </c>
      <c r="AI216" s="4"/>
      <c r="AJ216" s="4">
        <f>=ROUNDDOWN({0},0)</f>
      </c>
      <c r="AK216" s="5"/>
      <c r="AL216" s="2" t="s">
        <v>233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233</v>
      </c>
      <c r="AW216" s="8" t="s">
        <v>233</v>
      </c>
      <c r="AX216" s="4" t="s">
        <v>233</v>
      </c>
      <c r="AY216" s="8" t="s">
        <v>233</v>
      </c>
      <c r="AZ216" s="7" t="s">
        <v>233</v>
      </c>
      <c r="BA216" s="7" t="s">
        <v>233</v>
      </c>
      <c r="BB216" s="7"/>
      <c r="BC216" s="4" t="s">
        <v>233</v>
      </c>
      <c r="BD216" s="8" t="s">
        <v>233</v>
      </c>
      <c r="BE216" s="4" t="s">
        <v>233</v>
      </c>
      <c r="BF216" s="8" t="s">
        <v>233</v>
      </c>
      <c r="BG216" s="7" t="s">
        <v>233</v>
      </c>
      <c r="BH216" s="7" t="s">
        <v>233</v>
      </c>
      <c r="BI216" s="7"/>
      <c r="BJ216" s="4">
        <v>25</v>
      </c>
      <c r="BK216" s="8">
        <v>502.22</v>
      </c>
      <c r="BL216" s="2" t="s">
        <v>599</v>
      </c>
      <c r="BM216" s="7"/>
      <c r="BN216" s="7"/>
      <c r="BO216" s="4"/>
      <c r="BP216" s="8"/>
      <c r="BQ216" s="4"/>
      <c r="BR216" s="8"/>
      <c r="BS216" s="7"/>
      <c r="BT216" s="7"/>
      <c r="BU216" s="2" t="s">
        <v>1571</v>
      </c>
      <c r="BV216" s="2" t="s">
        <v>233</v>
      </c>
      <c r="BW216" s="2" t="s">
        <v>233</v>
      </c>
      <c r="BX216" s="2" t="s">
        <v>241</v>
      </c>
      <c r="BY216" s="2" t="s">
        <v>242</v>
      </c>
      <c r="BZ216" s="2" t="s">
        <v>230</v>
      </c>
      <c r="CA216" s="2" t="s">
        <v>857</v>
      </c>
      <c r="CB216" s="2" t="s">
        <v>1517</v>
      </c>
      <c r="CC216" s="2" t="s">
        <v>245</v>
      </c>
      <c r="CD216" s="2" t="s">
        <v>233</v>
      </c>
      <c r="CE216" s="4">
        <v>242</v>
      </c>
      <c r="CF216" s="4"/>
      <c r="CG216" s="4"/>
      <c r="CH216" s="4"/>
      <c r="CI216" s="4"/>
      <c r="CJ216" s="4"/>
      <c r="CK216" s="4">
        <v>126</v>
      </c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>
        <v>300</v>
      </c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>
        <v>400</v>
      </c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>
        <v>393</v>
      </c>
      <c r="GD216" s="4">
        <v>316</v>
      </c>
      <c r="GE216" s="4">
        <v>560</v>
      </c>
      <c r="GF216" s="4">
        <v>504</v>
      </c>
      <c r="GG216" s="4">
        <v>408</v>
      </c>
      <c r="GH216" s="4">
        <v>334</v>
      </c>
      <c r="GI216" s="4">
        <v>637</v>
      </c>
      <c r="GJ216" s="4">
        <v>586</v>
      </c>
      <c r="GK216" s="4">
        <v>544</v>
      </c>
      <c r="GL216" s="4">
        <v>501</v>
      </c>
      <c r="GM216" s="4">
        <v>481</v>
      </c>
      <c r="GN216" s="4">
        <v>461</v>
      </c>
      <c r="GO216" s="4">
        <v>441</v>
      </c>
      <c r="GP216" s="4">
        <v>421</v>
      </c>
      <c r="GQ216" s="4">
        <v>401</v>
      </c>
      <c r="GR216" s="4">
        <v>381</v>
      </c>
      <c r="GS216" s="4">
        <v>361</v>
      </c>
      <c r="GT216" s="4">
        <v>339</v>
      </c>
      <c r="GU216" s="4">
        <v>319</v>
      </c>
      <c r="GV216" s="4">
        <v>299</v>
      </c>
      <c r="GW216" s="4">
        <v>279</v>
      </c>
      <c r="GX216" s="4">
        <v>259</v>
      </c>
      <c r="GY216" s="4">
        <v>239</v>
      </c>
      <c r="GZ216" s="4">
        <v>219</v>
      </c>
      <c r="HA216" s="4">
        <v>199</v>
      </c>
      <c r="HB216" s="4">
        <v>179</v>
      </c>
      <c r="HC216" s="19">
        <v>5.5</v>
      </c>
      <c r="HD216" s="19">
        <v>4.5</v>
      </c>
      <c r="HE216" s="19">
        <v>6.9</v>
      </c>
      <c r="HF216" s="19">
        <v>6.3</v>
      </c>
      <c r="HG216" s="19">
        <v>6.2</v>
      </c>
      <c r="HH216" s="19">
        <v>5.8</v>
      </c>
      <c r="HI216" s="19">
        <v>16.3</v>
      </c>
      <c r="HJ216" s="19">
        <v>18.9</v>
      </c>
      <c r="HK216" s="19">
        <v>20.9</v>
      </c>
      <c r="HL216" s="19">
        <v>25.1</v>
      </c>
      <c r="HM216" s="19">
        <v>24.1</v>
      </c>
      <c r="HN216" s="19">
        <v>23.1</v>
      </c>
      <c r="HO216" s="19">
        <v>22.1</v>
      </c>
      <c r="HP216" s="19">
        <v>21.1</v>
      </c>
      <c r="HQ216" s="19">
        <v>20.1</v>
      </c>
      <c r="HR216" s="19">
        <v>19.1</v>
      </c>
      <c r="HS216" s="19">
        <v>18.1</v>
      </c>
      <c r="HT216" s="19">
        <v>17</v>
      </c>
      <c r="HU216" s="19">
        <v>16</v>
      </c>
      <c r="HV216" s="19">
        <v>15</v>
      </c>
      <c r="HW216" s="19">
        <v>14</v>
      </c>
      <c r="HX216" s="19">
        <v>13</v>
      </c>
      <c r="HY216" s="19">
        <v>12</v>
      </c>
      <c r="HZ216" s="19">
        <v>11</v>
      </c>
      <c r="IA216" s="19">
        <v>10</v>
      </c>
      <c r="IB216" s="19">
        <v>9</v>
      </c>
    </row>
    <row r="217">
      <c r="A217" s="2" t="s">
        <v>1572</v>
      </c>
      <c r="B217" s="2" t="s">
        <v>773</v>
      </c>
      <c r="C217" s="2" t="s">
        <v>762</v>
      </c>
      <c r="D217" s="2" t="s">
        <v>1573</v>
      </c>
      <c r="E217" s="2" t="s">
        <v>1574</v>
      </c>
      <c r="F217" s="2" t="s">
        <v>1554</v>
      </c>
      <c r="G217" s="2" t="s">
        <v>1554</v>
      </c>
      <c r="H217" s="2" t="s">
        <v>1554</v>
      </c>
      <c r="I217" s="2" t="s">
        <v>1574</v>
      </c>
      <c r="J217" s="2" t="s">
        <v>228</v>
      </c>
      <c r="K217" s="2" t="s">
        <v>300</v>
      </c>
      <c r="L217" s="3">
        <v>30.35</v>
      </c>
      <c r="M217" s="3">
        <v>31.87</v>
      </c>
      <c r="N217" s="3">
        <v>65.99</v>
      </c>
      <c r="O217" s="2" t="s">
        <v>230</v>
      </c>
      <c r="P217" s="2" t="s">
        <v>231</v>
      </c>
      <c r="Q217" s="2" t="s">
        <v>232</v>
      </c>
      <c r="R217" s="2" t="s">
        <v>233</v>
      </c>
      <c r="S217" s="2" t="s">
        <v>1575</v>
      </c>
      <c r="T217" s="2" t="s">
        <v>1558</v>
      </c>
      <c r="U217" s="2" t="s">
        <v>329</v>
      </c>
      <c r="V217" s="2" t="s">
        <v>236</v>
      </c>
      <c r="W217" s="2" t="s">
        <v>237</v>
      </c>
      <c r="X217" s="2" t="s">
        <v>916</v>
      </c>
      <c r="Y217" s="2" t="s">
        <v>1576</v>
      </c>
      <c r="Z217" s="4">
        <v>127</v>
      </c>
      <c r="AA217" s="4">
        <f>=ROUNDDOWN(31.75,0)</f>
      </c>
      <c r="AB217" s="5">
        <v>4</v>
      </c>
      <c r="AC217" s="2" t="s">
        <v>233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233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233</v>
      </c>
      <c r="AW217" s="8" t="s">
        <v>233</v>
      </c>
      <c r="AX217" s="4" t="s">
        <v>233</v>
      </c>
      <c r="AY217" s="8" t="s">
        <v>233</v>
      </c>
      <c r="AZ217" s="7" t="s">
        <v>233</v>
      </c>
      <c r="BA217" s="7" t="s">
        <v>233</v>
      </c>
      <c r="BB217" s="7"/>
      <c r="BC217" s="4" t="s">
        <v>233</v>
      </c>
      <c r="BD217" s="8" t="s">
        <v>233</v>
      </c>
      <c r="BE217" s="4" t="s">
        <v>233</v>
      </c>
      <c r="BF217" s="8" t="s">
        <v>233</v>
      </c>
      <c r="BG217" s="7" t="s">
        <v>233</v>
      </c>
      <c r="BH217" s="7" t="s">
        <v>233</v>
      </c>
      <c r="BI217" s="7"/>
      <c r="BJ217" s="4">
        <v>15</v>
      </c>
      <c r="BK217" s="8">
        <v>502.52</v>
      </c>
      <c r="BL217" s="2" t="s">
        <v>442</v>
      </c>
      <c r="BM217" s="7"/>
      <c r="BN217" s="7"/>
      <c r="BO217" s="4"/>
      <c r="BP217" s="8"/>
      <c r="BQ217" s="4"/>
      <c r="BR217" s="8"/>
      <c r="BS217" s="7"/>
      <c r="BT217" s="7"/>
      <c r="BU217" s="2" t="s">
        <v>1577</v>
      </c>
      <c r="BV217" s="2" t="s">
        <v>233</v>
      </c>
      <c r="BW217" s="2" t="s">
        <v>233</v>
      </c>
      <c r="BX217" s="2" t="s">
        <v>293</v>
      </c>
      <c r="BY217" s="2" t="s">
        <v>242</v>
      </c>
      <c r="BZ217" s="2" t="s">
        <v>230</v>
      </c>
      <c r="CA217" s="2" t="s">
        <v>1578</v>
      </c>
      <c r="CB217" s="2" t="s">
        <v>1579</v>
      </c>
      <c r="CC217" s="2" t="s">
        <v>245</v>
      </c>
      <c r="CD217" s="2" t="s">
        <v>233</v>
      </c>
      <c r="CE217" s="4">
        <v>95</v>
      </c>
      <c r="CF217" s="4"/>
      <c r="CG217" s="4"/>
      <c r="CH217" s="4">
        <v>32</v>
      </c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>
        <v>128</v>
      </c>
      <c r="GD217" s="4">
        <v>122</v>
      </c>
      <c r="GE217" s="4">
        <v>113</v>
      </c>
      <c r="GF217" s="4">
        <v>106</v>
      </c>
      <c r="GG217" s="4">
        <v>93</v>
      </c>
      <c r="GH217" s="4">
        <v>85</v>
      </c>
      <c r="GI217" s="4">
        <v>76</v>
      </c>
      <c r="GJ217" s="4">
        <v>73</v>
      </c>
      <c r="GK217" s="4">
        <v>70</v>
      </c>
      <c r="GL217" s="4">
        <v>66</v>
      </c>
      <c r="GM217" s="4">
        <v>63</v>
      </c>
      <c r="GN217" s="4">
        <v>60</v>
      </c>
      <c r="GO217" s="4">
        <v>57</v>
      </c>
      <c r="GP217" s="4">
        <v>54</v>
      </c>
      <c r="GQ217" s="4">
        <v>51</v>
      </c>
      <c r="GR217" s="4">
        <v>47</v>
      </c>
      <c r="GS217" s="4">
        <v>43</v>
      </c>
      <c r="GT217" s="4">
        <v>39</v>
      </c>
      <c r="GU217" s="4">
        <v>35</v>
      </c>
      <c r="GV217" s="4">
        <v>30</v>
      </c>
      <c r="GW217" s="4">
        <v>25</v>
      </c>
      <c r="GX217" s="4">
        <v>20</v>
      </c>
      <c r="GY217" s="4">
        <v>15</v>
      </c>
      <c r="GZ217" s="4">
        <v>10</v>
      </c>
      <c r="HA217" s="4">
        <v>5</v>
      </c>
      <c r="HB217" s="4">
        <v>50</v>
      </c>
      <c r="HC217" s="19">
        <v>14.2</v>
      </c>
      <c r="HD217" s="19">
        <v>13.6</v>
      </c>
      <c r="HE217" s="19">
        <v>12.6</v>
      </c>
      <c r="HF217" s="19">
        <v>13.3</v>
      </c>
      <c r="HG217" s="19">
        <v>15.5</v>
      </c>
      <c r="HH217" s="19">
        <v>17</v>
      </c>
      <c r="HI217" s="19">
        <v>25.3</v>
      </c>
      <c r="HJ217" s="19">
        <v>24.3</v>
      </c>
      <c r="HK217" s="19">
        <v>23.3</v>
      </c>
      <c r="HL217" s="19">
        <v>22</v>
      </c>
      <c r="HM217" s="19">
        <v>21</v>
      </c>
      <c r="HN217" s="19">
        <v>20</v>
      </c>
      <c r="HO217" s="19">
        <v>14.3</v>
      </c>
      <c r="HP217" s="19">
        <v>13.5</v>
      </c>
      <c r="HQ217" s="19">
        <v>12.8</v>
      </c>
      <c r="HR217" s="19">
        <v>11.8</v>
      </c>
      <c r="HS217" s="19">
        <v>10.8</v>
      </c>
      <c r="HT217" s="19">
        <v>7.8</v>
      </c>
      <c r="HU217" s="19">
        <v>7</v>
      </c>
      <c r="HV217" s="19">
        <v>6</v>
      </c>
      <c r="HW217" s="19">
        <v>5</v>
      </c>
      <c r="HX217" s="19">
        <v>4</v>
      </c>
      <c r="HY217" s="19">
        <v>3</v>
      </c>
      <c r="HZ217" s="19">
        <v>2.5</v>
      </c>
      <c r="IA217" s="19">
        <v>1.3</v>
      </c>
      <c r="IB217" s="19">
        <v>12.5</v>
      </c>
    </row>
    <row r="218">
      <c r="A218" s="2" t="s">
        <v>1580</v>
      </c>
      <c r="B218" s="2" t="s">
        <v>773</v>
      </c>
      <c r="C218" s="2" t="s">
        <v>762</v>
      </c>
      <c r="D218" s="2" t="s">
        <v>297</v>
      </c>
      <c r="E218" s="2" t="s">
        <v>298</v>
      </c>
      <c r="F218" s="2" t="s">
        <v>1554</v>
      </c>
      <c r="G218" s="2" t="s">
        <v>1554</v>
      </c>
      <c r="H218" s="2" t="s">
        <v>1554</v>
      </c>
      <c r="I218" s="2" t="s">
        <v>1563</v>
      </c>
      <c r="J218" s="2" t="s">
        <v>1564</v>
      </c>
      <c r="K218" s="2" t="s">
        <v>300</v>
      </c>
      <c r="L218" s="3">
        <v>12.96</v>
      </c>
      <c r="M218" s="3">
        <v>13.61</v>
      </c>
      <c r="N218" s="3">
        <v>26.99</v>
      </c>
      <c r="O218" s="2" t="s">
        <v>230</v>
      </c>
      <c r="P218" s="2" t="s">
        <v>721</v>
      </c>
      <c r="Q218" s="2" t="s">
        <v>232</v>
      </c>
      <c r="R218" s="2" t="s">
        <v>233</v>
      </c>
      <c r="S218" s="2" t="s">
        <v>1575</v>
      </c>
      <c r="T218" s="2" t="s">
        <v>1558</v>
      </c>
      <c r="U218" s="2" t="s">
        <v>329</v>
      </c>
      <c r="V218" s="2" t="s">
        <v>236</v>
      </c>
      <c r="W218" s="2" t="s">
        <v>237</v>
      </c>
      <c r="X218" s="2" t="s">
        <v>916</v>
      </c>
      <c r="Y218" s="2" t="s">
        <v>1581</v>
      </c>
      <c r="Z218" s="4">
        <v>274</v>
      </c>
      <c r="AA218" s="4">
        <f>=ROUNDDOWN(91.3333333333333,0)</f>
      </c>
      <c r="AB218" s="5">
        <v>3</v>
      </c>
      <c r="AC218" s="2" t="s">
        <v>233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233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233</v>
      </c>
      <c r="AW218" s="8" t="s">
        <v>233</v>
      </c>
      <c r="AX218" s="4" t="s">
        <v>233</v>
      </c>
      <c r="AY218" s="8" t="s">
        <v>233</v>
      </c>
      <c r="AZ218" s="7" t="s">
        <v>233</v>
      </c>
      <c r="BA218" s="7" t="s">
        <v>233</v>
      </c>
      <c r="BB218" s="7"/>
      <c r="BC218" s="4" t="s">
        <v>233</v>
      </c>
      <c r="BD218" s="8" t="s">
        <v>233</v>
      </c>
      <c r="BE218" s="4" t="s">
        <v>233</v>
      </c>
      <c r="BF218" s="8" t="s">
        <v>233</v>
      </c>
      <c r="BG218" s="7" t="s">
        <v>233</v>
      </c>
      <c r="BH218" s="7" t="s">
        <v>233</v>
      </c>
      <c r="BI218" s="7"/>
      <c r="BJ218" s="4">
        <v>1</v>
      </c>
      <c r="BK218" s="8">
        <v>14.67</v>
      </c>
      <c r="BL218" s="2" t="s">
        <v>331</v>
      </c>
      <c r="BM218" s="7"/>
      <c r="BN218" s="7"/>
      <c r="BO218" s="4"/>
      <c r="BP218" s="8"/>
      <c r="BQ218" s="4"/>
      <c r="BR218" s="8"/>
      <c r="BS218" s="7"/>
      <c r="BT218" s="7"/>
      <c r="BU218" s="2" t="s">
        <v>1566</v>
      </c>
      <c r="BV218" s="2" t="s">
        <v>233</v>
      </c>
      <c r="BW218" s="2" t="s">
        <v>233</v>
      </c>
      <c r="BX218" s="2" t="s">
        <v>241</v>
      </c>
      <c r="BY218" s="2" t="s">
        <v>242</v>
      </c>
      <c r="BZ218" s="2" t="s">
        <v>230</v>
      </c>
      <c r="CA218" s="2" t="s">
        <v>1582</v>
      </c>
      <c r="CB218" s="2" t="s">
        <v>1583</v>
      </c>
      <c r="CC218" s="2" t="s">
        <v>245</v>
      </c>
      <c r="CD218" s="2" t="s">
        <v>233</v>
      </c>
      <c r="CE218" s="4">
        <v>274</v>
      </c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>
        <v>274</v>
      </c>
      <c r="GD218" s="4">
        <v>268</v>
      </c>
      <c r="GE218" s="4">
        <v>260</v>
      </c>
      <c r="GF218" s="4">
        <v>253</v>
      </c>
      <c r="GG218" s="4">
        <v>236</v>
      </c>
      <c r="GH218" s="4">
        <v>222</v>
      </c>
      <c r="GI218" s="4">
        <v>209</v>
      </c>
      <c r="GJ218" s="4">
        <v>203</v>
      </c>
      <c r="GK218" s="4">
        <v>200</v>
      </c>
      <c r="GL218" s="4">
        <v>195</v>
      </c>
      <c r="GM218" s="4">
        <v>190</v>
      </c>
      <c r="GN218" s="4">
        <v>185</v>
      </c>
      <c r="GO218" s="4">
        <v>180</v>
      </c>
      <c r="GP218" s="4">
        <v>175</v>
      </c>
      <c r="GQ218" s="4">
        <v>170</v>
      </c>
      <c r="GR218" s="4">
        <v>167</v>
      </c>
      <c r="GS218" s="4">
        <v>164</v>
      </c>
      <c r="GT218" s="4">
        <v>161</v>
      </c>
      <c r="GU218" s="4">
        <v>158</v>
      </c>
      <c r="GV218" s="4">
        <v>152</v>
      </c>
      <c r="GW218" s="4">
        <v>146</v>
      </c>
      <c r="GX218" s="4">
        <v>140</v>
      </c>
      <c r="GY218" s="4">
        <v>134</v>
      </c>
      <c r="GZ218" s="4">
        <v>129</v>
      </c>
      <c r="HA218" s="4">
        <v>124</v>
      </c>
      <c r="HB218" s="4">
        <v>119</v>
      </c>
      <c r="HC218" s="19">
        <v>27.4</v>
      </c>
      <c r="HD218" s="19">
        <v>22.3</v>
      </c>
      <c r="HE218" s="19">
        <v>20</v>
      </c>
      <c r="HF218" s="19">
        <v>21.1</v>
      </c>
      <c r="HG218" s="19">
        <v>26.2</v>
      </c>
      <c r="HH218" s="19">
        <v>31.7</v>
      </c>
      <c r="HI218" s="19">
        <v>41.8</v>
      </c>
      <c r="HJ218" s="19">
        <v>50.8</v>
      </c>
      <c r="HK218" s="19">
        <v>40</v>
      </c>
      <c r="HL218" s="19">
        <v>39</v>
      </c>
      <c r="HM218" s="19">
        <v>38</v>
      </c>
      <c r="HN218" s="19">
        <v>46.3</v>
      </c>
      <c r="HO218" s="19">
        <v>45</v>
      </c>
      <c r="HP218" s="19">
        <v>43.8</v>
      </c>
      <c r="HQ218" s="19">
        <v>56.7</v>
      </c>
      <c r="HR218" s="19">
        <v>41.8</v>
      </c>
      <c r="HS218" s="19">
        <v>41</v>
      </c>
      <c r="HT218" s="19">
        <v>32.2</v>
      </c>
      <c r="HU218" s="19">
        <v>26.3</v>
      </c>
      <c r="HV218" s="19">
        <v>25.3</v>
      </c>
      <c r="HW218" s="19">
        <v>24.3</v>
      </c>
      <c r="HX218" s="19">
        <v>28</v>
      </c>
      <c r="HY218" s="19">
        <v>26.8</v>
      </c>
      <c r="HZ218" s="19">
        <v>25.8</v>
      </c>
      <c r="IA218" s="19">
        <v>24.8</v>
      </c>
      <c r="IB218" s="19">
        <v>23.8</v>
      </c>
    </row>
    <row r="219">
      <c r="A219" s="2" t="s">
        <v>1584</v>
      </c>
      <c r="B219" s="2" t="s">
        <v>773</v>
      </c>
      <c r="C219" s="2" t="s">
        <v>762</v>
      </c>
      <c r="D219" s="2" t="s">
        <v>297</v>
      </c>
      <c r="E219" s="2" t="s">
        <v>298</v>
      </c>
      <c r="F219" s="2" t="s">
        <v>1554</v>
      </c>
      <c r="G219" s="2" t="s">
        <v>1554</v>
      </c>
      <c r="H219" s="2" t="s">
        <v>1554</v>
      </c>
      <c r="I219" s="2" t="s">
        <v>1585</v>
      </c>
      <c r="J219" s="2" t="s">
        <v>1586</v>
      </c>
      <c r="K219" s="2" t="s">
        <v>300</v>
      </c>
      <c r="L219" s="3">
        <v>18.4</v>
      </c>
      <c r="M219" s="3">
        <v>19.32</v>
      </c>
      <c r="N219" s="3">
        <v>39.99</v>
      </c>
      <c r="O219" s="2" t="s">
        <v>230</v>
      </c>
      <c r="P219" s="2" t="s">
        <v>721</v>
      </c>
      <c r="Q219" s="2" t="s">
        <v>232</v>
      </c>
      <c r="R219" s="2" t="s">
        <v>233</v>
      </c>
      <c r="S219" s="2" t="s">
        <v>1575</v>
      </c>
      <c r="T219" s="2" t="s">
        <v>1558</v>
      </c>
      <c r="U219" s="2" t="s">
        <v>329</v>
      </c>
      <c r="V219" s="2" t="s">
        <v>236</v>
      </c>
      <c r="W219" s="2" t="s">
        <v>237</v>
      </c>
      <c r="X219" s="2" t="s">
        <v>916</v>
      </c>
      <c r="Y219" s="2" t="s">
        <v>1581</v>
      </c>
      <c r="Z219" s="4">
        <v>303</v>
      </c>
      <c r="AA219" s="4">
        <f>=ROUNDDOWN(75.75,0)</f>
      </c>
      <c r="AB219" s="5">
        <v>4</v>
      </c>
      <c r="AC219" s="2" t="s">
        <v>233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233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233</v>
      </c>
      <c r="AW219" s="8" t="s">
        <v>233</v>
      </c>
      <c r="AX219" s="4" t="s">
        <v>233</v>
      </c>
      <c r="AY219" s="8" t="s">
        <v>233</v>
      </c>
      <c r="AZ219" s="7" t="s">
        <v>233</v>
      </c>
      <c r="BA219" s="7" t="s">
        <v>233</v>
      </c>
      <c r="BB219" s="7"/>
      <c r="BC219" s="4" t="s">
        <v>233</v>
      </c>
      <c r="BD219" s="8" t="s">
        <v>233</v>
      </c>
      <c r="BE219" s="4" t="s">
        <v>233</v>
      </c>
      <c r="BF219" s="8" t="s">
        <v>233</v>
      </c>
      <c r="BG219" s="7" t="s">
        <v>233</v>
      </c>
      <c r="BH219" s="7" t="s">
        <v>233</v>
      </c>
      <c r="BI219" s="7"/>
      <c r="BJ219" s="4">
        <v>6</v>
      </c>
      <c r="BK219" s="8">
        <v>107.94</v>
      </c>
      <c r="BL219" s="2" t="s">
        <v>546</v>
      </c>
      <c r="BM219" s="7"/>
      <c r="BN219" s="7"/>
      <c r="BO219" s="4"/>
      <c r="BP219" s="8"/>
      <c r="BQ219" s="4"/>
      <c r="BR219" s="8"/>
      <c r="BS219" s="7"/>
      <c r="BT219" s="7"/>
      <c r="BU219" s="2" t="s">
        <v>1566</v>
      </c>
      <c r="BV219" s="2" t="s">
        <v>233</v>
      </c>
      <c r="BW219" s="2" t="s">
        <v>233</v>
      </c>
      <c r="BX219" s="2" t="s">
        <v>241</v>
      </c>
      <c r="BY219" s="2" t="s">
        <v>242</v>
      </c>
      <c r="BZ219" s="2" t="s">
        <v>230</v>
      </c>
      <c r="CA219" s="2" t="s">
        <v>1582</v>
      </c>
      <c r="CB219" s="2" t="s">
        <v>1583</v>
      </c>
      <c r="CC219" s="2" t="s">
        <v>245</v>
      </c>
      <c r="CD219" s="2" t="s">
        <v>233</v>
      </c>
      <c r="CE219" s="4">
        <v>303</v>
      </c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>
        <v>303</v>
      </c>
      <c r="GD219" s="4">
        <v>295</v>
      </c>
      <c r="GE219" s="4">
        <v>285</v>
      </c>
      <c r="GF219" s="4">
        <v>275</v>
      </c>
      <c r="GG219" s="4">
        <v>252</v>
      </c>
      <c r="GH219" s="4">
        <v>234</v>
      </c>
      <c r="GI219" s="4">
        <v>216</v>
      </c>
      <c r="GJ219" s="4">
        <v>208</v>
      </c>
      <c r="GK219" s="4">
        <v>204</v>
      </c>
      <c r="GL219" s="4">
        <v>197</v>
      </c>
      <c r="GM219" s="4">
        <v>191</v>
      </c>
      <c r="GN219" s="4">
        <v>185</v>
      </c>
      <c r="GO219" s="4">
        <v>179</v>
      </c>
      <c r="GP219" s="4">
        <v>173</v>
      </c>
      <c r="GQ219" s="4">
        <v>167</v>
      </c>
      <c r="GR219" s="4">
        <v>163</v>
      </c>
      <c r="GS219" s="4">
        <v>159</v>
      </c>
      <c r="GT219" s="4">
        <v>155</v>
      </c>
      <c r="GU219" s="4">
        <v>151</v>
      </c>
      <c r="GV219" s="4">
        <v>143</v>
      </c>
      <c r="GW219" s="4">
        <v>135</v>
      </c>
      <c r="GX219" s="4">
        <v>127</v>
      </c>
      <c r="GY219" s="4">
        <v>119</v>
      </c>
      <c r="GZ219" s="4">
        <v>113</v>
      </c>
      <c r="HA219" s="4">
        <v>107</v>
      </c>
      <c r="HB219" s="4">
        <v>101</v>
      </c>
      <c r="HC219" s="19">
        <v>23.3</v>
      </c>
      <c r="HD219" s="19">
        <v>19.7</v>
      </c>
      <c r="HE219" s="19">
        <v>16.8</v>
      </c>
      <c r="HF219" s="19">
        <v>16.2</v>
      </c>
      <c r="HG219" s="19">
        <v>21</v>
      </c>
      <c r="HH219" s="19">
        <v>26</v>
      </c>
      <c r="HI219" s="19">
        <v>36</v>
      </c>
      <c r="HJ219" s="19">
        <v>34.7</v>
      </c>
      <c r="HK219" s="19">
        <v>34</v>
      </c>
      <c r="HL219" s="19">
        <v>32.8</v>
      </c>
      <c r="HM219" s="19">
        <v>31.8</v>
      </c>
      <c r="HN219" s="19">
        <v>30.8</v>
      </c>
      <c r="HO219" s="19">
        <v>35.8</v>
      </c>
      <c r="HP219" s="19">
        <v>43.3</v>
      </c>
      <c r="HQ219" s="19">
        <v>41.8</v>
      </c>
      <c r="HR219" s="19">
        <v>32.6</v>
      </c>
      <c r="HS219" s="19">
        <v>26.5</v>
      </c>
      <c r="HT219" s="19">
        <v>22.1</v>
      </c>
      <c r="HU219" s="19">
        <v>18.9</v>
      </c>
      <c r="HV219" s="19">
        <v>17.9</v>
      </c>
      <c r="HW219" s="19">
        <v>19.3</v>
      </c>
      <c r="HX219" s="19">
        <v>21.2</v>
      </c>
      <c r="HY219" s="19">
        <v>19.8</v>
      </c>
      <c r="HZ219" s="19">
        <v>18.8</v>
      </c>
      <c r="IA219" s="19">
        <v>17.8</v>
      </c>
      <c r="IB219" s="19">
        <v>16.8</v>
      </c>
    </row>
    <row r="220">
      <c r="A220" s="2" t="s">
        <v>1587</v>
      </c>
      <c r="B220" s="2" t="s">
        <v>773</v>
      </c>
      <c r="C220" s="2" t="s">
        <v>762</v>
      </c>
      <c r="D220" s="2" t="s">
        <v>297</v>
      </c>
      <c r="E220" s="2" t="s">
        <v>298</v>
      </c>
      <c r="F220" s="2" t="s">
        <v>1554</v>
      </c>
      <c r="G220" s="2" t="s">
        <v>1554</v>
      </c>
      <c r="H220" s="2" t="s">
        <v>1554</v>
      </c>
      <c r="I220" s="2" t="s">
        <v>1555</v>
      </c>
      <c r="J220" s="2" t="s">
        <v>1556</v>
      </c>
      <c r="K220" s="2" t="s">
        <v>452</v>
      </c>
      <c r="L220" s="3">
        <v>10.58</v>
      </c>
      <c r="M220" s="3">
        <v>11.11</v>
      </c>
      <c r="N220" s="3">
        <v>22.99</v>
      </c>
      <c r="O220" s="2" t="s">
        <v>230</v>
      </c>
      <c r="P220" s="2" t="s">
        <v>231</v>
      </c>
      <c r="Q220" s="2" t="s">
        <v>232</v>
      </c>
      <c r="R220" s="2" t="s">
        <v>233</v>
      </c>
      <c r="S220" s="2" t="s">
        <v>1588</v>
      </c>
      <c r="T220" s="2" t="s">
        <v>1558</v>
      </c>
      <c r="U220" s="2" t="s">
        <v>233</v>
      </c>
      <c r="V220" s="2" t="s">
        <v>236</v>
      </c>
      <c r="W220" s="2" t="s">
        <v>237</v>
      </c>
      <c r="X220" s="2" t="s">
        <v>916</v>
      </c>
      <c r="Y220" s="2" t="s">
        <v>238</v>
      </c>
      <c r="Z220" s="4">
        <v>799</v>
      </c>
      <c r="AA220" s="4">
        <f>=ROUNDDOWN(61.4615384615385,0)</f>
      </c>
      <c r="AB220" s="5">
        <v>13</v>
      </c>
      <c r="AC220" s="2" t="s">
        <v>233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233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233</v>
      </c>
      <c r="AW220" s="8" t="s">
        <v>233</v>
      </c>
      <c r="AX220" s="4" t="s">
        <v>233</v>
      </c>
      <c r="AY220" s="8" t="s">
        <v>233</v>
      </c>
      <c r="AZ220" s="7" t="s">
        <v>233</v>
      </c>
      <c r="BA220" s="7" t="s">
        <v>233</v>
      </c>
      <c r="BB220" s="7"/>
      <c r="BC220" s="4" t="s">
        <v>233</v>
      </c>
      <c r="BD220" s="8" t="s">
        <v>233</v>
      </c>
      <c r="BE220" s="4" t="s">
        <v>233</v>
      </c>
      <c r="BF220" s="8" t="s">
        <v>233</v>
      </c>
      <c r="BG220" s="7" t="s">
        <v>233</v>
      </c>
      <c r="BH220" s="7" t="s">
        <v>233</v>
      </c>
      <c r="BI220" s="7"/>
      <c r="BJ220" s="4">
        <v>58</v>
      </c>
      <c r="BK220" s="8">
        <v>655.54</v>
      </c>
      <c r="BL220" s="2" t="s">
        <v>1589</v>
      </c>
      <c r="BM220" s="7"/>
      <c r="BN220" s="7"/>
      <c r="BO220" s="4"/>
      <c r="BP220" s="8"/>
      <c r="BQ220" s="4"/>
      <c r="BR220" s="8"/>
      <c r="BS220" s="7"/>
      <c r="BT220" s="7"/>
      <c r="BU220" s="2" t="s">
        <v>1560</v>
      </c>
      <c r="BV220" s="2" t="s">
        <v>233</v>
      </c>
      <c r="BW220" s="2" t="s">
        <v>233</v>
      </c>
      <c r="BX220" s="2" t="s">
        <v>241</v>
      </c>
      <c r="BY220" s="2" t="s">
        <v>242</v>
      </c>
      <c r="BZ220" s="2" t="s">
        <v>230</v>
      </c>
      <c r="CA220" s="2" t="s">
        <v>243</v>
      </c>
      <c r="CB220" s="2" t="s">
        <v>513</v>
      </c>
      <c r="CC220" s="2" t="s">
        <v>245</v>
      </c>
      <c r="CD220" s="2" t="s">
        <v>233</v>
      </c>
      <c r="CE220" s="4">
        <v>799</v>
      </c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>
        <v>802</v>
      </c>
      <c r="GD220" s="4">
        <v>773</v>
      </c>
      <c r="GE220" s="4">
        <v>740</v>
      </c>
      <c r="GF220" s="4">
        <v>709</v>
      </c>
      <c r="GG220" s="4">
        <v>635</v>
      </c>
      <c r="GH220" s="4">
        <v>576</v>
      </c>
      <c r="GI220" s="4">
        <v>519</v>
      </c>
      <c r="GJ220" s="4">
        <v>492</v>
      </c>
      <c r="GK220" s="4">
        <v>479</v>
      </c>
      <c r="GL220" s="4">
        <v>457</v>
      </c>
      <c r="GM220" s="4">
        <v>437</v>
      </c>
      <c r="GN220" s="4">
        <v>417</v>
      </c>
      <c r="GO220" s="4">
        <v>397</v>
      </c>
      <c r="GP220" s="4">
        <v>377</v>
      </c>
      <c r="GQ220" s="4">
        <v>357</v>
      </c>
      <c r="GR220" s="4">
        <v>344</v>
      </c>
      <c r="GS220" s="4">
        <v>331</v>
      </c>
      <c r="GT220" s="4">
        <v>317</v>
      </c>
      <c r="GU220" s="4">
        <v>304</v>
      </c>
      <c r="GV220" s="4">
        <v>278</v>
      </c>
      <c r="GW220" s="4">
        <v>252</v>
      </c>
      <c r="GX220" s="4">
        <v>226</v>
      </c>
      <c r="GY220" s="4">
        <v>200</v>
      </c>
      <c r="GZ220" s="4">
        <v>180</v>
      </c>
      <c r="HA220" s="4">
        <v>160</v>
      </c>
      <c r="HB220" s="4">
        <v>140</v>
      </c>
      <c r="HC220" s="19">
        <v>19.1</v>
      </c>
      <c r="HD220" s="19">
        <v>15.8</v>
      </c>
      <c r="HE220" s="19">
        <v>13.5</v>
      </c>
      <c r="HF220" s="19">
        <v>13.1</v>
      </c>
      <c r="HG220" s="19">
        <v>16.3</v>
      </c>
      <c r="HH220" s="19">
        <v>19.2</v>
      </c>
      <c r="HI220" s="19">
        <v>26</v>
      </c>
      <c r="HJ220" s="19">
        <v>25.9</v>
      </c>
      <c r="HK220" s="19">
        <v>24</v>
      </c>
      <c r="HL220" s="19">
        <v>22.9</v>
      </c>
      <c r="HM220" s="19">
        <v>21.9</v>
      </c>
      <c r="HN220" s="19">
        <v>23.2</v>
      </c>
      <c r="HO220" s="19">
        <v>24.8</v>
      </c>
      <c r="HP220" s="19">
        <v>25.1</v>
      </c>
      <c r="HQ220" s="19">
        <v>27.5</v>
      </c>
      <c r="HR220" s="19">
        <v>21.5</v>
      </c>
      <c r="HS220" s="19">
        <v>16.6</v>
      </c>
      <c r="HT220" s="19">
        <v>13.8</v>
      </c>
      <c r="HU220" s="19">
        <v>11.7</v>
      </c>
      <c r="HV220" s="19">
        <v>11.6</v>
      </c>
      <c r="HW220" s="19">
        <v>11</v>
      </c>
      <c r="HX220" s="19">
        <v>10.3</v>
      </c>
      <c r="HY220" s="19">
        <v>10</v>
      </c>
      <c r="HZ220" s="19">
        <v>9</v>
      </c>
      <c r="IA220" s="19">
        <v>8</v>
      </c>
      <c r="IB220" s="19">
        <v>7</v>
      </c>
    </row>
    <row r="221">
      <c r="A221" s="2" t="s">
        <v>1590</v>
      </c>
      <c r="B221" s="2" t="s">
        <v>773</v>
      </c>
      <c r="C221" s="2" t="s">
        <v>762</v>
      </c>
      <c r="D221" s="2" t="s">
        <v>297</v>
      </c>
      <c r="E221" s="2" t="s">
        <v>298</v>
      </c>
      <c r="F221" s="2" t="s">
        <v>1554</v>
      </c>
      <c r="G221" s="2" t="s">
        <v>1554</v>
      </c>
      <c r="H221" s="2" t="s">
        <v>1554</v>
      </c>
      <c r="I221" s="2" t="s">
        <v>1563</v>
      </c>
      <c r="J221" s="2" t="s">
        <v>1564</v>
      </c>
      <c r="K221" s="2" t="s">
        <v>452</v>
      </c>
      <c r="L221" s="3">
        <v>12.96</v>
      </c>
      <c r="M221" s="3">
        <v>13.61</v>
      </c>
      <c r="N221" s="3">
        <v>26.99</v>
      </c>
      <c r="O221" s="2" t="s">
        <v>230</v>
      </c>
      <c r="P221" s="2" t="s">
        <v>231</v>
      </c>
      <c r="Q221" s="2" t="s">
        <v>232</v>
      </c>
      <c r="R221" s="2" t="s">
        <v>233</v>
      </c>
      <c r="S221" s="2" t="s">
        <v>1588</v>
      </c>
      <c r="T221" s="2" t="s">
        <v>1558</v>
      </c>
      <c r="U221" s="2" t="s">
        <v>233</v>
      </c>
      <c r="V221" s="2" t="s">
        <v>236</v>
      </c>
      <c r="W221" s="2" t="s">
        <v>237</v>
      </c>
      <c r="X221" s="2" t="s">
        <v>916</v>
      </c>
      <c r="Y221" s="2" t="s">
        <v>238</v>
      </c>
      <c r="Z221" s="4">
        <v>573</v>
      </c>
      <c r="AA221" s="4">
        <f>=ROUNDDOWN(47.75,0)</f>
      </c>
      <c r="AB221" s="5">
        <v>12</v>
      </c>
      <c r="AC221" s="2" t="s">
        <v>233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233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233</v>
      </c>
      <c r="AW221" s="8" t="s">
        <v>233</v>
      </c>
      <c r="AX221" s="4" t="s">
        <v>233</v>
      </c>
      <c r="AY221" s="8" t="s">
        <v>233</v>
      </c>
      <c r="AZ221" s="7" t="s">
        <v>233</v>
      </c>
      <c r="BA221" s="7" t="s">
        <v>233</v>
      </c>
      <c r="BB221" s="7"/>
      <c r="BC221" s="4" t="s">
        <v>233</v>
      </c>
      <c r="BD221" s="8" t="s">
        <v>233</v>
      </c>
      <c r="BE221" s="4" t="s">
        <v>233</v>
      </c>
      <c r="BF221" s="8" t="s">
        <v>233</v>
      </c>
      <c r="BG221" s="7" t="s">
        <v>233</v>
      </c>
      <c r="BH221" s="7" t="s">
        <v>233</v>
      </c>
      <c r="BI221" s="7"/>
      <c r="BJ221" s="4">
        <v>52</v>
      </c>
      <c r="BK221" s="8">
        <v>724.66</v>
      </c>
      <c r="BL221" s="2" t="s">
        <v>1591</v>
      </c>
      <c r="BM221" s="7"/>
      <c r="BN221" s="7"/>
      <c r="BO221" s="4"/>
      <c r="BP221" s="8"/>
      <c r="BQ221" s="4"/>
      <c r="BR221" s="8"/>
      <c r="BS221" s="7"/>
      <c r="BT221" s="7"/>
      <c r="BU221" s="2" t="s">
        <v>1566</v>
      </c>
      <c r="BV221" s="2" t="s">
        <v>233</v>
      </c>
      <c r="BW221" s="2" t="s">
        <v>233</v>
      </c>
      <c r="BX221" s="2" t="s">
        <v>241</v>
      </c>
      <c r="BY221" s="2" t="s">
        <v>242</v>
      </c>
      <c r="BZ221" s="2" t="s">
        <v>230</v>
      </c>
      <c r="CA221" s="2" t="s">
        <v>243</v>
      </c>
      <c r="CB221" s="2" t="s">
        <v>1592</v>
      </c>
      <c r="CC221" s="2" t="s">
        <v>245</v>
      </c>
      <c r="CD221" s="2" t="s">
        <v>233</v>
      </c>
      <c r="CE221" s="4">
        <v>573</v>
      </c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>
        <v>588</v>
      </c>
      <c r="GD221" s="4">
        <v>553</v>
      </c>
      <c r="GE221" s="4">
        <v>523</v>
      </c>
      <c r="GF221" s="4">
        <v>494</v>
      </c>
      <c r="GG221" s="4">
        <v>426</v>
      </c>
      <c r="GH221" s="4">
        <v>372</v>
      </c>
      <c r="GI221" s="4">
        <v>319</v>
      </c>
      <c r="GJ221" s="4">
        <v>294</v>
      </c>
      <c r="GK221" s="4">
        <v>282</v>
      </c>
      <c r="GL221" s="4">
        <v>262</v>
      </c>
      <c r="GM221" s="4">
        <v>244</v>
      </c>
      <c r="GN221" s="4">
        <v>226</v>
      </c>
      <c r="GO221" s="4">
        <v>208</v>
      </c>
      <c r="GP221" s="4">
        <v>190</v>
      </c>
      <c r="GQ221" s="4">
        <v>172</v>
      </c>
      <c r="GR221" s="4">
        <v>160</v>
      </c>
      <c r="GS221" s="4">
        <v>148</v>
      </c>
      <c r="GT221" s="4">
        <v>135</v>
      </c>
      <c r="GU221" s="4">
        <v>123</v>
      </c>
      <c r="GV221" s="4">
        <v>99</v>
      </c>
      <c r="GW221" s="4">
        <v>75</v>
      </c>
      <c r="GX221" s="4">
        <v>51</v>
      </c>
      <c r="GY221" s="4">
        <v>27</v>
      </c>
      <c r="GZ221" s="4">
        <v>9</v>
      </c>
      <c r="HA221" s="4"/>
      <c r="HB221" s="4"/>
      <c r="HC221" s="19">
        <v>14.7</v>
      </c>
      <c r="HD221" s="19">
        <v>12.3</v>
      </c>
      <c r="HE221" s="19">
        <v>10.3</v>
      </c>
      <c r="HF221" s="19">
        <v>9.9</v>
      </c>
      <c r="HG221" s="19">
        <v>11.8</v>
      </c>
      <c r="HH221" s="19">
        <v>13.3</v>
      </c>
      <c r="HI221" s="19">
        <v>16.8</v>
      </c>
      <c r="HJ221" s="19">
        <v>17.3</v>
      </c>
      <c r="HK221" s="19">
        <v>15.7</v>
      </c>
      <c r="HL221" s="19">
        <v>14.6</v>
      </c>
      <c r="HM221" s="19">
        <v>13.6</v>
      </c>
      <c r="HN221" s="19">
        <v>14.1</v>
      </c>
      <c r="HO221" s="19">
        <v>13.9</v>
      </c>
      <c r="HP221" s="19">
        <v>13.6</v>
      </c>
      <c r="HQ221" s="19">
        <v>14.3</v>
      </c>
      <c r="HR221" s="19">
        <v>10.7</v>
      </c>
      <c r="HS221" s="19">
        <v>8.2</v>
      </c>
      <c r="HT221" s="19">
        <v>6.4</v>
      </c>
      <c r="HU221" s="19">
        <v>5.1</v>
      </c>
      <c r="HV221" s="19">
        <v>4.5</v>
      </c>
      <c r="HW221" s="19">
        <v>3.6</v>
      </c>
      <c r="HX221" s="19">
        <v>2.6</v>
      </c>
      <c r="HY221" s="19">
        <v>1.5</v>
      </c>
      <c r="HZ221" s="19">
        <v>0.5</v>
      </c>
      <c r="IA221" s="20">
        <v>0</v>
      </c>
      <c r="IB221" s="20">
        <v>0</v>
      </c>
    </row>
    <row r="222">
      <c r="A222" s="2" t="s">
        <v>1593</v>
      </c>
      <c r="B222" s="2" t="s">
        <v>773</v>
      </c>
      <c r="C222" s="2" t="s">
        <v>762</v>
      </c>
      <c r="D222" s="2" t="s">
        <v>1573</v>
      </c>
      <c r="E222" s="2" t="s">
        <v>1574</v>
      </c>
      <c r="F222" s="2" t="s">
        <v>1554</v>
      </c>
      <c r="G222" s="2" t="s">
        <v>1554</v>
      </c>
      <c r="H222" s="2" t="s">
        <v>1554</v>
      </c>
      <c r="I222" s="2" t="s">
        <v>1574</v>
      </c>
      <c r="J222" s="2" t="s">
        <v>265</v>
      </c>
      <c r="K222" s="2" t="s">
        <v>1594</v>
      </c>
      <c r="L222" s="3">
        <v>36.18</v>
      </c>
      <c r="M222" s="3">
        <v>37.99</v>
      </c>
      <c r="N222" s="3">
        <v>76.99</v>
      </c>
      <c r="O222" s="2" t="s">
        <v>230</v>
      </c>
      <c r="P222" s="2" t="s">
        <v>231</v>
      </c>
      <c r="Q222" s="2" t="s">
        <v>232</v>
      </c>
      <c r="R222" s="2" t="s">
        <v>233</v>
      </c>
      <c r="S222" s="2" t="s">
        <v>1595</v>
      </c>
      <c r="T222" s="2" t="s">
        <v>1558</v>
      </c>
      <c r="U222" s="2" t="s">
        <v>329</v>
      </c>
      <c r="V222" s="2" t="s">
        <v>236</v>
      </c>
      <c r="W222" s="2" t="s">
        <v>237</v>
      </c>
      <c r="X222" s="2" t="s">
        <v>916</v>
      </c>
      <c r="Y222" s="2" t="s">
        <v>614</v>
      </c>
      <c r="Z222" s="4">
        <v>219</v>
      </c>
      <c r="AA222" s="4">
        <f>=ROUNDDOWN(54.75,0)</f>
      </c>
      <c r="AB222" s="5">
        <v>4</v>
      </c>
      <c r="AC222" s="2" t="s">
        <v>233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233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233</v>
      </c>
      <c r="AW222" s="8" t="s">
        <v>233</v>
      </c>
      <c r="AX222" s="4" t="s">
        <v>233</v>
      </c>
      <c r="AY222" s="8" t="s">
        <v>233</v>
      </c>
      <c r="AZ222" s="7" t="s">
        <v>233</v>
      </c>
      <c r="BA222" s="7" t="s">
        <v>233</v>
      </c>
      <c r="BB222" s="7"/>
      <c r="BC222" s="4" t="s">
        <v>233</v>
      </c>
      <c r="BD222" s="8" t="s">
        <v>233</v>
      </c>
      <c r="BE222" s="4" t="s">
        <v>233</v>
      </c>
      <c r="BF222" s="8" t="s">
        <v>233</v>
      </c>
      <c r="BG222" s="7" t="s">
        <v>233</v>
      </c>
      <c r="BH222" s="7" t="s">
        <v>233</v>
      </c>
      <c r="BI222" s="7"/>
      <c r="BJ222" s="4">
        <v>9</v>
      </c>
      <c r="BK222" s="8">
        <v>353.34</v>
      </c>
      <c r="BL222" s="2" t="s">
        <v>1596</v>
      </c>
      <c r="BM222" s="7"/>
      <c r="BN222" s="7"/>
      <c r="BO222" s="4"/>
      <c r="BP222" s="8"/>
      <c r="BQ222" s="4"/>
      <c r="BR222" s="8"/>
      <c r="BS222" s="7"/>
      <c r="BT222" s="7"/>
      <c r="BU222" s="2" t="s">
        <v>1577</v>
      </c>
      <c r="BV222" s="2" t="s">
        <v>233</v>
      </c>
      <c r="BW222" s="2" t="s">
        <v>233</v>
      </c>
      <c r="BX222" s="2" t="s">
        <v>293</v>
      </c>
      <c r="BY222" s="2" t="s">
        <v>242</v>
      </c>
      <c r="BZ222" s="2" t="s">
        <v>230</v>
      </c>
      <c r="CA222" s="2" t="s">
        <v>1597</v>
      </c>
      <c r="CB222" s="2" t="s">
        <v>1598</v>
      </c>
      <c r="CC222" s="2" t="s">
        <v>245</v>
      </c>
      <c r="CD222" s="2" t="s">
        <v>233</v>
      </c>
      <c r="CE222" s="4">
        <v>219</v>
      </c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>
        <v>222</v>
      </c>
      <c r="GD222" s="4">
        <v>213</v>
      </c>
      <c r="GE222" s="4">
        <v>200</v>
      </c>
      <c r="GF222" s="4">
        <v>190</v>
      </c>
      <c r="GG222" s="4">
        <v>166</v>
      </c>
      <c r="GH222" s="4">
        <v>156</v>
      </c>
      <c r="GI222" s="4">
        <v>141</v>
      </c>
      <c r="GJ222" s="4">
        <v>126</v>
      </c>
      <c r="GK222" s="4">
        <v>124</v>
      </c>
      <c r="GL222" s="4">
        <v>120</v>
      </c>
      <c r="GM222" s="4">
        <v>116</v>
      </c>
      <c r="GN222" s="4">
        <v>112</v>
      </c>
      <c r="GO222" s="4">
        <v>108</v>
      </c>
      <c r="GP222" s="4">
        <v>104</v>
      </c>
      <c r="GQ222" s="4">
        <v>100</v>
      </c>
      <c r="GR222" s="4">
        <v>97</v>
      </c>
      <c r="GS222" s="4">
        <v>94</v>
      </c>
      <c r="GT222" s="4">
        <v>90</v>
      </c>
      <c r="GU222" s="4">
        <v>87</v>
      </c>
      <c r="GV222" s="4">
        <v>83</v>
      </c>
      <c r="GW222" s="4">
        <v>79</v>
      </c>
      <c r="GX222" s="4">
        <v>75</v>
      </c>
      <c r="GY222" s="4">
        <v>71</v>
      </c>
      <c r="GZ222" s="4">
        <v>66</v>
      </c>
      <c r="HA222" s="4">
        <v>61</v>
      </c>
      <c r="HB222" s="4">
        <v>56</v>
      </c>
      <c r="HC222" s="19">
        <v>15.9</v>
      </c>
      <c r="HD222" s="19">
        <v>15.2</v>
      </c>
      <c r="HE222" s="19">
        <v>13.3</v>
      </c>
      <c r="HF222" s="19">
        <v>11.9</v>
      </c>
      <c r="HG222" s="19">
        <v>16.6</v>
      </c>
      <c r="HH222" s="19">
        <v>17.3</v>
      </c>
      <c r="HI222" s="19">
        <v>23.5</v>
      </c>
      <c r="HJ222" s="19">
        <v>31.5</v>
      </c>
      <c r="HK222" s="19">
        <v>31</v>
      </c>
      <c r="HL222" s="19">
        <v>30</v>
      </c>
      <c r="HM222" s="19">
        <v>29</v>
      </c>
      <c r="HN222" s="19">
        <v>28</v>
      </c>
      <c r="HO222" s="19">
        <v>27</v>
      </c>
      <c r="HP222" s="19">
        <v>26</v>
      </c>
      <c r="HQ222" s="19">
        <v>33.3</v>
      </c>
      <c r="HR222" s="19">
        <v>24.3</v>
      </c>
      <c r="HS222" s="19">
        <v>23.5</v>
      </c>
      <c r="HT222" s="19">
        <v>22.5</v>
      </c>
      <c r="HU222" s="19">
        <v>21.8</v>
      </c>
      <c r="HV222" s="19">
        <v>20.8</v>
      </c>
      <c r="HW222" s="19">
        <v>19.8</v>
      </c>
      <c r="HX222" s="19">
        <v>15</v>
      </c>
      <c r="HY222" s="19">
        <v>14.2</v>
      </c>
      <c r="HZ222" s="19">
        <v>13.2</v>
      </c>
      <c r="IA222" s="19">
        <v>15.3</v>
      </c>
      <c r="IB222" s="19">
        <v>14</v>
      </c>
    </row>
    <row r="223">
      <c r="A223" s="2" t="s">
        <v>1599</v>
      </c>
      <c r="B223" s="2" t="s">
        <v>773</v>
      </c>
      <c r="C223" s="2" t="s">
        <v>762</v>
      </c>
      <c r="D223" s="2" t="s">
        <v>297</v>
      </c>
      <c r="E223" s="2" t="s">
        <v>298</v>
      </c>
      <c r="F223" s="2" t="s">
        <v>1554</v>
      </c>
      <c r="G223" s="2" t="s">
        <v>1554</v>
      </c>
      <c r="H223" s="2" t="s">
        <v>1554</v>
      </c>
      <c r="I223" s="2" t="s">
        <v>1555</v>
      </c>
      <c r="J223" s="2" t="s">
        <v>1556</v>
      </c>
      <c r="K223" s="2" t="s">
        <v>1594</v>
      </c>
      <c r="L223" s="3">
        <v>10.58</v>
      </c>
      <c r="M223" s="3">
        <v>11.11</v>
      </c>
      <c r="N223" s="3">
        <v>22.99</v>
      </c>
      <c r="O223" s="2" t="s">
        <v>230</v>
      </c>
      <c r="P223" s="2" t="s">
        <v>231</v>
      </c>
      <c r="Q223" s="2" t="s">
        <v>232</v>
      </c>
      <c r="R223" s="2" t="s">
        <v>233</v>
      </c>
      <c r="S223" s="2" t="s">
        <v>1595</v>
      </c>
      <c r="T223" s="2" t="s">
        <v>1558</v>
      </c>
      <c r="U223" s="2" t="s">
        <v>329</v>
      </c>
      <c r="V223" s="2" t="s">
        <v>236</v>
      </c>
      <c r="W223" s="2" t="s">
        <v>237</v>
      </c>
      <c r="X223" s="2" t="s">
        <v>916</v>
      </c>
      <c r="Y223" s="2" t="s">
        <v>614</v>
      </c>
      <c r="Z223" s="4">
        <v>294</v>
      </c>
      <c r="AA223" s="4">
        <f>=ROUNDDOWN(210,0)</f>
      </c>
      <c r="AB223" s="5">
        <v>1.4</v>
      </c>
      <c r="AC223" s="2" t="s">
        <v>233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233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233</v>
      </c>
      <c r="AW223" s="8" t="s">
        <v>233</v>
      </c>
      <c r="AX223" s="4" t="s">
        <v>233</v>
      </c>
      <c r="AY223" s="8" t="s">
        <v>233</v>
      </c>
      <c r="AZ223" s="7" t="s">
        <v>233</v>
      </c>
      <c r="BA223" s="7" t="s">
        <v>233</v>
      </c>
      <c r="BB223" s="7"/>
      <c r="BC223" s="4" t="s">
        <v>233</v>
      </c>
      <c r="BD223" s="8" t="s">
        <v>233</v>
      </c>
      <c r="BE223" s="4" t="s">
        <v>233</v>
      </c>
      <c r="BF223" s="8" t="s">
        <v>233</v>
      </c>
      <c r="BG223" s="7" t="s">
        <v>233</v>
      </c>
      <c r="BH223" s="7" t="s">
        <v>233</v>
      </c>
      <c r="BI223" s="7"/>
      <c r="BJ223" s="4">
        <v>13</v>
      </c>
      <c r="BK223" s="8">
        <v>155.1</v>
      </c>
      <c r="BL223" s="2" t="s">
        <v>1600</v>
      </c>
      <c r="BM223" s="7"/>
      <c r="BN223" s="7"/>
      <c r="BO223" s="4"/>
      <c r="BP223" s="8"/>
      <c r="BQ223" s="4"/>
      <c r="BR223" s="8"/>
      <c r="BS223" s="7"/>
      <c r="BT223" s="7"/>
      <c r="BU223" s="2" t="s">
        <v>1560</v>
      </c>
      <c r="BV223" s="2" t="s">
        <v>233</v>
      </c>
      <c r="BW223" s="2" t="s">
        <v>233</v>
      </c>
      <c r="BX223" s="2" t="s">
        <v>241</v>
      </c>
      <c r="BY223" s="2" t="s">
        <v>242</v>
      </c>
      <c r="BZ223" s="2" t="s">
        <v>230</v>
      </c>
      <c r="CA223" s="2" t="s">
        <v>439</v>
      </c>
      <c r="CB223" s="2" t="s">
        <v>443</v>
      </c>
      <c r="CC223" s="2" t="s">
        <v>245</v>
      </c>
      <c r="CD223" s="2" t="s">
        <v>233</v>
      </c>
      <c r="CE223" s="4">
        <v>294</v>
      </c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>
        <v>294</v>
      </c>
      <c r="GD223" s="4">
        <v>292</v>
      </c>
      <c r="GE223" s="4">
        <v>289</v>
      </c>
      <c r="GF223" s="4">
        <v>287</v>
      </c>
      <c r="GG223" s="4">
        <v>281</v>
      </c>
      <c r="GH223" s="4">
        <v>276</v>
      </c>
      <c r="GI223" s="4">
        <v>272</v>
      </c>
      <c r="GJ223" s="4">
        <v>270</v>
      </c>
      <c r="GK223" s="4">
        <v>269</v>
      </c>
      <c r="GL223" s="4">
        <v>267</v>
      </c>
      <c r="GM223" s="4">
        <v>265</v>
      </c>
      <c r="GN223" s="4">
        <v>263</v>
      </c>
      <c r="GO223" s="4">
        <v>261</v>
      </c>
      <c r="GP223" s="4">
        <v>259</v>
      </c>
      <c r="GQ223" s="4">
        <v>257</v>
      </c>
      <c r="GR223" s="4">
        <v>256</v>
      </c>
      <c r="GS223" s="4">
        <v>255</v>
      </c>
      <c r="GT223" s="4">
        <v>254</v>
      </c>
      <c r="GU223" s="4">
        <v>253</v>
      </c>
      <c r="GV223" s="4">
        <v>251</v>
      </c>
      <c r="GW223" s="4">
        <v>249</v>
      </c>
      <c r="GX223" s="4">
        <v>247</v>
      </c>
      <c r="GY223" s="4">
        <v>245</v>
      </c>
      <c r="GZ223" s="4">
        <v>243</v>
      </c>
      <c r="HA223" s="4">
        <v>241</v>
      </c>
      <c r="HB223" s="4">
        <v>239</v>
      </c>
      <c r="HC223" s="19">
        <v>98</v>
      </c>
      <c r="HD223" s="19">
        <v>73</v>
      </c>
      <c r="HE223" s="19">
        <v>72.3</v>
      </c>
      <c r="HF223" s="19">
        <v>71.8</v>
      </c>
      <c r="HG223" s="19">
        <v>93.7</v>
      </c>
      <c r="HH223" s="19">
        <v>138</v>
      </c>
      <c r="HI223" s="19">
        <v>136</v>
      </c>
      <c r="HJ223" s="19">
        <v>135</v>
      </c>
      <c r="HK223" s="19">
        <v>134.5</v>
      </c>
      <c r="HL223" s="19">
        <v>133.5</v>
      </c>
      <c r="HM223" s="19">
        <v>132.5</v>
      </c>
      <c r="HN223" s="19">
        <v>131.5</v>
      </c>
      <c r="HO223" s="19">
        <v>130.5</v>
      </c>
      <c r="HP223" s="19">
        <v>259</v>
      </c>
      <c r="HQ223" s="19">
        <v>257</v>
      </c>
      <c r="HR223" s="19">
        <v>256</v>
      </c>
      <c r="HS223" s="19">
        <v>127.5</v>
      </c>
      <c r="HT223" s="19">
        <v>127</v>
      </c>
      <c r="HU223" s="19">
        <v>126.5</v>
      </c>
      <c r="HV223" s="19">
        <v>125.5</v>
      </c>
      <c r="HW223" s="19">
        <v>124.5</v>
      </c>
      <c r="HX223" s="19">
        <v>123.5</v>
      </c>
      <c r="HY223" s="19">
        <v>122.5</v>
      </c>
      <c r="HZ223" s="19">
        <v>121.5</v>
      </c>
      <c r="IA223" s="19">
        <v>120.5</v>
      </c>
      <c r="IB223" s="19">
        <v>119.5</v>
      </c>
    </row>
    <row r="224">
      <c r="A224" s="2" t="s">
        <v>1601</v>
      </c>
      <c r="B224" s="2" t="s">
        <v>773</v>
      </c>
      <c r="C224" s="2" t="s">
        <v>762</v>
      </c>
      <c r="D224" s="2" t="s">
        <v>297</v>
      </c>
      <c r="E224" s="2" t="s">
        <v>298</v>
      </c>
      <c r="F224" s="2" t="s">
        <v>1554</v>
      </c>
      <c r="G224" s="2" t="s">
        <v>1554</v>
      </c>
      <c r="H224" s="2" t="s">
        <v>1554</v>
      </c>
      <c r="I224" s="2" t="s">
        <v>1563</v>
      </c>
      <c r="J224" s="2" t="s">
        <v>1564</v>
      </c>
      <c r="K224" s="2" t="s">
        <v>1594</v>
      </c>
      <c r="L224" s="3">
        <v>12.96</v>
      </c>
      <c r="M224" s="3">
        <v>13.61</v>
      </c>
      <c r="N224" s="3">
        <v>26.99</v>
      </c>
      <c r="O224" s="2" t="s">
        <v>230</v>
      </c>
      <c r="P224" s="2" t="s">
        <v>231</v>
      </c>
      <c r="Q224" s="2" t="s">
        <v>232</v>
      </c>
      <c r="R224" s="2" t="s">
        <v>233</v>
      </c>
      <c r="S224" s="2" t="s">
        <v>1595</v>
      </c>
      <c r="T224" s="2" t="s">
        <v>1558</v>
      </c>
      <c r="U224" s="2" t="s">
        <v>329</v>
      </c>
      <c r="V224" s="2" t="s">
        <v>236</v>
      </c>
      <c r="W224" s="2" t="s">
        <v>237</v>
      </c>
      <c r="X224" s="2" t="s">
        <v>916</v>
      </c>
      <c r="Y224" s="2" t="s">
        <v>614</v>
      </c>
      <c r="Z224" s="4">
        <v>259</v>
      </c>
      <c r="AA224" s="4">
        <f>=ROUNDDOWN(117.727272727273,0)</f>
      </c>
      <c r="AB224" s="5">
        <v>2.2</v>
      </c>
      <c r="AC224" s="2" t="s">
        <v>233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233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233</v>
      </c>
      <c r="AW224" s="8" t="s">
        <v>233</v>
      </c>
      <c r="AX224" s="4" t="s">
        <v>233</v>
      </c>
      <c r="AY224" s="8" t="s">
        <v>233</v>
      </c>
      <c r="AZ224" s="7" t="s">
        <v>233</v>
      </c>
      <c r="BA224" s="7" t="s">
        <v>233</v>
      </c>
      <c r="BB224" s="7"/>
      <c r="BC224" s="4" t="s">
        <v>233</v>
      </c>
      <c r="BD224" s="8" t="s">
        <v>233</v>
      </c>
      <c r="BE224" s="4" t="s">
        <v>233</v>
      </c>
      <c r="BF224" s="8" t="s">
        <v>233</v>
      </c>
      <c r="BG224" s="7" t="s">
        <v>233</v>
      </c>
      <c r="BH224" s="7" t="s">
        <v>233</v>
      </c>
      <c r="BI224" s="7"/>
      <c r="BJ224" s="4">
        <v>5</v>
      </c>
      <c r="BK224" s="8">
        <v>68.69</v>
      </c>
      <c r="BL224" s="2" t="s">
        <v>1559</v>
      </c>
      <c r="BM224" s="7"/>
      <c r="BN224" s="7"/>
      <c r="BO224" s="4"/>
      <c r="BP224" s="8"/>
      <c r="BQ224" s="4"/>
      <c r="BR224" s="8"/>
      <c r="BS224" s="7"/>
      <c r="BT224" s="7"/>
      <c r="BU224" s="2" t="s">
        <v>1566</v>
      </c>
      <c r="BV224" s="2" t="s">
        <v>233</v>
      </c>
      <c r="BW224" s="2" t="s">
        <v>233</v>
      </c>
      <c r="BX224" s="2" t="s">
        <v>241</v>
      </c>
      <c r="BY224" s="2" t="s">
        <v>242</v>
      </c>
      <c r="BZ224" s="2" t="s">
        <v>230</v>
      </c>
      <c r="CA224" s="2" t="s">
        <v>439</v>
      </c>
      <c r="CB224" s="2" t="s">
        <v>1602</v>
      </c>
      <c r="CC224" s="2" t="s">
        <v>245</v>
      </c>
      <c r="CD224" s="2" t="s">
        <v>233</v>
      </c>
      <c r="CE224" s="4">
        <v>259</v>
      </c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>
        <v>263</v>
      </c>
      <c r="GD224" s="4">
        <v>255</v>
      </c>
      <c r="GE224" s="4">
        <v>250</v>
      </c>
      <c r="GF224" s="4">
        <v>245</v>
      </c>
      <c r="GG224" s="4">
        <v>234</v>
      </c>
      <c r="GH224" s="4">
        <v>225</v>
      </c>
      <c r="GI224" s="4">
        <v>216</v>
      </c>
      <c r="GJ224" s="4">
        <v>212</v>
      </c>
      <c r="GK224" s="4">
        <v>210</v>
      </c>
      <c r="GL224" s="4">
        <v>207</v>
      </c>
      <c r="GM224" s="4">
        <v>204</v>
      </c>
      <c r="GN224" s="4">
        <v>201</v>
      </c>
      <c r="GO224" s="4">
        <v>198</v>
      </c>
      <c r="GP224" s="4">
        <v>195</v>
      </c>
      <c r="GQ224" s="4">
        <v>192</v>
      </c>
      <c r="GR224" s="4">
        <v>190</v>
      </c>
      <c r="GS224" s="4">
        <v>188</v>
      </c>
      <c r="GT224" s="4">
        <v>186</v>
      </c>
      <c r="GU224" s="4">
        <v>184</v>
      </c>
      <c r="GV224" s="4">
        <v>180</v>
      </c>
      <c r="GW224" s="4">
        <v>176</v>
      </c>
      <c r="GX224" s="4">
        <v>172</v>
      </c>
      <c r="GY224" s="4">
        <v>168</v>
      </c>
      <c r="GZ224" s="4">
        <v>165</v>
      </c>
      <c r="HA224" s="4">
        <v>162</v>
      </c>
      <c r="HB224" s="4">
        <v>159</v>
      </c>
      <c r="HC224" s="19">
        <v>37.6</v>
      </c>
      <c r="HD224" s="19">
        <v>31.9</v>
      </c>
      <c r="HE224" s="19">
        <v>31.3</v>
      </c>
      <c r="HF224" s="19">
        <v>30.6</v>
      </c>
      <c r="HG224" s="19">
        <v>39</v>
      </c>
      <c r="HH224" s="19">
        <v>56.3</v>
      </c>
      <c r="HI224" s="19">
        <v>72</v>
      </c>
      <c r="HJ224" s="19">
        <v>70.7</v>
      </c>
      <c r="HK224" s="19">
        <v>70</v>
      </c>
      <c r="HL224" s="19">
        <v>69</v>
      </c>
      <c r="HM224" s="19">
        <v>68</v>
      </c>
      <c r="HN224" s="19">
        <v>67</v>
      </c>
      <c r="HO224" s="19">
        <v>99</v>
      </c>
      <c r="HP224" s="19">
        <v>97.5</v>
      </c>
      <c r="HQ224" s="19">
        <v>96</v>
      </c>
      <c r="HR224" s="19">
        <v>95</v>
      </c>
      <c r="HS224" s="19">
        <v>62.7</v>
      </c>
      <c r="HT224" s="19">
        <v>46.5</v>
      </c>
      <c r="HU224" s="19">
        <v>46</v>
      </c>
      <c r="HV224" s="19">
        <v>45</v>
      </c>
      <c r="HW224" s="19">
        <v>44</v>
      </c>
      <c r="HX224" s="19">
        <v>57.3</v>
      </c>
      <c r="HY224" s="19">
        <v>56</v>
      </c>
      <c r="HZ224" s="19">
        <v>55</v>
      </c>
      <c r="IA224" s="19">
        <v>54</v>
      </c>
      <c r="IB224" s="19">
        <v>53</v>
      </c>
    </row>
    <row r="225">
      <c r="A225" s="2" t="s">
        <v>1603</v>
      </c>
      <c r="B225" s="2" t="s">
        <v>773</v>
      </c>
      <c r="C225" s="2" t="s">
        <v>762</v>
      </c>
      <c r="D225" s="2" t="s">
        <v>297</v>
      </c>
      <c r="E225" s="2" t="s">
        <v>298</v>
      </c>
      <c r="F225" s="2" t="s">
        <v>1554</v>
      </c>
      <c r="G225" s="2" t="s">
        <v>1554</v>
      </c>
      <c r="H225" s="2" t="s">
        <v>1554</v>
      </c>
      <c r="I225" s="2" t="s">
        <v>1585</v>
      </c>
      <c r="J225" s="2" t="s">
        <v>1586</v>
      </c>
      <c r="K225" s="2" t="s">
        <v>1594</v>
      </c>
      <c r="L225" s="3">
        <v>18.4</v>
      </c>
      <c r="M225" s="3">
        <v>19.32</v>
      </c>
      <c r="N225" s="3">
        <v>39.99</v>
      </c>
      <c r="O225" s="2" t="s">
        <v>230</v>
      </c>
      <c r="P225" s="2" t="s">
        <v>231</v>
      </c>
      <c r="Q225" s="2" t="s">
        <v>232</v>
      </c>
      <c r="R225" s="2" t="s">
        <v>233</v>
      </c>
      <c r="S225" s="2" t="s">
        <v>1595</v>
      </c>
      <c r="T225" s="2" t="s">
        <v>1558</v>
      </c>
      <c r="U225" s="2" t="s">
        <v>329</v>
      </c>
      <c r="V225" s="2" t="s">
        <v>236</v>
      </c>
      <c r="W225" s="2" t="s">
        <v>237</v>
      </c>
      <c r="X225" s="2" t="s">
        <v>916</v>
      </c>
      <c r="Y225" s="2" t="s">
        <v>614</v>
      </c>
      <c r="Z225" s="4">
        <v>157</v>
      </c>
      <c r="AA225" s="4">
        <f>=ROUNDDOWN(52.3333333333333,0)</f>
      </c>
      <c r="AB225" s="5">
        <v>3</v>
      </c>
      <c r="AC225" s="2" t="s">
        <v>233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233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233</v>
      </c>
      <c r="AW225" s="8" t="s">
        <v>233</v>
      </c>
      <c r="AX225" s="4" t="s">
        <v>233</v>
      </c>
      <c r="AY225" s="8" t="s">
        <v>233</v>
      </c>
      <c r="AZ225" s="7" t="s">
        <v>233</v>
      </c>
      <c r="BA225" s="7" t="s">
        <v>233</v>
      </c>
      <c r="BB225" s="7"/>
      <c r="BC225" s="4" t="s">
        <v>233</v>
      </c>
      <c r="BD225" s="8" t="s">
        <v>233</v>
      </c>
      <c r="BE225" s="4" t="s">
        <v>233</v>
      </c>
      <c r="BF225" s="8" t="s">
        <v>233</v>
      </c>
      <c r="BG225" s="7" t="s">
        <v>233</v>
      </c>
      <c r="BH225" s="7" t="s">
        <v>233</v>
      </c>
      <c r="BI225" s="7"/>
      <c r="BJ225" s="4">
        <v>16</v>
      </c>
      <c r="BK225" s="8">
        <v>300.94</v>
      </c>
      <c r="BL225" s="2" t="s">
        <v>1604</v>
      </c>
      <c r="BM225" s="7"/>
      <c r="BN225" s="7"/>
      <c r="BO225" s="4"/>
      <c r="BP225" s="8"/>
      <c r="BQ225" s="4"/>
      <c r="BR225" s="8"/>
      <c r="BS225" s="7"/>
      <c r="BT225" s="7"/>
      <c r="BU225" s="2" t="s">
        <v>1566</v>
      </c>
      <c r="BV225" s="2" t="s">
        <v>233</v>
      </c>
      <c r="BW225" s="2" t="s">
        <v>233</v>
      </c>
      <c r="BX225" s="2" t="s">
        <v>241</v>
      </c>
      <c r="BY225" s="2" t="s">
        <v>242</v>
      </c>
      <c r="BZ225" s="2" t="s">
        <v>230</v>
      </c>
      <c r="CA225" s="2" t="s">
        <v>439</v>
      </c>
      <c r="CB225" s="2" t="s">
        <v>1605</v>
      </c>
      <c r="CC225" s="2" t="s">
        <v>245</v>
      </c>
      <c r="CD225" s="2" t="s">
        <v>233</v>
      </c>
      <c r="CE225" s="4">
        <v>157</v>
      </c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>
        <v>157</v>
      </c>
      <c r="GD225" s="4">
        <v>128</v>
      </c>
      <c r="GE225" s="4">
        <v>121</v>
      </c>
      <c r="GF225" s="4">
        <v>114</v>
      </c>
      <c r="GG225" s="4">
        <v>101</v>
      </c>
      <c r="GH225" s="4">
        <v>90</v>
      </c>
      <c r="GI225" s="4">
        <v>79</v>
      </c>
      <c r="GJ225" s="4">
        <v>73</v>
      </c>
      <c r="GK225" s="4">
        <v>70</v>
      </c>
      <c r="GL225" s="4">
        <v>66</v>
      </c>
      <c r="GM225" s="4">
        <v>62</v>
      </c>
      <c r="GN225" s="4">
        <v>58</v>
      </c>
      <c r="GO225" s="4">
        <v>53</v>
      </c>
      <c r="GP225" s="4">
        <v>48</v>
      </c>
      <c r="GQ225" s="4">
        <v>43</v>
      </c>
      <c r="GR225" s="4">
        <v>39</v>
      </c>
      <c r="GS225" s="4">
        <v>35</v>
      </c>
      <c r="GT225" s="4">
        <v>31</v>
      </c>
      <c r="GU225" s="4">
        <v>27</v>
      </c>
      <c r="GV225" s="4">
        <v>21</v>
      </c>
      <c r="GW225" s="4">
        <v>15</v>
      </c>
      <c r="GX225" s="4">
        <v>9</v>
      </c>
      <c r="GY225" s="4">
        <v>3</v>
      </c>
      <c r="GZ225" s="4"/>
      <c r="HA225" s="4"/>
      <c r="HB225" s="4">
        <v>44</v>
      </c>
      <c r="HC225" s="19">
        <v>11.2</v>
      </c>
      <c r="HD225" s="19">
        <v>12.8</v>
      </c>
      <c r="HE225" s="19">
        <v>12.1</v>
      </c>
      <c r="HF225" s="19">
        <v>11.4</v>
      </c>
      <c r="HG225" s="19">
        <v>12.6</v>
      </c>
      <c r="HH225" s="19">
        <v>15</v>
      </c>
      <c r="HI225" s="19">
        <v>19.8</v>
      </c>
      <c r="HJ225" s="19">
        <v>18.3</v>
      </c>
      <c r="HK225" s="19">
        <v>17.5</v>
      </c>
      <c r="HL225" s="19">
        <v>16.5</v>
      </c>
      <c r="HM225" s="19">
        <v>12.4</v>
      </c>
      <c r="HN225" s="19">
        <v>11.6</v>
      </c>
      <c r="HO225" s="19">
        <v>13.3</v>
      </c>
      <c r="HP225" s="19">
        <v>12</v>
      </c>
      <c r="HQ225" s="19">
        <v>10.8</v>
      </c>
      <c r="HR225" s="19">
        <v>9.8</v>
      </c>
      <c r="HS225" s="19">
        <v>7</v>
      </c>
      <c r="HT225" s="19">
        <v>5.2</v>
      </c>
      <c r="HU225" s="19">
        <v>4.5</v>
      </c>
      <c r="HV225" s="19">
        <v>3.5</v>
      </c>
      <c r="HW225" s="19">
        <v>2.5</v>
      </c>
      <c r="HX225" s="19">
        <v>1.8</v>
      </c>
      <c r="HY225" s="19">
        <v>0.8</v>
      </c>
      <c r="HZ225" s="20">
        <v>0</v>
      </c>
      <c r="IA225" s="20">
        <v>0</v>
      </c>
      <c r="IB225" s="19">
        <v>11</v>
      </c>
    </row>
    <row r="226">
      <c r="A226" s="2" t="s">
        <v>1606</v>
      </c>
      <c r="B226" s="2" t="s">
        <v>773</v>
      </c>
      <c r="C226" s="2" t="s">
        <v>908</v>
      </c>
      <c r="D226" s="2" t="s">
        <v>985</v>
      </c>
      <c r="E226" s="2" t="s">
        <v>986</v>
      </c>
      <c r="F226" s="2" t="s">
        <v>1607</v>
      </c>
      <c r="G226" s="2" t="s">
        <v>1607</v>
      </c>
      <c r="H226" s="2" t="s">
        <v>1608</v>
      </c>
      <c r="I226" s="2" t="s">
        <v>988</v>
      </c>
      <c r="J226" s="2" t="s">
        <v>989</v>
      </c>
      <c r="K226" s="2" t="s">
        <v>1609</v>
      </c>
      <c r="L226" s="3">
        <v>37.72</v>
      </c>
      <c r="M226" s="3">
        <v>39.61</v>
      </c>
      <c r="N226" s="3">
        <v>81.99</v>
      </c>
      <c r="O226" s="2" t="s">
        <v>230</v>
      </c>
      <c r="P226" s="2" t="s">
        <v>721</v>
      </c>
      <c r="Q226" s="2" t="s">
        <v>232</v>
      </c>
      <c r="R226" s="2" t="s">
        <v>233</v>
      </c>
      <c r="S226" s="2" t="s">
        <v>1610</v>
      </c>
      <c r="T226" s="2" t="s">
        <v>913</v>
      </c>
      <c r="U226" s="2" t="s">
        <v>233</v>
      </c>
      <c r="V226" s="2" t="s">
        <v>914</v>
      </c>
      <c r="W226" s="2" t="s">
        <v>915</v>
      </c>
      <c r="X226" s="2" t="s">
        <v>916</v>
      </c>
      <c r="Y226" s="2" t="s">
        <v>1117</v>
      </c>
      <c r="Z226" s="4">
        <v>1131</v>
      </c>
      <c r="AA226" s="4">
        <f>=ROUNDDOWN(113.1,0)</f>
      </c>
      <c r="AB226" s="5">
        <v>10</v>
      </c>
      <c r="AC226" s="2" t="s">
        <v>233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233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>
        <v>23</v>
      </c>
      <c r="BK226" s="8">
        <v>936.97</v>
      </c>
      <c r="BL226" s="2" t="s">
        <v>1611</v>
      </c>
      <c r="BM226" s="7"/>
      <c r="BN226" s="7"/>
      <c r="BO226" s="4"/>
      <c r="BP226" s="8"/>
      <c r="BQ226" s="4"/>
      <c r="BR226" s="8"/>
      <c r="BS226" s="7"/>
      <c r="BT226" s="7"/>
      <c r="BU226" s="2" t="s">
        <v>1612</v>
      </c>
      <c r="BV226" s="2" t="s">
        <v>233</v>
      </c>
      <c r="BW226" s="2" t="s">
        <v>233</v>
      </c>
      <c r="BX226" s="2" t="s">
        <v>241</v>
      </c>
      <c r="BY226" s="2" t="s">
        <v>242</v>
      </c>
      <c r="BZ226" s="2" t="s">
        <v>230</v>
      </c>
      <c r="CA226" s="2" t="s">
        <v>1613</v>
      </c>
      <c r="CB226" s="2" t="s">
        <v>1614</v>
      </c>
      <c r="CC226" s="2" t="s">
        <v>245</v>
      </c>
      <c r="CD226" s="2" t="s">
        <v>233</v>
      </c>
      <c r="CE226" s="4">
        <v>1131</v>
      </c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>
        <v>1135</v>
      </c>
      <c r="GD226" s="4">
        <v>1104</v>
      </c>
      <c r="GE226" s="4">
        <v>1088</v>
      </c>
      <c r="GF226" s="4">
        <v>1070</v>
      </c>
      <c r="GG226" s="4">
        <v>1030</v>
      </c>
      <c r="GH226" s="4">
        <v>992</v>
      </c>
      <c r="GI226" s="4">
        <v>945</v>
      </c>
      <c r="GJ226" s="4">
        <v>923</v>
      </c>
      <c r="GK226" s="4">
        <v>917</v>
      </c>
      <c r="GL226" s="4">
        <v>906</v>
      </c>
      <c r="GM226" s="4">
        <v>900</v>
      </c>
      <c r="GN226" s="4">
        <v>887</v>
      </c>
      <c r="GO226" s="4">
        <v>879</v>
      </c>
      <c r="GP226" s="4">
        <v>871</v>
      </c>
      <c r="GQ226" s="4">
        <v>865</v>
      </c>
      <c r="GR226" s="4">
        <v>857</v>
      </c>
      <c r="GS226" s="4">
        <v>850</v>
      </c>
      <c r="GT226" s="4">
        <v>844</v>
      </c>
      <c r="GU226" s="4">
        <v>838</v>
      </c>
      <c r="GV226" s="4">
        <v>833</v>
      </c>
      <c r="GW226" s="4">
        <v>826</v>
      </c>
      <c r="GX226" s="4">
        <v>822</v>
      </c>
      <c r="GY226" s="4">
        <v>818</v>
      </c>
      <c r="GZ226" s="4">
        <v>816</v>
      </c>
      <c r="HA226" s="4">
        <v>814</v>
      </c>
      <c r="HB226" s="4">
        <v>813</v>
      </c>
      <c r="HC226" s="19">
        <v>43.7</v>
      </c>
      <c r="HD226" s="19">
        <v>39.4</v>
      </c>
      <c r="HE226" s="19">
        <v>30.2</v>
      </c>
      <c r="HF226" s="19">
        <v>28.9</v>
      </c>
      <c r="HG226" s="19">
        <v>36.8</v>
      </c>
      <c r="HH226" s="19">
        <v>45.1</v>
      </c>
      <c r="HI226" s="19">
        <v>85.9</v>
      </c>
      <c r="HJ226" s="19">
        <v>102.6</v>
      </c>
      <c r="HK226" s="19">
        <v>91.7</v>
      </c>
      <c r="HL226" s="19">
        <v>100.7</v>
      </c>
      <c r="HM226" s="19">
        <v>100</v>
      </c>
      <c r="HN226" s="19">
        <v>110.9</v>
      </c>
      <c r="HO226" s="19">
        <v>125.6</v>
      </c>
      <c r="HP226" s="19">
        <v>124.4</v>
      </c>
      <c r="HQ226" s="19">
        <v>123.6</v>
      </c>
      <c r="HR226" s="19">
        <v>142.8</v>
      </c>
      <c r="HS226" s="19">
        <v>141.7</v>
      </c>
      <c r="HT226" s="19">
        <v>140.7</v>
      </c>
      <c r="HU226" s="19">
        <v>167.6</v>
      </c>
      <c r="HV226" s="19">
        <v>208.3</v>
      </c>
      <c r="HW226" s="19">
        <v>275.3</v>
      </c>
      <c r="HX226" s="19">
        <v>411</v>
      </c>
      <c r="HY226" s="19">
        <v>409</v>
      </c>
      <c r="HZ226" s="19">
        <v>408</v>
      </c>
      <c r="IA226" s="19">
        <v>407</v>
      </c>
      <c r="IB226" s="19">
        <v>406.5</v>
      </c>
    </row>
    <row r="227">
      <c r="A227" s="2" t="s">
        <v>1615</v>
      </c>
      <c r="B227" s="2" t="s">
        <v>761</v>
      </c>
      <c r="C227" s="2" t="s">
        <v>280</v>
      </c>
      <c r="D227" s="2" t="s">
        <v>1531</v>
      </c>
      <c r="E227" s="2" t="s">
        <v>1532</v>
      </c>
      <c r="F227" s="2" t="s">
        <v>1616</v>
      </c>
      <c r="G227" s="2" t="s">
        <v>1617</v>
      </c>
      <c r="H227" s="2" t="s">
        <v>1618</v>
      </c>
      <c r="I227" s="2" t="s">
        <v>1619</v>
      </c>
      <c r="J227" s="2" t="s">
        <v>741</v>
      </c>
      <c r="K227" s="2" t="s">
        <v>870</v>
      </c>
      <c r="L227" s="3">
        <v>162.45</v>
      </c>
      <c r="M227" s="3">
        <v>170.57</v>
      </c>
      <c r="N227" s="3">
        <v>339</v>
      </c>
      <c r="O227" s="2" t="s">
        <v>230</v>
      </c>
      <c r="P227" s="2" t="s">
        <v>231</v>
      </c>
      <c r="Q227" s="2" t="s">
        <v>232</v>
      </c>
      <c r="R227" s="2" t="s">
        <v>233</v>
      </c>
      <c r="S227" s="2" t="s">
        <v>1620</v>
      </c>
      <c r="T227" s="2" t="s">
        <v>233</v>
      </c>
      <c r="U227" s="2" t="s">
        <v>233</v>
      </c>
      <c r="V227" s="2" t="s">
        <v>1431</v>
      </c>
      <c r="W227" s="2" t="s">
        <v>620</v>
      </c>
      <c r="X227" s="2" t="s">
        <v>233</v>
      </c>
      <c r="Y227" s="2" t="s">
        <v>238</v>
      </c>
      <c r="Z227" s="4">
        <v>218</v>
      </c>
      <c r="AA227" s="4">
        <f>=ROUNDDOWN(54.5,0)</f>
      </c>
      <c r="AB227" s="5">
        <v>4</v>
      </c>
      <c r="AC227" s="2" t="s">
        <v>233</v>
      </c>
      <c r="AD227" s="4"/>
      <c r="AE227" s="4"/>
      <c r="AF227" s="6">
        <v>74</v>
      </c>
      <c r="AG227" s="6"/>
      <c r="AH227" s="7">
        <v>1</v>
      </c>
      <c r="AI227" s="4"/>
      <c r="AJ227" s="4">
        <f>=ROUNDDOWN({0},0)</f>
      </c>
      <c r="AK227" s="5"/>
      <c r="AL227" s="2" t="s">
        <v>233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/>
      <c r="BD227" s="8"/>
      <c r="BE227" s="4"/>
      <c r="BF227" s="8"/>
      <c r="BG227" s="7"/>
      <c r="BH227" s="7"/>
      <c r="BI227" s="7"/>
      <c r="BJ227" s="4">
        <v>13</v>
      </c>
      <c r="BK227" s="8">
        <v>2084.38</v>
      </c>
      <c r="BL227" s="2" t="s">
        <v>1621</v>
      </c>
      <c r="BM227" s="7"/>
      <c r="BN227" s="7"/>
      <c r="BO227" s="4"/>
      <c r="BP227" s="8"/>
      <c r="BQ227" s="4"/>
      <c r="BR227" s="8"/>
      <c r="BS227" s="7"/>
      <c r="BT227" s="7"/>
      <c r="BU227" s="2" t="s">
        <v>1622</v>
      </c>
      <c r="BV227" s="2" t="s">
        <v>233</v>
      </c>
      <c r="BW227" s="2" t="s">
        <v>233</v>
      </c>
      <c r="BX227" s="2" t="s">
        <v>241</v>
      </c>
      <c r="BY227" s="2" t="s">
        <v>242</v>
      </c>
      <c r="BZ227" s="2" t="s">
        <v>230</v>
      </c>
      <c r="CA227" s="2" t="s">
        <v>243</v>
      </c>
      <c r="CB227" s="2" t="s">
        <v>1623</v>
      </c>
      <c r="CC227" s="2" t="s">
        <v>245</v>
      </c>
      <c r="CD227" s="2" t="s">
        <v>233</v>
      </c>
      <c r="CE227" s="4"/>
      <c r="CF227" s="4">
        <v>218</v>
      </c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>
        <v>220</v>
      </c>
      <c r="GD227" s="4">
        <v>208</v>
      </c>
      <c r="GE227" s="4">
        <v>202</v>
      </c>
      <c r="GF227" s="4">
        <v>197</v>
      </c>
      <c r="GG227" s="4">
        <v>189</v>
      </c>
      <c r="GH227" s="4">
        <v>164</v>
      </c>
      <c r="GI227" s="4">
        <v>160</v>
      </c>
      <c r="GJ227" s="4">
        <v>158</v>
      </c>
      <c r="GK227" s="4">
        <v>156</v>
      </c>
      <c r="GL227" s="4">
        <v>152</v>
      </c>
      <c r="GM227" s="4">
        <v>149</v>
      </c>
      <c r="GN227" s="4">
        <v>145</v>
      </c>
      <c r="GO227" s="4">
        <v>142</v>
      </c>
      <c r="GP227" s="4">
        <v>139</v>
      </c>
      <c r="GQ227" s="4">
        <v>135</v>
      </c>
      <c r="GR227" s="4">
        <v>131</v>
      </c>
      <c r="GS227" s="4">
        <v>127</v>
      </c>
      <c r="GT227" s="4">
        <v>122</v>
      </c>
      <c r="GU227" s="4">
        <v>119</v>
      </c>
      <c r="GV227" s="4">
        <v>115</v>
      </c>
      <c r="GW227" s="4">
        <v>111</v>
      </c>
      <c r="GX227" s="4">
        <v>107</v>
      </c>
      <c r="GY227" s="4">
        <v>103</v>
      </c>
      <c r="GZ227" s="4">
        <v>99</v>
      </c>
      <c r="HA227" s="4">
        <v>95</v>
      </c>
      <c r="HB227" s="4">
        <v>91</v>
      </c>
      <c r="HC227" s="19">
        <v>27.5</v>
      </c>
      <c r="HD227" s="19">
        <v>18.9</v>
      </c>
      <c r="HE227" s="19">
        <v>20.2</v>
      </c>
      <c r="HF227" s="19">
        <v>19.7</v>
      </c>
      <c r="HG227" s="19">
        <v>23.6</v>
      </c>
      <c r="HH227" s="19">
        <v>54.7</v>
      </c>
      <c r="HI227" s="19">
        <v>53.3</v>
      </c>
      <c r="HJ227" s="19">
        <v>52.7</v>
      </c>
      <c r="HK227" s="19">
        <v>39</v>
      </c>
      <c r="HL227" s="19">
        <v>50.7</v>
      </c>
      <c r="HM227" s="19">
        <v>37.3</v>
      </c>
      <c r="HN227" s="19">
        <v>36.3</v>
      </c>
      <c r="HO227" s="19">
        <v>35.5</v>
      </c>
      <c r="HP227" s="19">
        <v>34.8</v>
      </c>
      <c r="HQ227" s="19">
        <v>33.8</v>
      </c>
      <c r="HR227" s="19">
        <v>32.8</v>
      </c>
      <c r="HS227" s="19">
        <v>31.8</v>
      </c>
      <c r="HT227" s="19">
        <v>30.5</v>
      </c>
      <c r="HU227" s="19">
        <v>29.8</v>
      </c>
      <c r="HV227" s="19">
        <v>28.8</v>
      </c>
      <c r="HW227" s="19">
        <v>27.8</v>
      </c>
      <c r="HX227" s="19">
        <v>26.8</v>
      </c>
      <c r="HY227" s="19">
        <v>25.8</v>
      </c>
      <c r="HZ227" s="19">
        <v>24.8</v>
      </c>
      <c r="IA227" s="19">
        <v>23.8</v>
      </c>
      <c r="IB227" s="19">
        <v>22.8</v>
      </c>
    </row>
    <row r="228">
      <c r="A228" s="2" t="s">
        <v>1624</v>
      </c>
      <c r="B228" s="2" t="s">
        <v>825</v>
      </c>
      <c r="C228" s="2" t="s">
        <v>1625</v>
      </c>
      <c r="D228" s="2" t="s">
        <v>774</v>
      </c>
      <c r="E228" s="2" t="s">
        <v>827</v>
      </c>
      <c r="F228" s="2" t="s">
        <v>1626</v>
      </c>
      <c r="G228" s="2" t="s">
        <v>1627</v>
      </c>
      <c r="H228" s="2" t="s">
        <v>1628</v>
      </c>
      <c r="I228" s="2" t="s">
        <v>1629</v>
      </c>
      <c r="J228" s="2" t="s">
        <v>1052</v>
      </c>
      <c r="K228" s="2" t="s">
        <v>229</v>
      </c>
      <c r="L228" s="3">
        <v>46.53</v>
      </c>
      <c r="M228" s="3">
        <v>48.86</v>
      </c>
      <c r="N228" s="3">
        <v>89.99</v>
      </c>
      <c r="O228" s="2" t="s">
        <v>230</v>
      </c>
      <c r="P228" s="2" t="s">
        <v>231</v>
      </c>
      <c r="Q228" s="2" t="s">
        <v>232</v>
      </c>
      <c r="R228" s="2" t="s">
        <v>233</v>
      </c>
      <c r="S228" s="2" t="s">
        <v>1630</v>
      </c>
      <c r="T228" s="2" t="s">
        <v>348</v>
      </c>
      <c r="U228" s="2" t="s">
        <v>608</v>
      </c>
      <c r="V228" s="2" t="s">
        <v>236</v>
      </c>
      <c r="W228" s="2" t="s">
        <v>1631</v>
      </c>
      <c r="X228" s="2" t="s">
        <v>1632</v>
      </c>
      <c r="Y228" s="2" t="s">
        <v>1633</v>
      </c>
      <c r="Z228" s="4">
        <v>162</v>
      </c>
      <c r="AA228" s="4">
        <f>=ROUNDDOWN(54,0)</f>
      </c>
      <c r="AB228" s="5">
        <v>3</v>
      </c>
      <c r="AC228" s="2" t="s">
        <v>233</v>
      </c>
      <c r="AD228" s="4"/>
      <c r="AE228" s="4"/>
      <c r="AF228" s="6">
        <v>66</v>
      </c>
      <c r="AG228" s="6"/>
      <c r="AH228" s="7">
        <v>1</v>
      </c>
      <c r="AI228" s="4"/>
      <c r="AJ228" s="4">
        <f>=ROUNDDOWN({0},0)</f>
      </c>
      <c r="AK228" s="5"/>
      <c r="AL228" s="2" t="s">
        <v>233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233</v>
      </c>
      <c r="AW228" s="8" t="s">
        <v>233</v>
      </c>
      <c r="AX228" s="4" t="s">
        <v>233</v>
      </c>
      <c r="AY228" s="8" t="s">
        <v>233</v>
      </c>
      <c r="AZ228" s="7" t="s">
        <v>233</v>
      </c>
      <c r="BA228" s="7" t="s">
        <v>233</v>
      </c>
      <c r="BB228" s="7"/>
      <c r="BC228" s="4" t="s">
        <v>233</v>
      </c>
      <c r="BD228" s="8" t="s">
        <v>233</v>
      </c>
      <c r="BE228" s="4" t="s">
        <v>233</v>
      </c>
      <c r="BF228" s="8" t="s">
        <v>233</v>
      </c>
      <c r="BG228" s="7" t="s">
        <v>233</v>
      </c>
      <c r="BH228" s="7" t="s">
        <v>233</v>
      </c>
      <c r="BI228" s="7"/>
      <c r="BJ228" s="4">
        <v>2</v>
      </c>
      <c r="BK228" s="8">
        <v>87.96</v>
      </c>
      <c r="BL228" s="2" t="s">
        <v>1634</v>
      </c>
      <c r="BM228" s="7"/>
      <c r="BN228" s="7"/>
      <c r="BO228" s="4"/>
      <c r="BP228" s="8"/>
      <c r="BQ228" s="4"/>
      <c r="BR228" s="8"/>
      <c r="BS228" s="7"/>
      <c r="BT228" s="7"/>
      <c r="BU228" s="2" t="s">
        <v>1635</v>
      </c>
      <c r="BV228" s="2" t="s">
        <v>233</v>
      </c>
      <c r="BW228" s="2" t="s">
        <v>233</v>
      </c>
      <c r="BX228" s="2" t="s">
        <v>293</v>
      </c>
      <c r="BY228" s="2" t="s">
        <v>242</v>
      </c>
      <c r="BZ228" s="2" t="s">
        <v>230</v>
      </c>
      <c r="CA228" s="2" t="s">
        <v>1636</v>
      </c>
      <c r="CB228" s="2" t="s">
        <v>1637</v>
      </c>
      <c r="CC228" s="2" t="s">
        <v>245</v>
      </c>
      <c r="CD228" s="2" t="s">
        <v>233</v>
      </c>
      <c r="CE228" s="4">
        <v>162</v>
      </c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>
        <v>162</v>
      </c>
      <c r="GD228" s="4">
        <v>147</v>
      </c>
      <c r="GE228" s="4">
        <v>141</v>
      </c>
      <c r="GF228" s="4">
        <v>135</v>
      </c>
      <c r="GG228" s="4">
        <v>129</v>
      </c>
      <c r="GH228" s="4">
        <v>123</v>
      </c>
      <c r="GI228" s="4">
        <v>117</v>
      </c>
      <c r="GJ228" s="4">
        <v>111</v>
      </c>
      <c r="GK228" s="4">
        <v>105</v>
      </c>
      <c r="GL228" s="4">
        <v>102</v>
      </c>
      <c r="GM228" s="4">
        <v>99</v>
      </c>
      <c r="GN228" s="4">
        <v>96</v>
      </c>
      <c r="GO228" s="4">
        <v>93</v>
      </c>
      <c r="GP228" s="4">
        <v>90</v>
      </c>
      <c r="GQ228" s="4">
        <v>87</v>
      </c>
      <c r="GR228" s="4">
        <v>84</v>
      </c>
      <c r="GS228" s="4">
        <v>81</v>
      </c>
      <c r="GT228" s="4">
        <v>78</v>
      </c>
      <c r="GU228" s="4">
        <v>75</v>
      </c>
      <c r="GV228" s="4">
        <v>72</v>
      </c>
      <c r="GW228" s="4">
        <v>69</v>
      </c>
      <c r="GX228" s="4">
        <v>66</v>
      </c>
      <c r="GY228" s="4">
        <v>63</v>
      </c>
      <c r="GZ228" s="4">
        <v>60</v>
      </c>
      <c r="HA228" s="4">
        <v>57</v>
      </c>
      <c r="HB228" s="4">
        <v>54</v>
      </c>
      <c r="HC228" s="19">
        <v>20.3</v>
      </c>
      <c r="HD228" s="19">
        <v>24.5</v>
      </c>
      <c r="HE228" s="19">
        <v>23.5</v>
      </c>
      <c r="HF228" s="19">
        <v>22.5</v>
      </c>
      <c r="HG228" s="19">
        <v>21.5</v>
      </c>
      <c r="HH228" s="19">
        <v>24.6</v>
      </c>
      <c r="HI228" s="19">
        <v>29.3</v>
      </c>
      <c r="HJ228" s="19">
        <v>27.8</v>
      </c>
      <c r="HK228" s="19">
        <v>35</v>
      </c>
      <c r="HL228" s="19">
        <v>34</v>
      </c>
      <c r="HM228" s="19">
        <v>33</v>
      </c>
      <c r="HN228" s="19">
        <v>32</v>
      </c>
      <c r="HO228" s="19">
        <v>31</v>
      </c>
      <c r="HP228" s="19">
        <v>30</v>
      </c>
      <c r="HQ228" s="19">
        <v>29</v>
      </c>
      <c r="HR228" s="19">
        <v>28</v>
      </c>
      <c r="HS228" s="19">
        <v>27</v>
      </c>
      <c r="HT228" s="19">
        <v>26</v>
      </c>
      <c r="HU228" s="19">
        <v>25</v>
      </c>
      <c r="HV228" s="19">
        <v>24</v>
      </c>
      <c r="HW228" s="19">
        <v>23</v>
      </c>
      <c r="HX228" s="19">
        <v>22</v>
      </c>
      <c r="HY228" s="19">
        <v>21</v>
      </c>
      <c r="HZ228" s="19">
        <v>15</v>
      </c>
      <c r="IA228" s="19">
        <v>14.3</v>
      </c>
      <c r="IB228" s="19">
        <v>13.5</v>
      </c>
    </row>
    <row r="229">
      <c r="A229" s="2" t="s">
        <v>1638</v>
      </c>
      <c r="B229" s="2" t="s">
        <v>825</v>
      </c>
      <c r="C229" s="2" t="s">
        <v>1625</v>
      </c>
      <c r="D229" s="2" t="s">
        <v>261</v>
      </c>
      <c r="E229" s="2" t="s">
        <v>603</v>
      </c>
      <c r="F229" s="2" t="s">
        <v>1626</v>
      </c>
      <c r="G229" s="2" t="s">
        <v>1627</v>
      </c>
      <c r="H229" s="2" t="s">
        <v>1628</v>
      </c>
      <c r="I229" s="2" t="s">
        <v>1639</v>
      </c>
      <c r="J229" s="2" t="s">
        <v>275</v>
      </c>
      <c r="K229" s="2" t="s">
        <v>229</v>
      </c>
      <c r="L229" s="3">
        <v>75.6</v>
      </c>
      <c r="M229" s="3">
        <v>79.38</v>
      </c>
      <c r="N229" s="3">
        <v>159.99</v>
      </c>
      <c r="O229" s="2" t="s">
        <v>230</v>
      </c>
      <c r="P229" s="2" t="s">
        <v>231</v>
      </c>
      <c r="Q229" s="2" t="s">
        <v>232</v>
      </c>
      <c r="R229" s="2" t="s">
        <v>233</v>
      </c>
      <c r="S229" s="2" t="s">
        <v>1630</v>
      </c>
      <c r="T229" s="2" t="s">
        <v>348</v>
      </c>
      <c r="U229" s="2" t="s">
        <v>635</v>
      </c>
      <c r="V229" s="2" t="s">
        <v>236</v>
      </c>
      <c r="W229" s="2" t="s">
        <v>1631</v>
      </c>
      <c r="X229" s="2" t="s">
        <v>1632</v>
      </c>
      <c r="Y229" s="2" t="s">
        <v>1633</v>
      </c>
      <c r="Z229" s="4">
        <v>173</v>
      </c>
      <c r="AA229" s="4">
        <f>=ROUNDDOWN(43.25,0)</f>
      </c>
      <c r="AB229" s="5">
        <v>4</v>
      </c>
      <c r="AC229" s="2" t="s">
        <v>233</v>
      </c>
      <c r="AD229" s="4"/>
      <c r="AE229" s="4"/>
      <c r="AF229" s="6">
        <v>66</v>
      </c>
      <c r="AG229" s="6">
        <v>49</v>
      </c>
      <c r="AH229" s="7">
        <v>1</v>
      </c>
      <c r="AI229" s="4"/>
      <c r="AJ229" s="4">
        <f>=ROUNDDOWN({0},0)</f>
      </c>
      <c r="AK229" s="5"/>
      <c r="AL229" s="2" t="s">
        <v>233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233</v>
      </c>
      <c r="AW229" s="8" t="s">
        <v>233</v>
      </c>
      <c r="AX229" s="4" t="s">
        <v>233</v>
      </c>
      <c r="AY229" s="8" t="s">
        <v>233</v>
      </c>
      <c r="AZ229" s="7" t="s">
        <v>233</v>
      </c>
      <c r="BA229" s="7" t="s">
        <v>233</v>
      </c>
      <c r="BB229" s="7" t="s">
        <v>233</v>
      </c>
      <c r="BC229" s="4" t="s">
        <v>233</v>
      </c>
      <c r="BD229" s="8" t="s">
        <v>233</v>
      </c>
      <c r="BE229" s="4" t="s">
        <v>233</v>
      </c>
      <c r="BF229" s="8" t="s">
        <v>233</v>
      </c>
      <c r="BG229" s="7" t="s">
        <v>233</v>
      </c>
      <c r="BH229" s="7" t="s">
        <v>233</v>
      </c>
      <c r="BI229" s="7"/>
      <c r="BJ229" s="4">
        <v>5</v>
      </c>
      <c r="BK229" s="8">
        <v>454.62</v>
      </c>
      <c r="BL229" s="2" t="s">
        <v>1640</v>
      </c>
      <c r="BM229" s="7"/>
      <c r="BN229" s="7"/>
      <c r="BO229" s="4"/>
      <c r="BP229" s="8"/>
      <c r="BQ229" s="4"/>
      <c r="BR229" s="8"/>
      <c r="BS229" s="7"/>
      <c r="BT229" s="7"/>
      <c r="BU229" s="2" t="s">
        <v>1641</v>
      </c>
      <c r="BV229" s="2" t="s">
        <v>233</v>
      </c>
      <c r="BW229" s="2" t="s">
        <v>233</v>
      </c>
      <c r="BX229" s="2" t="s">
        <v>293</v>
      </c>
      <c r="BY229" s="2" t="s">
        <v>242</v>
      </c>
      <c r="BZ229" s="2" t="s">
        <v>230</v>
      </c>
      <c r="CA229" s="2" t="s">
        <v>1636</v>
      </c>
      <c r="CB229" s="2" t="s">
        <v>501</v>
      </c>
      <c r="CC229" s="2" t="s">
        <v>245</v>
      </c>
      <c r="CD229" s="2" t="s">
        <v>233</v>
      </c>
      <c r="CE229" s="4">
        <v>90</v>
      </c>
      <c r="CF229" s="4"/>
      <c r="CG229" s="4"/>
      <c r="CH229" s="4">
        <v>83</v>
      </c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>
        <v>178</v>
      </c>
      <c r="GD229" s="4">
        <v>164</v>
      </c>
      <c r="GE229" s="4">
        <v>157</v>
      </c>
      <c r="GF229" s="4">
        <v>151</v>
      </c>
      <c r="GG229" s="4">
        <v>145</v>
      </c>
      <c r="GH229" s="4">
        <v>139</v>
      </c>
      <c r="GI229" s="4">
        <v>133</v>
      </c>
      <c r="GJ229" s="4">
        <v>127</v>
      </c>
      <c r="GK229" s="4">
        <v>121</v>
      </c>
      <c r="GL229" s="4">
        <v>117</v>
      </c>
      <c r="GM229" s="4">
        <v>113</v>
      </c>
      <c r="GN229" s="4">
        <v>109</v>
      </c>
      <c r="GO229" s="4">
        <v>105</v>
      </c>
      <c r="GP229" s="4">
        <v>101</v>
      </c>
      <c r="GQ229" s="4">
        <v>97</v>
      </c>
      <c r="GR229" s="4">
        <v>93</v>
      </c>
      <c r="GS229" s="4">
        <v>89</v>
      </c>
      <c r="GT229" s="4">
        <v>85</v>
      </c>
      <c r="GU229" s="4">
        <v>81</v>
      </c>
      <c r="GV229" s="4">
        <v>77</v>
      </c>
      <c r="GW229" s="4">
        <v>73</v>
      </c>
      <c r="GX229" s="4">
        <v>69</v>
      </c>
      <c r="GY229" s="4">
        <v>65</v>
      </c>
      <c r="GZ229" s="4">
        <v>61</v>
      </c>
      <c r="HA229" s="4">
        <v>57</v>
      </c>
      <c r="HB229" s="4">
        <v>53</v>
      </c>
      <c r="HC229" s="19">
        <v>28.7</v>
      </c>
      <c r="HD229" s="19">
        <v>30.4</v>
      </c>
      <c r="HE229" s="19">
        <v>29.3</v>
      </c>
      <c r="HF229" s="19">
        <v>28.3</v>
      </c>
      <c r="HG229" s="19">
        <v>27.3</v>
      </c>
      <c r="HH229" s="19">
        <v>26.3</v>
      </c>
      <c r="HI229" s="19">
        <v>25.3</v>
      </c>
      <c r="HJ229" s="19">
        <v>43.5</v>
      </c>
      <c r="HK229" s="19">
        <v>41.9</v>
      </c>
      <c r="HL229" s="19">
        <v>40.9</v>
      </c>
      <c r="HM229" s="19">
        <v>39.9</v>
      </c>
      <c r="HN229" s="19">
        <v>38.9</v>
      </c>
      <c r="HO229" s="19">
        <v>37.9</v>
      </c>
      <c r="HP229" s="19">
        <v>36.9</v>
      </c>
      <c r="HQ229" s="19">
        <v>35.9</v>
      </c>
      <c r="HR229" s="19">
        <v>34.9</v>
      </c>
      <c r="HS229" s="19">
        <v>33.9</v>
      </c>
      <c r="HT229" s="19">
        <v>32.9</v>
      </c>
      <c r="HU229" s="19">
        <v>31.9</v>
      </c>
      <c r="HV229" s="19">
        <v>30.9</v>
      </c>
      <c r="HW229" s="19">
        <v>29.9</v>
      </c>
      <c r="HX229" s="19">
        <v>28.9</v>
      </c>
      <c r="HY229" s="19">
        <v>27.9</v>
      </c>
      <c r="HZ229" s="19">
        <v>26.9</v>
      </c>
      <c r="IA229" s="19">
        <v>14.3</v>
      </c>
      <c r="IB229" s="19">
        <v>13.3</v>
      </c>
    </row>
    <row r="230">
      <c r="A230" s="2" t="s">
        <v>1642</v>
      </c>
      <c r="B230" s="2" t="s">
        <v>825</v>
      </c>
      <c r="C230" s="2" t="s">
        <v>1625</v>
      </c>
      <c r="D230" s="2" t="s">
        <v>774</v>
      </c>
      <c r="E230" s="2" t="s">
        <v>827</v>
      </c>
      <c r="F230" s="2" t="s">
        <v>1626</v>
      </c>
      <c r="G230" s="2" t="s">
        <v>1627</v>
      </c>
      <c r="H230" s="2" t="s">
        <v>1628</v>
      </c>
      <c r="I230" s="2" t="s">
        <v>1629</v>
      </c>
      <c r="J230" s="2" t="s">
        <v>275</v>
      </c>
      <c r="K230" s="2" t="s">
        <v>229</v>
      </c>
      <c r="L230" s="3">
        <v>72</v>
      </c>
      <c r="M230" s="3">
        <v>75.6</v>
      </c>
      <c r="N230" s="3">
        <v>139.99</v>
      </c>
      <c r="O230" s="2" t="s">
        <v>230</v>
      </c>
      <c r="P230" s="2" t="s">
        <v>231</v>
      </c>
      <c r="Q230" s="2" t="s">
        <v>232</v>
      </c>
      <c r="R230" s="2" t="s">
        <v>233</v>
      </c>
      <c r="S230" s="2" t="s">
        <v>1630</v>
      </c>
      <c r="T230" s="2" t="s">
        <v>348</v>
      </c>
      <c r="U230" s="2" t="s">
        <v>635</v>
      </c>
      <c r="V230" s="2" t="s">
        <v>236</v>
      </c>
      <c r="W230" s="2" t="s">
        <v>1631</v>
      </c>
      <c r="X230" s="2" t="s">
        <v>1632</v>
      </c>
      <c r="Y230" s="2" t="s">
        <v>1633</v>
      </c>
      <c r="Z230" s="4">
        <v>107</v>
      </c>
      <c r="AA230" s="4">
        <f>=ROUNDDOWN(53.5,0)</f>
      </c>
      <c r="AB230" s="5">
        <v>2</v>
      </c>
      <c r="AC230" s="2" t="s">
        <v>233</v>
      </c>
      <c r="AD230" s="4"/>
      <c r="AE230" s="4"/>
      <c r="AF230" s="6">
        <v>66</v>
      </c>
      <c r="AG230" s="6"/>
      <c r="AH230" s="7">
        <v>1</v>
      </c>
      <c r="AI230" s="4"/>
      <c r="AJ230" s="4">
        <f>=ROUNDDOWN({0},0)</f>
      </c>
      <c r="AK230" s="5"/>
      <c r="AL230" s="2" t="s">
        <v>233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233</v>
      </c>
      <c r="AW230" s="8" t="s">
        <v>233</v>
      </c>
      <c r="AX230" s="4" t="s">
        <v>233</v>
      </c>
      <c r="AY230" s="8" t="s">
        <v>233</v>
      </c>
      <c r="AZ230" s="7" t="s">
        <v>233</v>
      </c>
      <c r="BA230" s="7" t="s">
        <v>233</v>
      </c>
      <c r="BB230" s="7" t="s">
        <v>233</v>
      </c>
      <c r="BC230" s="4" t="s">
        <v>233</v>
      </c>
      <c r="BD230" s="8" t="s">
        <v>233</v>
      </c>
      <c r="BE230" s="4" t="s">
        <v>233</v>
      </c>
      <c r="BF230" s="8" t="s">
        <v>233</v>
      </c>
      <c r="BG230" s="7" t="s">
        <v>233</v>
      </c>
      <c r="BH230" s="7" t="s">
        <v>233</v>
      </c>
      <c r="BI230" s="7"/>
      <c r="BJ230" s="4">
        <v>2</v>
      </c>
      <c r="BK230" s="8">
        <v>147.42</v>
      </c>
      <c r="BL230" s="2" t="s">
        <v>1634</v>
      </c>
      <c r="BM230" s="7"/>
      <c r="BN230" s="7"/>
      <c r="BO230" s="4"/>
      <c r="BP230" s="8"/>
      <c r="BQ230" s="4"/>
      <c r="BR230" s="8"/>
      <c r="BS230" s="7"/>
      <c r="BT230" s="7"/>
      <c r="BU230" s="2" t="s">
        <v>1635</v>
      </c>
      <c r="BV230" s="2" t="s">
        <v>233</v>
      </c>
      <c r="BW230" s="2" t="s">
        <v>233</v>
      </c>
      <c r="BX230" s="2" t="s">
        <v>293</v>
      </c>
      <c r="BY230" s="2" t="s">
        <v>242</v>
      </c>
      <c r="BZ230" s="2" t="s">
        <v>230</v>
      </c>
      <c r="CA230" s="2" t="s">
        <v>1636</v>
      </c>
      <c r="CB230" s="2" t="s">
        <v>1643</v>
      </c>
      <c r="CC230" s="2" t="s">
        <v>245</v>
      </c>
      <c r="CD230" s="2" t="s">
        <v>233</v>
      </c>
      <c r="CE230" s="4">
        <v>107</v>
      </c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>
        <v>107</v>
      </c>
      <c r="GD230" s="4">
        <v>91</v>
      </c>
      <c r="GE230" s="4">
        <v>88</v>
      </c>
      <c r="GF230" s="4">
        <v>85</v>
      </c>
      <c r="GG230" s="4">
        <v>82</v>
      </c>
      <c r="GH230" s="4">
        <v>79</v>
      </c>
      <c r="GI230" s="4">
        <v>76</v>
      </c>
      <c r="GJ230" s="4">
        <v>73</v>
      </c>
      <c r="GK230" s="4">
        <v>70</v>
      </c>
      <c r="GL230" s="4">
        <v>68</v>
      </c>
      <c r="GM230" s="4">
        <v>66</v>
      </c>
      <c r="GN230" s="4">
        <v>64</v>
      </c>
      <c r="GO230" s="4">
        <v>62</v>
      </c>
      <c r="GP230" s="4">
        <v>60</v>
      </c>
      <c r="GQ230" s="4">
        <v>58</v>
      </c>
      <c r="GR230" s="4">
        <v>56</v>
      </c>
      <c r="GS230" s="4">
        <v>54</v>
      </c>
      <c r="GT230" s="4">
        <v>52</v>
      </c>
      <c r="GU230" s="4">
        <v>50</v>
      </c>
      <c r="GV230" s="4">
        <v>48</v>
      </c>
      <c r="GW230" s="4">
        <v>46</v>
      </c>
      <c r="GX230" s="4">
        <v>44</v>
      </c>
      <c r="GY230" s="4">
        <v>42</v>
      </c>
      <c r="GZ230" s="4">
        <v>40</v>
      </c>
      <c r="HA230" s="4">
        <v>38</v>
      </c>
      <c r="HB230" s="4">
        <v>36</v>
      </c>
      <c r="HC230" s="19">
        <v>17.8</v>
      </c>
      <c r="HD230" s="19">
        <v>30.3</v>
      </c>
      <c r="HE230" s="19">
        <v>29.3</v>
      </c>
      <c r="HF230" s="19">
        <v>28.3</v>
      </c>
      <c r="HG230" s="19">
        <v>27.3</v>
      </c>
      <c r="HH230" s="19">
        <v>26.3</v>
      </c>
      <c r="HI230" s="19">
        <v>38</v>
      </c>
      <c r="HJ230" s="19">
        <v>36.5</v>
      </c>
      <c r="HK230" s="19">
        <v>35</v>
      </c>
      <c r="HL230" s="19">
        <v>34</v>
      </c>
      <c r="HM230" s="19">
        <v>33</v>
      </c>
      <c r="HN230" s="19">
        <v>32</v>
      </c>
      <c r="HO230" s="19">
        <v>31</v>
      </c>
      <c r="HP230" s="19">
        <v>30</v>
      </c>
      <c r="HQ230" s="19">
        <v>29</v>
      </c>
      <c r="HR230" s="19">
        <v>28</v>
      </c>
      <c r="HS230" s="19">
        <v>27</v>
      </c>
      <c r="HT230" s="19">
        <v>26</v>
      </c>
      <c r="HU230" s="19">
        <v>25</v>
      </c>
      <c r="HV230" s="19">
        <v>24</v>
      </c>
      <c r="HW230" s="19">
        <v>23</v>
      </c>
      <c r="HX230" s="19">
        <v>22</v>
      </c>
      <c r="HY230" s="19">
        <v>21</v>
      </c>
      <c r="HZ230" s="19">
        <v>20</v>
      </c>
      <c r="IA230" s="19">
        <v>19</v>
      </c>
      <c r="IB230" s="19">
        <v>18</v>
      </c>
    </row>
    <row r="231">
      <c r="A231" s="2" t="s">
        <v>1644</v>
      </c>
      <c r="B231" s="2" t="s">
        <v>825</v>
      </c>
      <c r="C231" s="2" t="s">
        <v>1625</v>
      </c>
      <c r="D231" s="2" t="s">
        <v>261</v>
      </c>
      <c r="E231" s="2" t="s">
        <v>603</v>
      </c>
      <c r="F231" s="2" t="s">
        <v>1626</v>
      </c>
      <c r="G231" s="2" t="s">
        <v>1627</v>
      </c>
      <c r="H231" s="2" t="s">
        <v>1628</v>
      </c>
      <c r="I231" s="2" t="s">
        <v>1639</v>
      </c>
      <c r="J231" s="2" t="s">
        <v>1052</v>
      </c>
      <c r="K231" s="2" t="s">
        <v>671</v>
      </c>
      <c r="L231" s="3">
        <v>52.88</v>
      </c>
      <c r="M231" s="3">
        <v>55.52</v>
      </c>
      <c r="N231" s="3">
        <v>109.99</v>
      </c>
      <c r="O231" s="2" t="s">
        <v>230</v>
      </c>
      <c r="P231" s="2" t="s">
        <v>231</v>
      </c>
      <c r="Q231" s="2" t="s">
        <v>232</v>
      </c>
      <c r="R231" s="2" t="s">
        <v>233</v>
      </c>
      <c r="S231" s="2" t="s">
        <v>1645</v>
      </c>
      <c r="T231" s="2" t="s">
        <v>348</v>
      </c>
      <c r="U231" s="2" t="s">
        <v>608</v>
      </c>
      <c r="V231" s="2" t="s">
        <v>236</v>
      </c>
      <c r="W231" s="2" t="s">
        <v>1631</v>
      </c>
      <c r="X231" s="2" t="s">
        <v>1632</v>
      </c>
      <c r="Y231" s="2" t="s">
        <v>1646</v>
      </c>
      <c r="Z231" s="4">
        <v>127</v>
      </c>
      <c r="AA231" s="4">
        <f>=ROUNDDOWN(42.3333333333333,0)</f>
      </c>
      <c r="AB231" s="5">
        <v>3</v>
      </c>
      <c r="AC231" s="2" t="s">
        <v>140</v>
      </c>
      <c r="AD231" s="4">
        <v>90</v>
      </c>
      <c r="AE231" s="4">
        <v>180</v>
      </c>
      <c r="AF231" s="6">
        <v>66</v>
      </c>
      <c r="AG231" s="6"/>
      <c r="AH231" s="7">
        <v>1</v>
      </c>
      <c r="AI231" s="4"/>
      <c r="AJ231" s="4">
        <f>=ROUNDDOWN({0},0)</f>
      </c>
      <c r="AK231" s="5"/>
      <c r="AL231" s="2" t="s">
        <v>233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233</v>
      </c>
      <c r="AW231" s="8" t="s">
        <v>233</v>
      </c>
      <c r="AX231" s="4" t="s">
        <v>233</v>
      </c>
      <c r="AY231" s="8" t="s">
        <v>233</v>
      </c>
      <c r="AZ231" s="7" t="s">
        <v>233</v>
      </c>
      <c r="BA231" s="7" t="s">
        <v>233</v>
      </c>
      <c r="BB231" s="7" t="s">
        <v>233</v>
      </c>
      <c r="BC231" s="4" t="s">
        <v>233</v>
      </c>
      <c r="BD231" s="8" t="s">
        <v>233</v>
      </c>
      <c r="BE231" s="4" t="s">
        <v>233</v>
      </c>
      <c r="BF231" s="8" t="s">
        <v>233</v>
      </c>
      <c r="BG231" s="7" t="s">
        <v>233</v>
      </c>
      <c r="BH231" s="7" t="s">
        <v>233</v>
      </c>
      <c r="BI231" s="7"/>
      <c r="BJ231" s="4">
        <v>1</v>
      </c>
      <c r="BK231" s="8">
        <v>64.71</v>
      </c>
      <c r="BL231" s="2" t="s">
        <v>331</v>
      </c>
      <c r="BM231" s="7"/>
      <c r="BN231" s="7"/>
      <c r="BO231" s="4"/>
      <c r="BP231" s="8"/>
      <c r="BQ231" s="4"/>
      <c r="BR231" s="8"/>
      <c r="BS231" s="7"/>
      <c r="BT231" s="7"/>
      <c r="BU231" s="2" t="s">
        <v>1641</v>
      </c>
      <c r="BV231" s="2" t="s">
        <v>233</v>
      </c>
      <c r="BW231" s="2" t="s">
        <v>233</v>
      </c>
      <c r="BX231" s="2" t="s">
        <v>293</v>
      </c>
      <c r="BY231" s="2" t="s">
        <v>242</v>
      </c>
      <c r="BZ231" s="2" t="s">
        <v>230</v>
      </c>
      <c r="CA231" s="2" t="s">
        <v>1647</v>
      </c>
      <c r="CB231" s="2" t="s">
        <v>1648</v>
      </c>
      <c r="CC231" s="2" t="s">
        <v>245</v>
      </c>
      <c r="CD231" s="2" t="s">
        <v>233</v>
      </c>
      <c r="CE231" s="4">
        <v>127</v>
      </c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>
        <v>90</v>
      </c>
      <c r="DC231" s="4"/>
      <c r="DD231" s="4"/>
      <c r="DE231" s="4"/>
      <c r="DF231" s="4"/>
      <c r="DG231" s="4">
        <v>90</v>
      </c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>
        <v>127</v>
      </c>
      <c r="GD231" s="4">
        <v>116</v>
      </c>
      <c r="GE231" s="4">
        <v>202</v>
      </c>
      <c r="GF231" s="4">
        <v>288</v>
      </c>
      <c r="GG231" s="4">
        <v>284</v>
      </c>
      <c r="GH231" s="4">
        <v>280</v>
      </c>
      <c r="GI231" s="4">
        <v>276</v>
      </c>
      <c r="GJ231" s="4">
        <v>272</v>
      </c>
      <c r="GK231" s="4">
        <v>268</v>
      </c>
      <c r="GL231" s="4">
        <v>265</v>
      </c>
      <c r="GM231" s="4">
        <v>262</v>
      </c>
      <c r="GN231" s="4">
        <v>259</v>
      </c>
      <c r="GO231" s="4">
        <v>256</v>
      </c>
      <c r="GP231" s="4">
        <v>253</v>
      </c>
      <c r="GQ231" s="4">
        <v>250</v>
      </c>
      <c r="GR231" s="4">
        <v>247</v>
      </c>
      <c r="GS231" s="4">
        <v>244</v>
      </c>
      <c r="GT231" s="4">
        <v>241</v>
      </c>
      <c r="GU231" s="4">
        <v>238</v>
      </c>
      <c r="GV231" s="4">
        <v>235</v>
      </c>
      <c r="GW231" s="4">
        <v>232</v>
      </c>
      <c r="GX231" s="4">
        <v>229</v>
      </c>
      <c r="GY231" s="4">
        <v>226</v>
      </c>
      <c r="GZ231" s="4">
        <v>223</v>
      </c>
      <c r="HA231" s="4">
        <v>220</v>
      </c>
      <c r="HB231" s="4">
        <v>217</v>
      </c>
      <c r="HC231" s="19">
        <v>21.2</v>
      </c>
      <c r="HD231" s="19">
        <v>29</v>
      </c>
      <c r="HE231" s="19">
        <v>50.5</v>
      </c>
      <c r="HF231" s="19">
        <v>72</v>
      </c>
      <c r="HG231" s="19">
        <v>71</v>
      </c>
      <c r="HH231" s="19">
        <v>70</v>
      </c>
      <c r="HI231" s="19">
        <v>69</v>
      </c>
      <c r="HJ231" s="19">
        <v>90.7</v>
      </c>
      <c r="HK231" s="19">
        <v>89.3</v>
      </c>
      <c r="HL231" s="19">
        <v>88.3</v>
      </c>
      <c r="HM231" s="19">
        <v>87.3</v>
      </c>
      <c r="HN231" s="19">
        <v>86.3</v>
      </c>
      <c r="HO231" s="19">
        <v>85.3</v>
      </c>
      <c r="HP231" s="19">
        <v>84.3</v>
      </c>
      <c r="HQ231" s="19">
        <v>83.3</v>
      </c>
      <c r="HR231" s="19">
        <v>82.3</v>
      </c>
      <c r="HS231" s="19">
        <v>81.3</v>
      </c>
      <c r="HT231" s="19">
        <v>80.3</v>
      </c>
      <c r="HU231" s="19">
        <v>79.3</v>
      </c>
      <c r="HV231" s="19">
        <v>78.3</v>
      </c>
      <c r="HW231" s="19">
        <v>77.3</v>
      </c>
      <c r="HX231" s="19">
        <v>76.3</v>
      </c>
      <c r="HY231" s="19">
        <v>75.3</v>
      </c>
      <c r="HZ231" s="19">
        <v>55.8</v>
      </c>
      <c r="IA231" s="19">
        <v>55</v>
      </c>
      <c r="IB231" s="19">
        <v>43.4</v>
      </c>
    </row>
    <row r="232">
      <c r="A232" s="2" t="s">
        <v>1649</v>
      </c>
      <c r="B232" s="2" t="s">
        <v>825</v>
      </c>
      <c r="C232" s="2" t="s">
        <v>1625</v>
      </c>
      <c r="D232" s="2" t="s">
        <v>774</v>
      </c>
      <c r="E232" s="2" t="s">
        <v>827</v>
      </c>
      <c r="F232" s="2" t="s">
        <v>1626</v>
      </c>
      <c r="G232" s="2" t="s">
        <v>1627</v>
      </c>
      <c r="H232" s="2" t="s">
        <v>1628</v>
      </c>
      <c r="I232" s="2" t="s">
        <v>1629</v>
      </c>
      <c r="J232" s="2" t="s">
        <v>1052</v>
      </c>
      <c r="K232" s="2" t="s">
        <v>671</v>
      </c>
      <c r="L232" s="3">
        <v>46.53</v>
      </c>
      <c r="M232" s="3">
        <v>48.86</v>
      </c>
      <c r="N232" s="3">
        <v>89.99</v>
      </c>
      <c r="O232" s="2" t="s">
        <v>230</v>
      </c>
      <c r="P232" s="2" t="s">
        <v>231</v>
      </c>
      <c r="Q232" s="2" t="s">
        <v>232</v>
      </c>
      <c r="R232" s="2" t="s">
        <v>233</v>
      </c>
      <c r="S232" s="2" t="s">
        <v>1645</v>
      </c>
      <c r="T232" s="2" t="s">
        <v>348</v>
      </c>
      <c r="U232" s="2" t="s">
        <v>608</v>
      </c>
      <c r="V232" s="2" t="s">
        <v>236</v>
      </c>
      <c r="W232" s="2" t="s">
        <v>1631</v>
      </c>
      <c r="X232" s="2" t="s">
        <v>1632</v>
      </c>
      <c r="Y232" s="2" t="s">
        <v>621</v>
      </c>
      <c r="Z232" s="4">
        <v>330</v>
      </c>
      <c r="AA232" s="4">
        <f>=ROUNDDOWN(165,0)</f>
      </c>
      <c r="AB232" s="5">
        <v>2</v>
      </c>
      <c r="AC232" s="2" t="s">
        <v>233</v>
      </c>
      <c r="AD232" s="4"/>
      <c r="AE232" s="4"/>
      <c r="AF232" s="6">
        <v>66</v>
      </c>
      <c r="AG232" s="6"/>
      <c r="AH232" s="7">
        <v>1</v>
      </c>
      <c r="AI232" s="4"/>
      <c r="AJ232" s="4">
        <f>=ROUNDDOWN({0},0)</f>
      </c>
      <c r="AK232" s="5"/>
      <c r="AL232" s="2" t="s">
        <v>233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233</v>
      </c>
      <c r="AW232" s="8" t="s">
        <v>233</v>
      </c>
      <c r="AX232" s="4" t="s">
        <v>233</v>
      </c>
      <c r="AY232" s="8" t="s">
        <v>233</v>
      </c>
      <c r="AZ232" s="7" t="s">
        <v>233</v>
      </c>
      <c r="BA232" s="7" t="s">
        <v>233</v>
      </c>
      <c r="BB232" s="7" t="s">
        <v>233</v>
      </c>
      <c r="BC232" s="4" t="s">
        <v>233</v>
      </c>
      <c r="BD232" s="8" t="s">
        <v>233</v>
      </c>
      <c r="BE232" s="4" t="s">
        <v>233</v>
      </c>
      <c r="BF232" s="8" t="s">
        <v>233</v>
      </c>
      <c r="BG232" s="7" t="s">
        <v>233</v>
      </c>
      <c r="BH232" s="7" t="s">
        <v>233</v>
      </c>
      <c r="BI232" s="7"/>
      <c r="BJ232" s="4">
        <v>1</v>
      </c>
      <c r="BK232" s="8">
        <v>50.6</v>
      </c>
      <c r="BL232" s="2" t="s">
        <v>835</v>
      </c>
      <c r="BM232" s="7"/>
      <c r="BN232" s="7"/>
      <c r="BO232" s="4"/>
      <c r="BP232" s="8"/>
      <c r="BQ232" s="4"/>
      <c r="BR232" s="8"/>
      <c r="BS232" s="7"/>
      <c r="BT232" s="7"/>
      <c r="BU232" s="2" t="s">
        <v>1635</v>
      </c>
      <c r="BV232" s="2" t="s">
        <v>233</v>
      </c>
      <c r="BW232" s="2" t="s">
        <v>233</v>
      </c>
      <c r="BX232" s="2" t="s">
        <v>293</v>
      </c>
      <c r="BY232" s="2" t="s">
        <v>242</v>
      </c>
      <c r="BZ232" s="2" t="s">
        <v>230</v>
      </c>
      <c r="CA232" s="2" t="s">
        <v>1650</v>
      </c>
      <c r="CB232" s="2" t="s">
        <v>659</v>
      </c>
      <c r="CC232" s="2" t="s">
        <v>245</v>
      </c>
      <c r="CD232" s="2" t="s">
        <v>233</v>
      </c>
      <c r="CE232" s="4">
        <v>330</v>
      </c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>
        <v>330</v>
      </c>
      <c r="GD232" s="4">
        <v>305</v>
      </c>
      <c r="GE232" s="4">
        <v>301</v>
      </c>
      <c r="GF232" s="4">
        <v>297</v>
      </c>
      <c r="GG232" s="4">
        <v>293</v>
      </c>
      <c r="GH232" s="4">
        <v>289</v>
      </c>
      <c r="GI232" s="4">
        <v>285</v>
      </c>
      <c r="GJ232" s="4">
        <v>281</v>
      </c>
      <c r="GK232" s="4">
        <v>277</v>
      </c>
      <c r="GL232" s="4">
        <v>275</v>
      </c>
      <c r="GM232" s="4">
        <v>273</v>
      </c>
      <c r="GN232" s="4">
        <v>271</v>
      </c>
      <c r="GO232" s="4">
        <v>269</v>
      </c>
      <c r="GP232" s="4">
        <v>267</v>
      </c>
      <c r="GQ232" s="4">
        <v>265</v>
      </c>
      <c r="GR232" s="4">
        <v>263</v>
      </c>
      <c r="GS232" s="4">
        <v>261</v>
      </c>
      <c r="GT232" s="4">
        <v>259</v>
      </c>
      <c r="GU232" s="4">
        <v>257</v>
      </c>
      <c r="GV232" s="4">
        <v>255</v>
      </c>
      <c r="GW232" s="4">
        <v>253</v>
      </c>
      <c r="GX232" s="4">
        <v>251</v>
      </c>
      <c r="GY232" s="4">
        <v>249</v>
      </c>
      <c r="GZ232" s="4">
        <v>247</v>
      </c>
      <c r="HA232" s="4">
        <v>245</v>
      </c>
      <c r="HB232" s="4">
        <v>243</v>
      </c>
      <c r="HC232" s="19">
        <v>36.7</v>
      </c>
      <c r="HD232" s="19">
        <v>76.3</v>
      </c>
      <c r="HE232" s="19">
        <v>75.3</v>
      </c>
      <c r="HF232" s="19">
        <v>74.3</v>
      </c>
      <c r="HG232" s="19">
        <v>73.3</v>
      </c>
      <c r="HH232" s="19">
        <v>72.3</v>
      </c>
      <c r="HI232" s="19">
        <v>95</v>
      </c>
      <c r="HJ232" s="19">
        <v>140.5</v>
      </c>
      <c r="HK232" s="19">
        <v>138.5</v>
      </c>
      <c r="HL232" s="19">
        <v>137.5</v>
      </c>
      <c r="HM232" s="19">
        <v>136.5</v>
      </c>
      <c r="HN232" s="19">
        <v>135.5</v>
      </c>
      <c r="HO232" s="19">
        <v>134.5</v>
      </c>
      <c r="HP232" s="19">
        <v>133.5</v>
      </c>
      <c r="HQ232" s="19">
        <v>132.5</v>
      </c>
      <c r="HR232" s="19">
        <v>131.5</v>
      </c>
      <c r="HS232" s="19">
        <v>130.5</v>
      </c>
      <c r="HT232" s="19">
        <v>129.5</v>
      </c>
      <c r="HU232" s="19">
        <v>128.5</v>
      </c>
      <c r="HV232" s="19">
        <v>127.5</v>
      </c>
      <c r="HW232" s="19">
        <v>126.5</v>
      </c>
      <c r="HX232" s="19">
        <v>125.5</v>
      </c>
      <c r="HY232" s="19">
        <v>124.5</v>
      </c>
      <c r="HZ232" s="19">
        <v>123.5</v>
      </c>
      <c r="IA232" s="19">
        <v>81.7</v>
      </c>
      <c r="IB232" s="19">
        <v>60.8</v>
      </c>
    </row>
    <row r="233">
      <c r="A233" s="2" t="s">
        <v>1651</v>
      </c>
      <c r="B233" s="2" t="s">
        <v>825</v>
      </c>
      <c r="C233" s="2" t="s">
        <v>1625</v>
      </c>
      <c r="D233" s="2" t="s">
        <v>774</v>
      </c>
      <c r="E233" s="2" t="s">
        <v>827</v>
      </c>
      <c r="F233" s="2" t="s">
        <v>1626</v>
      </c>
      <c r="G233" s="2" t="s">
        <v>1627</v>
      </c>
      <c r="H233" s="2" t="s">
        <v>1628</v>
      </c>
      <c r="I233" s="2" t="s">
        <v>1629</v>
      </c>
      <c r="J233" s="2" t="s">
        <v>275</v>
      </c>
      <c r="K233" s="2" t="s">
        <v>671</v>
      </c>
      <c r="L233" s="3">
        <v>72</v>
      </c>
      <c r="M233" s="3">
        <v>75.6</v>
      </c>
      <c r="N233" s="3">
        <v>139.99</v>
      </c>
      <c r="O233" s="2" t="s">
        <v>230</v>
      </c>
      <c r="P233" s="2" t="s">
        <v>231</v>
      </c>
      <c r="Q233" s="2" t="s">
        <v>232</v>
      </c>
      <c r="R233" s="2" t="s">
        <v>233</v>
      </c>
      <c r="S233" s="2" t="s">
        <v>1645</v>
      </c>
      <c r="T233" s="2" t="s">
        <v>348</v>
      </c>
      <c r="U233" s="2" t="s">
        <v>635</v>
      </c>
      <c r="V233" s="2" t="s">
        <v>236</v>
      </c>
      <c r="W233" s="2" t="s">
        <v>1631</v>
      </c>
      <c r="X233" s="2" t="s">
        <v>1632</v>
      </c>
      <c r="Y233" s="2" t="s">
        <v>621</v>
      </c>
      <c r="Z233" s="4">
        <v>126</v>
      </c>
      <c r="AA233" s="4">
        <f>=ROUNDDOWN(126,0)</f>
      </c>
      <c r="AB233" s="5"/>
      <c r="AC233" s="2" t="s">
        <v>233</v>
      </c>
      <c r="AD233" s="4"/>
      <c r="AE233" s="4"/>
      <c r="AF233" s="6">
        <v>66</v>
      </c>
      <c r="AG233" s="6"/>
      <c r="AH233" s="7">
        <v>1</v>
      </c>
      <c r="AI233" s="4"/>
      <c r="AJ233" s="4">
        <f>=ROUNDDOWN({0},0)</f>
      </c>
      <c r="AK233" s="5"/>
      <c r="AL233" s="2" t="s">
        <v>233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233</v>
      </c>
      <c r="AW233" s="8" t="s">
        <v>233</v>
      </c>
      <c r="AX233" s="4" t="s">
        <v>233</v>
      </c>
      <c r="AY233" s="8" t="s">
        <v>233</v>
      </c>
      <c r="AZ233" s="7" t="s">
        <v>233</v>
      </c>
      <c r="BA233" s="7" t="s">
        <v>233</v>
      </c>
      <c r="BB233" s="7"/>
      <c r="BC233" s="4" t="s">
        <v>233</v>
      </c>
      <c r="BD233" s="8" t="s">
        <v>233</v>
      </c>
      <c r="BE233" s="4" t="s">
        <v>233</v>
      </c>
      <c r="BF233" s="8" t="s">
        <v>233</v>
      </c>
      <c r="BG233" s="7" t="s">
        <v>233</v>
      </c>
      <c r="BH233" s="7" t="s">
        <v>233</v>
      </c>
      <c r="BI233" s="7"/>
      <c r="BJ233" s="4">
        <v>4</v>
      </c>
      <c r="BK233" s="8">
        <v>317.19</v>
      </c>
      <c r="BL233" s="2" t="s">
        <v>1652</v>
      </c>
      <c r="BM233" s="7"/>
      <c r="BN233" s="7"/>
      <c r="BO233" s="4"/>
      <c r="BP233" s="8"/>
      <c r="BQ233" s="4"/>
      <c r="BR233" s="8"/>
      <c r="BS233" s="7"/>
      <c r="BT233" s="7"/>
      <c r="BU233" s="2" t="s">
        <v>1635</v>
      </c>
      <c r="BV233" s="2" t="s">
        <v>233</v>
      </c>
      <c r="BW233" s="2" t="s">
        <v>233</v>
      </c>
      <c r="BX233" s="2" t="s">
        <v>293</v>
      </c>
      <c r="BY233" s="2" t="s">
        <v>242</v>
      </c>
      <c r="BZ233" s="2" t="s">
        <v>230</v>
      </c>
      <c r="CA233" s="2" t="s">
        <v>1650</v>
      </c>
      <c r="CB233" s="2" t="s">
        <v>966</v>
      </c>
      <c r="CC233" s="2" t="s">
        <v>245</v>
      </c>
      <c r="CD233" s="2" t="s">
        <v>233</v>
      </c>
      <c r="CE233" s="4">
        <v>126</v>
      </c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>
        <v>126</v>
      </c>
      <c r="GD233" s="4">
        <v>124</v>
      </c>
      <c r="GE233" s="4">
        <v>122</v>
      </c>
      <c r="GF233" s="4">
        <v>120</v>
      </c>
      <c r="GG233" s="4">
        <v>118</v>
      </c>
      <c r="GH233" s="4">
        <v>116</v>
      </c>
      <c r="GI233" s="4">
        <v>114</v>
      </c>
      <c r="GJ233" s="4">
        <v>110</v>
      </c>
      <c r="GK233" s="4">
        <v>108</v>
      </c>
      <c r="GL233" s="4">
        <v>107</v>
      </c>
      <c r="GM233" s="4">
        <v>106</v>
      </c>
      <c r="GN233" s="4">
        <v>105</v>
      </c>
      <c r="GO233" s="4">
        <v>104</v>
      </c>
      <c r="GP233" s="4">
        <v>103</v>
      </c>
      <c r="GQ233" s="4">
        <v>102</v>
      </c>
      <c r="GR233" s="4">
        <v>101</v>
      </c>
      <c r="GS233" s="4">
        <v>100</v>
      </c>
      <c r="GT233" s="4">
        <v>99</v>
      </c>
      <c r="GU233" s="4">
        <v>98</v>
      </c>
      <c r="GV233" s="4">
        <v>97</v>
      </c>
      <c r="GW233" s="4">
        <v>96</v>
      </c>
      <c r="GX233" s="4">
        <v>95</v>
      </c>
      <c r="GY233" s="4">
        <v>94</v>
      </c>
      <c r="GZ233" s="4">
        <v>93</v>
      </c>
      <c r="HA233" s="4">
        <v>92</v>
      </c>
      <c r="HB233" s="4">
        <v>91</v>
      </c>
      <c r="HC233" s="19">
        <v>63</v>
      </c>
      <c r="HD233" s="19">
        <v>62</v>
      </c>
      <c r="HE233" s="19">
        <v>61</v>
      </c>
      <c r="HF233" s="19">
        <v>60</v>
      </c>
      <c r="HG233" s="19">
        <v>59</v>
      </c>
      <c r="HH233" s="19">
        <v>58</v>
      </c>
      <c r="HI233" s="19">
        <v>57</v>
      </c>
      <c r="HJ233" s="19">
        <v>110</v>
      </c>
      <c r="HK233" s="19">
        <v>108</v>
      </c>
      <c r="HL233" s="19">
        <v>107</v>
      </c>
      <c r="HM233" s="19">
        <v>106</v>
      </c>
      <c r="HN233" s="19">
        <v>105</v>
      </c>
      <c r="HO233" s="19">
        <v>104</v>
      </c>
      <c r="HP233" s="19">
        <v>103</v>
      </c>
      <c r="HQ233" s="19">
        <v>102</v>
      </c>
      <c r="HR233" s="19">
        <v>101</v>
      </c>
      <c r="HS233" s="19">
        <v>100</v>
      </c>
      <c r="HT233" s="19">
        <v>99</v>
      </c>
      <c r="HU233" s="19">
        <v>98</v>
      </c>
      <c r="HV233" s="19">
        <v>97</v>
      </c>
      <c r="HW233" s="19">
        <v>96</v>
      </c>
      <c r="HX233" s="19">
        <v>95</v>
      </c>
      <c r="HY233" s="19">
        <v>94</v>
      </c>
      <c r="HZ233" s="19">
        <v>93</v>
      </c>
      <c r="IA233" s="19">
        <v>92</v>
      </c>
      <c r="IB233" s="19">
        <v>91</v>
      </c>
    </row>
    <row r="234">
      <c r="A234" s="2" t="s">
        <v>1653</v>
      </c>
      <c r="B234" s="2" t="s">
        <v>825</v>
      </c>
      <c r="C234" s="2" t="s">
        <v>1625</v>
      </c>
      <c r="D234" s="2" t="s">
        <v>774</v>
      </c>
      <c r="E234" s="2" t="s">
        <v>827</v>
      </c>
      <c r="F234" s="2" t="s">
        <v>1626</v>
      </c>
      <c r="G234" s="2" t="s">
        <v>1627</v>
      </c>
      <c r="H234" s="2" t="s">
        <v>1628</v>
      </c>
      <c r="I234" s="2" t="s">
        <v>1629</v>
      </c>
      <c r="J234" s="2" t="s">
        <v>1052</v>
      </c>
      <c r="K234" s="2" t="s">
        <v>300</v>
      </c>
      <c r="L234" s="3">
        <v>46.53</v>
      </c>
      <c r="M234" s="3">
        <v>48.86</v>
      </c>
      <c r="N234" s="3">
        <v>89.99</v>
      </c>
      <c r="O234" s="2" t="s">
        <v>230</v>
      </c>
      <c r="P234" s="2" t="s">
        <v>231</v>
      </c>
      <c r="Q234" s="2" t="s">
        <v>232</v>
      </c>
      <c r="R234" s="2" t="s">
        <v>233</v>
      </c>
      <c r="S234" s="2" t="s">
        <v>1654</v>
      </c>
      <c r="T234" s="2" t="s">
        <v>348</v>
      </c>
      <c r="U234" s="2" t="s">
        <v>608</v>
      </c>
      <c r="V234" s="2" t="s">
        <v>236</v>
      </c>
      <c r="W234" s="2" t="s">
        <v>1631</v>
      </c>
      <c r="X234" s="2" t="s">
        <v>1632</v>
      </c>
      <c r="Y234" s="2" t="s">
        <v>1633</v>
      </c>
      <c r="Z234" s="4">
        <v>343</v>
      </c>
      <c r="AA234" s="4">
        <f>=ROUNDDOWN(171.5,0)</f>
      </c>
      <c r="AB234" s="5">
        <v>2</v>
      </c>
      <c r="AC234" s="2" t="s">
        <v>233</v>
      </c>
      <c r="AD234" s="4"/>
      <c r="AE234" s="4"/>
      <c r="AF234" s="6">
        <v>66</v>
      </c>
      <c r="AG234" s="6">
        <v>49</v>
      </c>
      <c r="AH234" s="7">
        <v>1</v>
      </c>
      <c r="AI234" s="4"/>
      <c r="AJ234" s="4">
        <f>=ROUNDDOWN({0},0)</f>
      </c>
      <c r="AK234" s="5"/>
      <c r="AL234" s="2" t="s">
        <v>233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233</v>
      </c>
      <c r="AW234" s="8" t="s">
        <v>233</v>
      </c>
      <c r="AX234" s="4" t="s">
        <v>233</v>
      </c>
      <c r="AY234" s="8" t="s">
        <v>233</v>
      </c>
      <c r="AZ234" s="7" t="s">
        <v>233</v>
      </c>
      <c r="BA234" s="7" t="s">
        <v>233</v>
      </c>
      <c r="BB234" s="7"/>
      <c r="BC234" s="4" t="s">
        <v>233</v>
      </c>
      <c r="BD234" s="8" t="s">
        <v>233</v>
      </c>
      <c r="BE234" s="4" t="s">
        <v>233</v>
      </c>
      <c r="BF234" s="8" t="s">
        <v>233</v>
      </c>
      <c r="BG234" s="7" t="s">
        <v>233</v>
      </c>
      <c r="BH234" s="7" t="s">
        <v>233</v>
      </c>
      <c r="BI234" s="7"/>
      <c r="BJ234" s="4">
        <v>3</v>
      </c>
      <c r="BK234" s="8">
        <v>145.18</v>
      </c>
      <c r="BL234" s="2" t="s">
        <v>1655</v>
      </c>
      <c r="BM234" s="7"/>
      <c r="BN234" s="7"/>
      <c r="BO234" s="4"/>
      <c r="BP234" s="8"/>
      <c r="BQ234" s="4"/>
      <c r="BR234" s="8"/>
      <c r="BS234" s="7"/>
      <c r="BT234" s="7"/>
      <c r="BU234" s="2" t="s">
        <v>1635</v>
      </c>
      <c r="BV234" s="2" t="s">
        <v>233</v>
      </c>
      <c r="BW234" s="2" t="s">
        <v>233</v>
      </c>
      <c r="BX234" s="2" t="s">
        <v>293</v>
      </c>
      <c r="BY234" s="2" t="s">
        <v>242</v>
      </c>
      <c r="BZ234" s="2" t="s">
        <v>230</v>
      </c>
      <c r="CA234" s="2" t="s">
        <v>1636</v>
      </c>
      <c r="CB234" s="2" t="s">
        <v>1656</v>
      </c>
      <c r="CC234" s="2" t="s">
        <v>245</v>
      </c>
      <c r="CD234" s="2" t="s">
        <v>233</v>
      </c>
      <c r="CE234" s="4">
        <v>92</v>
      </c>
      <c r="CF234" s="4">
        <v>188</v>
      </c>
      <c r="CG234" s="4"/>
      <c r="CH234" s="4">
        <v>63</v>
      </c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>
        <v>344</v>
      </c>
      <c r="GD234" s="4">
        <v>337</v>
      </c>
      <c r="GE234" s="4">
        <v>331</v>
      </c>
      <c r="GF234" s="4">
        <v>325</v>
      </c>
      <c r="GG234" s="4">
        <v>319</v>
      </c>
      <c r="GH234" s="4">
        <v>313</v>
      </c>
      <c r="GI234" s="4">
        <v>307</v>
      </c>
      <c r="GJ234" s="4">
        <v>301</v>
      </c>
      <c r="GK234" s="4">
        <v>295</v>
      </c>
      <c r="GL234" s="4">
        <v>293</v>
      </c>
      <c r="GM234" s="4">
        <v>291</v>
      </c>
      <c r="GN234" s="4">
        <v>289</v>
      </c>
      <c r="GO234" s="4">
        <v>287</v>
      </c>
      <c r="GP234" s="4">
        <v>285</v>
      </c>
      <c r="GQ234" s="4">
        <v>283</v>
      </c>
      <c r="GR234" s="4">
        <v>281</v>
      </c>
      <c r="GS234" s="4">
        <v>279</v>
      </c>
      <c r="GT234" s="4">
        <v>277</v>
      </c>
      <c r="GU234" s="4">
        <v>275</v>
      </c>
      <c r="GV234" s="4">
        <v>273</v>
      </c>
      <c r="GW234" s="4">
        <v>271</v>
      </c>
      <c r="GX234" s="4">
        <v>269</v>
      </c>
      <c r="GY234" s="4">
        <v>267</v>
      </c>
      <c r="GZ234" s="4">
        <v>265</v>
      </c>
      <c r="HA234" s="4">
        <v>263</v>
      </c>
      <c r="HB234" s="4">
        <v>261</v>
      </c>
      <c r="HC234" s="19">
        <v>57.4</v>
      </c>
      <c r="HD234" s="19">
        <v>56.2</v>
      </c>
      <c r="HE234" s="19">
        <v>55.2</v>
      </c>
      <c r="HF234" s="19">
        <v>54.2</v>
      </c>
      <c r="HG234" s="19">
        <v>53.2</v>
      </c>
      <c r="HH234" s="19">
        <v>78.3</v>
      </c>
      <c r="HI234" s="19">
        <v>76.8</v>
      </c>
      <c r="HJ234" s="19">
        <v>75.3</v>
      </c>
      <c r="HK234" s="19">
        <v>147.5</v>
      </c>
      <c r="HL234" s="19">
        <v>146.5</v>
      </c>
      <c r="HM234" s="19">
        <v>145.5</v>
      </c>
      <c r="HN234" s="19">
        <v>144.5</v>
      </c>
      <c r="HO234" s="19">
        <v>143.5</v>
      </c>
      <c r="HP234" s="19">
        <v>142.5</v>
      </c>
      <c r="HQ234" s="19">
        <v>141.5</v>
      </c>
      <c r="HR234" s="19">
        <v>140.5</v>
      </c>
      <c r="HS234" s="19">
        <v>139.5</v>
      </c>
      <c r="HT234" s="19">
        <v>138.5</v>
      </c>
      <c r="HU234" s="19">
        <v>137.5</v>
      </c>
      <c r="HV234" s="19">
        <v>136.5</v>
      </c>
      <c r="HW234" s="19">
        <v>135.5</v>
      </c>
      <c r="HX234" s="19">
        <v>134.5</v>
      </c>
      <c r="HY234" s="19">
        <v>133.5</v>
      </c>
      <c r="HZ234" s="19">
        <v>132.5</v>
      </c>
      <c r="IA234" s="19">
        <v>131.5</v>
      </c>
      <c r="IB234" s="19">
        <v>130.5</v>
      </c>
    </row>
    <row r="235">
      <c r="A235" s="2" t="s">
        <v>1657</v>
      </c>
      <c r="B235" s="2" t="s">
        <v>825</v>
      </c>
      <c r="C235" s="2" t="s">
        <v>1625</v>
      </c>
      <c r="D235" s="2" t="s">
        <v>774</v>
      </c>
      <c r="E235" s="2" t="s">
        <v>827</v>
      </c>
      <c r="F235" s="2" t="s">
        <v>1626</v>
      </c>
      <c r="G235" s="2" t="s">
        <v>1627</v>
      </c>
      <c r="H235" s="2" t="s">
        <v>1628</v>
      </c>
      <c r="I235" s="2" t="s">
        <v>1629</v>
      </c>
      <c r="J235" s="2" t="s">
        <v>265</v>
      </c>
      <c r="K235" s="2" t="s">
        <v>300</v>
      </c>
      <c r="L235" s="3">
        <v>63</v>
      </c>
      <c r="M235" s="3">
        <v>66.15</v>
      </c>
      <c r="N235" s="3">
        <v>119.99</v>
      </c>
      <c r="O235" s="2" t="s">
        <v>230</v>
      </c>
      <c r="P235" s="2" t="s">
        <v>231</v>
      </c>
      <c r="Q235" s="2" t="s">
        <v>232</v>
      </c>
      <c r="R235" s="2" t="s">
        <v>233</v>
      </c>
      <c r="S235" s="2" t="s">
        <v>1654</v>
      </c>
      <c r="T235" s="2" t="s">
        <v>348</v>
      </c>
      <c r="U235" s="2" t="s">
        <v>635</v>
      </c>
      <c r="V235" s="2" t="s">
        <v>236</v>
      </c>
      <c r="W235" s="2" t="s">
        <v>1631</v>
      </c>
      <c r="X235" s="2" t="s">
        <v>1632</v>
      </c>
      <c r="Y235" s="2" t="s">
        <v>1633</v>
      </c>
      <c r="Z235" s="4">
        <v>190</v>
      </c>
      <c r="AA235" s="4">
        <f>=ROUNDDOWN(63.3333333333333,0)</f>
      </c>
      <c r="AB235" s="5">
        <v>3</v>
      </c>
      <c r="AC235" s="2" t="s">
        <v>5</v>
      </c>
      <c r="AD235" s="4">
        <v>80</v>
      </c>
      <c r="AE235" s="4">
        <v>80</v>
      </c>
      <c r="AF235" s="6">
        <v>66</v>
      </c>
      <c r="AG235" s="6">
        <v>49</v>
      </c>
      <c r="AH235" s="7">
        <v>1</v>
      </c>
      <c r="AI235" s="4"/>
      <c r="AJ235" s="4">
        <f>=ROUNDDOWN({0},0)</f>
      </c>
      <c r="AK235" s="5"/>
      <c r="AL235" s="2" t="s">
        <v>233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233</v>
      </c>
      <c r="AW235" s="8" t="s">
        <v>233</v>
      </c>
      <c r="AX235" s="4" t="s">
        <v>233</v>
      </c>
      <c r="AY235" s="8" t="s">
        <v>233</v>
      </c>
      <c r="AZ235" s="7" t="s">
        <v>233</v>
      </c>
      <c r="BA235" s="7" t="s">
        <v>233</v>
      </c>
      <c r="BB235" s="7"/>
      <c r="BC235" s="4" t="s">
        <v>233</v>
      </c>
      <c r="BD235" s="8" t="s">
        <v>233</v>
      </c>
      <c r="BE235" s="4" t="s">
        <v>233</v>
      </c>
      <c r="BF235" s="8" t="s">
        <v>233</v>
      </c>
      <c r="BG235" s="7" t="s">
        <v>233</v>
      </c>
      <c r="BH235" s="7" t="s">
        <v>233</v>
      </c>
      <c r="BI235" s="7"/>
      <c r="BJ235" s="4">
        <v>6</v>
      </c>
      <c r="BK235" s="8">
        <v>392.04</v>
      </c>
      <c r="BL235" s="2" t="s">
        <v>1658</v>
      </c>
      <c r="BM235" s="7"/>
      <c r="BN235" s="7"/>
      <c r="BO235" s="4"/>
      <c r="BP235" s="8"/>
      <c r="BQ235" s="4"/>
      <c r="BR235" s="8"/>
      <c r="BS235" s="7"/>
      <c r="BT235" s="7"/>
      <c r="BU235" s="2" t="s">
        <v>1635</v>
      </c>
      <c r="BV235" s="2" t="s">
        <v>233</v>
      </c>
      <c r="BW235" s="2" t="s">
        <v>233</v>
      </c>
      <c r="BX235" s="2" t="s">
        <v>293</v>
      </c>
      <c r="BY235" s="2" t="s">
        <v>242</v>
      </c>
      <c r="BZ235" s="2" t="s">
        <v>230</v>
      </c>
      <c r="CA235" s="2" t="s">
        <v>1636</v>
      </c>
      <c r="CB235" s="2" t="s">
        <v>501</v>
      </c>
      <c r="CC235" s="2" t="s">
        <v>245</v>
      </c>
      <c r="CD235" s="2" t="s">
        <v>233</v>
      </c>
      <c r="CE235" s="4">
        <v>117</v>
      </c>
      <c r="CF235" s="4">
        <v>57</v>
      </c>
      <c r="CG235" s="4"/>
      <c r="CH235" s="4">
        <v>16</v>
      </c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>
        <v>80</v>
      </c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>
        <v>192</v>
      </c>
      <c r="GD235" s="4">
        <v>265</v>
      </c>
      <c r="GE235" s="4">
        <v>259</v>
      </c>
      <c r="GF235" s="4">
        <v>253</v>
      </c>
      <c r="GG235" s="4">
        <v>247</v>
      </c>
      <c r="GH235" s="4">
        <v>241</v>
      </c>
      <c r="GI235" s="4">
        <v>235</v>
      </c>
      <c r="GJ235" s="4">
        <v>229</v>
      </c>
      <c r="GK235" s="4">
        <v>223</v>
      </c>
      <c r="GL235" s="4">
        <v>220</v>
      </c>
      <c r="GM235" s="4">
        <v>217</v>
      </c>
      <c r="GN235" s="4">
        <v>214</v>
      </c>
      <c r="GO235" s="4">
        <v>211</v>
      </c>
      <c r="GP235" s="4">
        <v>208</v>
      </c>
      <c r="GQ235" s="4">
        <v>205</v>
      </c>
      <c r="GR235" s="4">
        <v>202</v>
      </c>
      <c r="GS235" s="4">
        <v>199</v>
      </c>
      <c r="GT235" s="4">
        <v>196</v>
      </c>
      <c r="GU235" s="4">
        <v>193</v>
      </c>
      <c r="GV235" s="4">
        <v>190</v>
      </c>
      <c r="GW235" s="4">
        <v>187</v>
      </c>
      <c r="GX235" s="4">
        <v>184</v>
      </c>
      <c r="GY235" s="4">
        <v>181</v>
      </c>
      <c r="GZ235" s="4">
        <v>178</v>
      </c>
      <c r="HA235" s="4">
        <v>175</v>
      </c>
      <c r="HB235" s="4">
        <v>172</v>
      </c>
      <c r="HC235" s="19">
        <v>26.2</v>
      </c>
      <c r="HD235" s="19">
        <v>35</v>
      </c>
      <c r="HE235" s="19">
        <v>34</v>
      </c>
      <c r="HF235" s="19">
        <v>33</v>
      </c>
      <c r="HG235" s="19">
        <v>32</v>
      </c>
      <c r="HH235" s="19">
        <v>31</v>
      </c>
      <c r="HI235" s="19">
        <v>40.9</v>
      </c>
      <c r="HJ235" s="19">
        <v>39.2</v>
      </c>
      <c r="HK235" s="19">
        <v>37</v>
      </c>
      <c r="HL235" s="19">
        <v>36.7</v>
      </c>
      <c r="HM235" s="19">
        <v>36.2</v>
      </c>
      <c r="HN235" s="19">
        <v>35.7</v>
      </c>
      <c r="HO235" s="19">
        <v>35.2</v>
      </c>
      <c r="HP235" s="19">
        <v>34.7</v>
      </c>
      <c r="HQ235" s="19">
        <v>34.2</v>
      </c>
      <c r="HR235" s="19">
        <v>33.7</v>
      </c>
      <c r="HS235" s="19">
        <v>33.2</v>
      </c>
      <c r="HT235" s="19">
        <v>32.7</v>
      </c>
      <c r="HU235" s="19">
        <v>32.2</v>
      </c>
      <c r="HV235" s="19">
        <v>31.7</v>
      </c>
      <c r="HW235" s="19">
        <v>31.2</v>
      </c>
      <c r="HX235" s="19">
        <v>30.7</v>
      </c>
      <c r="HY235" s="19">
        <v>30.2</v>
      </c>
      <c r="HZ235" s="19">
        <v>29.7</v>
      </c>
      <c r="IA235" s="19">
        <v>29.2</v>
      </c>
      <c r="IB235" s="19">
        <v>28.7</v>
      </c>
    </row>
    <row r="236">
      <c r="A236" s="2" t="s">
        <v>1659</v>
      </c>
      <c r="B236" s="2" t="s">
        <v>825</v>
      </c>
      <c r="C236" s="2" t="s">
        <v>1625</v>
      </c>
      <c r="D236" s="2" t="s">
        <v>261</v>
      </c>
      <c r="E236" s="2" t="s">
        <v>603</v>
      </c>
      <c r="F236" s="2" t="s">
        <v>1626</v>
      </c>
      <c r="G236" s="2" t="s">
        <v>1627</v>
      </c>
      <c r="H236" s="2" t="s">
        <v>1628</v>
      </c>
      <c r="I236" s="2" t="s">
        <v>1639</v>
      </c>
      <c r="J236" s="2" t="s">
        <v>275</v>
      </c>
      <c r="K236" s="2" t="s">
        <v>300</v>
      </c>
      <c r="L236" s="3">
        <v>75.6</v>
      </c>
      <c r="M236" s="3">
        <v>79.38</v>
      </c>
      <c r="N236" s="3">
        <v>159.99</v>
      </c>
      <c r="O236" s="2" t="s">
        <v>230</v>
      </c>
      <c r="P236" s="2" t="s">
        <v>231</v>
      </c>
      <c r="Q236" s="2" t="s">
        <v>232</v>
      </c>
      <c r="R236" s="2" t="s">
        <v>233</v>
      </c>
      <c r="S236" s="2" t="s">
        <v>1654</v>
      </c>
      <c r="T236" s="2" t="s">
        <v>348</v>
      </c>
      <c r="U236" s="2" t="s">
        <v>635</v>
      </c>
      <c r="V236" s="2" t="s">
        <v>236</v>
      </c>
      <c r="W236" s="2" t="s">
        <v>1631</v>
      </c>
      <c r="X236" s="2" t="s">
        <v>1632</v>
      </c>
      <c r="Y236" s="2" t="s">
        <v>1633</v>
      </c>
      <c r="Z236" s="4">
        <v>157</v>
      </c>
      <c r="AA236" s="4">
        <f>=ROUNDDOWN(39.25,0)</f>
      </c>
      <c r="AB236" s="5">
        <v>4</v>
      </c>
      <c r="AC236" s="2" t="s">
        <v>5</v>
      </c>
      <c r="AD236" s="4">
        <v>50</v>
      </c>
      <c r="AE236" s="4">
        <v>100</v>
      </c>
      <c r="AF236" s="6">
        <v>66</v>
      </c>
      <c r="AG236" s="6">
        <v>49</v>
      </c>
      <c r="AH236" s="7">
        <v>1</v>
      </c>
      <c r="AI236" s="4"/>
      <c r="AJ236" s="4">
        <f>=ROUNDDOWN({0},0)</f>
      </c>
      <c r="AK236" s="5"/>
      <c r="AL236" s="2" t="s">
        <v>233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233</v>
      </c>
      <c r="AW236" s="8" t="s">
        <v>233</v>
      </c>
      <c r="AX236" s="4" t="s">
        <v>233</v>
      </c>
      <c r="AY236" s="8" t="s">
        <v>233</v>
      </c>
      <c r="AZ236" s="7" t="s">
        <v>233</v>
      </c>
      <c r="BA236" s="7" t="s">
        <v>233</v>
      </c>
      <c r="BB236" s="7"/>
      <c r="BC236" s="4" t="s">
        <v>233</v>
      </c>
      <c r="BD236" s="8" t="s">
        <v>233</v>
      </c>
      <c r="BE236" s="4" t="s">
        <v>233</v>
      </c>
      <c r="BF236" s="8" t="s">
        <v>233</v>
      </c>
      <c r="BG236" s="7" t="s">
        <v>233</v>
      </c>
      <c r="BH236" s="7" t="s">
        <v>233</v>
      </c>
      <c r="BI236" s="7"/>
      <c r="BJ236" s="4">
        <v>4</v>
      </c>
      <c r="BK236" s="8">
        <v>354.52</v>
      </c>
      <c r="BL236" s="2" t="s">
        <v>1660</v>
      </c>
      <c r="BM236" s="7"/>
      <c r="BN236" s="7"/>
      <c r="BO236" s="4"/>
      <c r="BP236" s="8"/>
      <c r="BQ236" s="4"/>
      <c r="BR236" s="8"/>
      <c r="BS236" s="7"/>
      <c r="BT236" s="7"/>
      <c r="BU236" s="2" t="s">
        <v>1641</v>
      </c>
      <c r="BV236" s="2" t="s">
        <v>233</v>
      </c>
      <c r="BW236" s="2" t="s">
        <v>233</v>
      </c>
      <c r="BX236" s="2" t="s">
        <v>293</v>
      </c>
      <c r="BY236" s="2" t="s">
        <v>242</v>
      </c>
      <c r="BZ236" s="2" t="s">
        <v>230</v>
      </c>
      <c r="CA236" s="2" t="s">
        <v>1636</v>
      </c>
      <c r="CB236" s="2" t="s">
        <v>1661</v>
      </c>
      <c r="CC236" s="2" t="s">
        <v>245</v>
      </c>
      <c r="CD236" s="2" t="s">
        <v>233</v>
      </c>
      <c r="CE236" s="4">
        <v>71</v>
      </c>
      <c r="CF236" s="4"/>
      <c r="CG236" s="4"/>
      <c r="CH236" s="4">
        <v>86</v>
      </c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>
        <v>50</v>
      </c>
      <c r="CW236" s="4"/>
      <c r="CX236" s="4"/>
      <c r="CY236" s="4"/>
      <c r="CZ236" s="4"/>
      <c r="DA236" s="4"/>
      <c r="DB236" s="4"/>
      <c r="DC236" s="4">
        <v>50</v>
      </c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>
        <v>157</v>
      </c>
      <c r="GD236" s="4">
        <v>186</v>
      </c>
      <c r="GE236" s="4">
        <v>180</v>
      </c>
      <c r="GF236" s="4">
        <v>224</v>
      </c>
      <c r="GG236" s="4">
        <v>218</v>
      </c>
      <c r="GH236" s="4">
        <v>212</v>
      </c>
      <c r="GI236" s="4">
        <v>206</v>
      </c>
      <c r="GJ236" s="4">
        <v>200</v>
      </c>
      <c r="GK236" s="4">
        <v>194</v>
      </c>
      <c r="GL236" s="4">
        <v>190</v>
      </c>
      <c r="GM236" s="4">
        <v>186</v>
      </c>
      <c r="GN236" s="4">
        <v>182</v>
      </c>
      <c r="GO236" s="4">
        <v>178</v>
      </c>
      <c r="GP236" s="4">
        <v>174</v>
      </c>
      <c r="GQ236" s="4">
        <v>170</v>
      </c>
      <c r="GR236" s="4">
        <v>166</v>
      </c>
      <c r="GS236" s="4">
        <v>162</v>
      </c>
      <c r="GT236" s="4">
        <v>158</v>
      </c>
      <c r="GU236" s="4">
        <v>154</v>
      </c>
      <c r="GV236" s="4">
        <v>150</v>
      </c>
      <c r="GW236" s="4">
        <v>146</v>
      </c>
      <c r="GX236" s="4">
        <v>142</v>
      </c>
      <c r="GY236" s="4">
        <v>138</v>
      </c>
      <c r="GZ236" s="4">
        <v>134</v>
      </c>
      <c r="HA236" s="4">
        <v>130</v>
      </c>
      <c r="HB236" s="4">
        <v>126</v>
      </c>
      <c r="HC236" s="19">
        <v>26.6</v>
      </c>
      <c r="HD236" s="19">
        <v>33.5</v>
      </c>
      <c r="HE236" s="19">
        <v>32.5</v>
      </c>
      <c r="HF236" s="19">
        <v>37.8</v>
      </c>
      <c r="HG236" s="19">
        <v>36.8</v>
      </c>
      <c r="HH236" s="19">
        <v>35.8</v>
      </c>
      <c r="HI236" s="19">
        <v>34.8</v>
      </c>
      <c r="HJ236" s="19">
        <v>56.7</v>
      </c>
      <c r="HK236" s="19">
        <v>55</v>
      </c>
      <c r="HL236" s="19">
        <v>54</v>
      </c>
      <c r="HM236" s="19">
        <v>53</v>
      </c>
      <c r="HN236" s="19">
        <v>52</v>
      </c>
      <c r="HO236" s="19">
        <v>51</v>
      </c>
      <c r="HP236" s="19">
        <v>50</v>
      </c>
      <c r="HQ236" s="19">
        <v>49</v>
      </c>
      <c r="HR236" s="19">
        <v>48</v>
      </c>
      <c r="HS236" s="19">
        <v>47</v>
      </c>
      <c r="HT236" s="19">
        <v>46</v>
      </c>
      <c r="HU236" s="19">
        <v>45</v>
      </c>
      <c r="HV236" s="19">
        <v>44</v>
      </c>
      <c r="HW236" s="19">
        <v>43</v>
      </c>
      <c r="HX236" s="19">
        <v>42</v>
      </c>
      <c r="HY236" s="19">
        <v>41</v>
      </c>
      <c r="HZ236" s="19">
        <v>40</v>
      </c>
      <c r="IA236" s="19">
        <v>39</v>
      </c>
      <c r="IB236" s="19">
        <v>38</v>
      </c>
    </row>
    <row r="237">
      <c r="A237" s="2" t="s">
        <v>1662</v>
      </c>
      <c r="B237" s="2" t="s">
        <v>923</v>
      </c>
      <c r="C237" s="2" t="s">
        <v>1625</v>
      </c>
      <c r="D237" s="2" t="s">
        <v>951</v>
      </c>
      <c r="E237" s="2" t="s">
        <v>952</v>
      </c>
      <c r="F237" s="2" t="s">
        <v>1626</v>
      </c>
      <c r="G237" s="2" t="s">
        <v>1627</v>
      </c>
      <c r="H237" s="2" t="s">
        <v>1628</v>
      </c>
      <c r="I237" s="2" t="s">
        <v>1663</v>
      </c>
      <c r="J237" s="2" t="s">
        <v>1664</v>
      </c>
      <c r="K237" s="2" t="s">
        <v>1665</v>
      </c>
      <c r="L237" s="3">
        <v>19.8</v>
      </c>
      <c r="M237" s="3">
        <v>20.79</v>
      </c>
      <c r="N237" s="3">
        <v>44.99</v>
      </c>
      <c r="O237" s="2" t="s">
        <v>230</v>
      </c>
      <c r="P237" s="2" t="s">
        <v>231</v>
      </c>
      <c r="Q237" s="2" t="s">
        <v>232</v>
      </c>
      <c r="R237" s="2" t="s">
        <v>233</v>
      </c>
      <c r="S237" s="2" t="s">
        <v>1666</v>
      </c>
      <c r="T237" s="2" t="s">
        <v>233</v>
      </c>
      <c r="U237" s="2" t="s">
        <v>329</v>
      </c>
      <c r="V237" s="2" t="s">
        <v>236</v>
      </c>
      <c r="W237" s="2" t="s">
        <v>237</v>
      </c>
      <c r="X237" s="2" t="s">
        <v>1631</v>
      </c>
      <c r="Y237" s="2" t="s">
        <v>1667</v>
      </c>
      <c r="Z237" s="4">
        <v>289</v>
      </c>
      <c r="AA237" s="4">
        <f>=ROUNDDOWN(41.2857142857143,0)</f>
      </c>
      <c r="AB237" s="5">
        <v>7</v>
      </c>
      <c r="AC237" s="2" t="s">
        <v>233</v>
      </c>
      <c r="AD237" s="4"/>
      <c r="AE237" s="4"/>
      <c r="AF237" s="6">
        <v>66</v>
      </c>
      <c r="AG237" s="6"/>
      <c r="AH237" s="7">
        <v>1</v>
      </c>
      <c r="AI237" s="4"/>
      <c r="AJ237" s="4">
        <f>=ROUNDDOWN({0},0)</f>
      </c>
      <c r="AK237" s="5"/>
      <c r="AL237" s="2" t="s">
        <v>233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 t="s">
        <v>233</v>
      </c>
      <c r="BD237" s="8" t="s">
        <v>233</v>
      </c>
      <c r="BE237" s="4" t="s">
        <v>233</v>
      </c>
      <c r="BF237" s="8" t="s">
        <v>233</v>
      </c>
      <c r="BG237" s="7" t="s">
        <v>233</v>
      </c>
      <c r="BH237" s="7" t="s">
        <v>233</v>
      </c>
      <c r="BI237" s="7"/>
      <c r="BJ237" s="4">
        <v>35</v>
      </c>
      <c r="BK237" s="8">
        <v>777.81</v>
      </c>
      <c r="BL237" s="2" t="s">
        <v>1668</v>
      </c>
      <c r="BM237" s="7"/>
      <c r="BN237" s="7"/>
      <c r="BO237" s="4"/>
      <c r="BP237" s="8"/>
      <c r="BQ237" s="4"/>
      <c r="BR237" s="8"/>
      <c r="BS237" s="7"/>
      <c r="BT237" s="7"/>
      <c r="BU237" s="2" t="s">
        <v>1669</v>
      </c>
      <c r="BV237" s="2" t="s">
        <v>233</v>
      </c>
      <c r="BW237" s="2" t="s">
        <v>233</v>
      </c>
      <c r="BX237" s="2" t="s">
        <v>241</v>
      </c>
      <c r="BY237" s="2" t="s">
        <v>242</v>
      </c>
      <c r="BZ237" s="2" t="s">
        <v>230</v>
      </c>
      <c r="CA237" s="2" t="s">
        <v>675</v>
      </c>
      <c r="CB237" s="2" t="s">
        <v>1670</v>
      </c>
      <c r="CC237" s="2" t="s">
        <v>245</v>
      </c>
      <c r="CD237" s="2" t="s">
        <v>233</v>
      </c>
      <c r="CE237" s="4">
        <v>289</v>
      </c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>
        <v>299</v>
      </c>
      <c r="GD237" s="4">
        <v>291</v>
      </c>
      <c r="GE237" s="4">
        <v>282</v>
      </c>
      <c r="GF237" s="4">
        <v>274</v>
      </c>
      <c r="GG237" s="4">
        <v>261</v>
      </c>
      <c r="GH237" s="4">
        <v>251</v>
      </c>
      <c r="GI237" s="4">
        <v>241</v>
      </c>
      <c r="GJ237" s="4">
        <v>227</v>
      </c>
      <c r="GK237" s="4">
        <v>224</v>
      </c>
      <c r="GL237" s="4">
        <v>218</v>
      </c>
      <c r="GM237" s="4">
        <v>213</v>
      </c>
      <c r="GN237" s="4">
        <v>208</v>
      </c>
      <c r="GO237" s="4">
        <v>201</v>
      </c>
      <c r="GP237" s="4">
        <v>194</v>
      </c>
      <c r="GQ237" s="4">
        <v>187</v>
      </c>
      <c r="GR237" s="4">
        <v>180</v>
      </c>
      <c r="GS237" s="4">
        <v>173</v>
      </c>
      <c r="GT237" s="4">
        <v>165</v>
      </c>
      <c r="GU237" s="4">
        <v>158</v>
      </c>
      <c r="GV237" s="4">
        <v>151</v>
      </c>
      <c r="GW237" s="4">
        <v>144</v>
      </c>
      <c r="GX237" s="4">
        <v>137</v>
      </c>
      <c r="GY237" s="4">
        <v>130</v>
      </c>
      <c r="GZ237" s="4">
        <v>123</v>
      </c>
      <c r="HA237" s="4">
        <v>116</v>
      </c>
      <c r="HB237" s="4">
        <v>109</v>
      </c>
      <c r="HC237" s="19">
        <v>29.9</v>
      </c>
      <c r="HD237" s="19">
        <v>29.1</v>
      </c>
      <c r="HE237" s="19">
        <v>28.2</v>
      </c>
      <c r="HF237" s="19">
        <v>22.8</v>
      </c>
      <c r="HG237" s="19">
        <v>29</v>
      </c>
      <c r="HH237" s="19">
        <v>31.4</v>
      </c>
      <c r="HI237" s="19">
        <v>34.4</v>
      </c>
      <c r="HJ237" s="19">
        <v>45.4</v>
      </c>
      <c r="HK237" s="19">
        <v>37.3</v>
      </c>
      <c r="HL237" s="19">
        <v>36.3</v>
      </c>
      <c r="HM237" s="19">
        <v>35.5</v>
      </c>
      <c r="HN237" s="19">
        <v>29.7</v>
      </c>
      <c r="HO237" s="19">
        <v>28.7</v>
      </c>
      <c r="HP237" s="19">
        <v>27.7</v>
      </c>
      <c r="HQ237" s="19">
        <v>26.7</v>
      </c>
      <c r="HR237" s="19">
        <v>25.7</v>
      </c>
      <c r="HS237" s="19">
        <v>24.7</v>
      </c>
      <c r="HT237" s="19">
        <v>23.6</v>
      </c>
      <c r="HU237" s="19">
        <v>22.6</v>
      </c>
      <c r="HV237" s="19">
        <v>21.6</v>
      </c>
      <c r="HW237" s="19">
        <v>20.6</v>
      </c>
      <c r="HX237" s="19">
        <v>19.6</v>
      </c>
      <c r="HY237" s="19">
        <v>18.6</v>
      </c>
      <c r="HZ237" s="19">
        <v>17.6</v>
      </c>
      <c r="IA237" s="19">
        <v>16.6</v>
      </c>
      <c r="IB237" s="19">
        <v>15.6</v>
      </c>
    </row>
    <row r="238">
      <c r="A238" s="2" t="s">
        <v>1671</v>
      </c>
      <c r="B238" s="2" t="s">
        <v>825</v>
      </c>
      <c r="C238" s="2" t="s">
        <v>1625</v>
      </c>
      <c r="D238" s="2" t="s">
        <v>774</v>
      </c>
      <c r="E238" s="2" t="s">
        <v>827</v>
      </c>
      <c r="F238" s="2" t="s">
        <v>1626</v>
      </c>
      <c r="G238" s="2" t="s">
        <v>1627</v>
      </c>
      <c r="H238" s="2" t="s">
        <v>1628</v>
      </c>
      <c r="I238" s="2" t="s">
        <v>1629</v>
      </c>
      <c r="J238" s="2" t="s">
        <v>1052</v>
      </c>
      <c r="K238" s="2" t="s">
        <v>452</v>
      </c>
      <c r="L238" s="3">
        <v>46.53</v>
      </c>
      <c r="M238" s="3">
        <v>48.86</v>
      </c>
      <c r="N238" s="3">
        <v>89.99</v>
      </c>
      <c r="O238" s="2" t="s">
        <v>230</v>
      </c>
      <c r="P238" s="2" t="s">
        <v>597</v>
      </c>
      <c r="Q238" s="2" t="s">
        <v>232</v>
      </c>
      <c r="R238" s="2" t="s">
        <v>233</v>
      </c>
      <c r="S238" s="2" t="s">
        <v>1672</v>
      </c>
      <c r="T238" s="2" t="s">
        <v>348</v>
      </c>
      <c r="U238" s="2" t="s">
        <v>608</v>
      </c>
      <c r="V238" s="2" t="s">
        <v>236</v>
      </c>
      <c r="W238" s="2" t="s">
        <v>1631</v>
      </c>
      <c r="X238" s="2" t="s">
        <v>1632</v>
      </c>
      <c r="Y238" s="2" t="s">
        <v>1673</v>
      </c>
      <c r="Z238" s="4">
        <v>258</v>
      </c>
      <c r="AA238" s="4">
        <f>=ROUNDDOWN(64.5,0)</f>
      </c>
      <c r="AB238" s="5">
        <v>4</v>
      </c>
      <c r="AC238" s="2" t="s">
        <v>233</v>
      </c>
      <c r="AD238" s="4"/>
      <c r="AE238" s="4"/>
      <c r="AF238" s="6">
        <v>66</v>
      </c>
      <c r="AG238" s="6">
        <v>49</v>
      </c>
      <c r="AH238" s="7">
        <v>1</v>
      </c>
      <c r="AI238" s="4"/>
      <c r="AJ238" s="4">
        <f>=ROUNDDOWN({0},0)</f>
      </c>
      <c r="AK238" s="5"/>
      <c r="AL238" s="2" t="s">
        <v>233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233</v>
      </c>
      <c r="AW238" s="8" t="s">
        <v>233</v>
      </c>
      <c r="AX238" s="4" t="s">
        <v>233</v>
      </c>
      <c r="AY238" s="8" t="s">
        <v>233</v>
      </c>
      <c r="AZ238" s="7" t="s">
        <v>233</v>
      </c>
      <c r="BA238" s="7" t="s">
        <v>233</v>
      </c>
      <c r="BB238" s="7"/>
      <c r="BC238" s="4" t="s">
        <v>233</v>
      </c>
      <c r="BD238" s="8" t="s">
        <v>233</v>
      </c>
      <c r="BE238" s="4" t="s">
        <v>233</v>
      </c>
      <c r="BF238" s="8" t="s">
        <v>233</v>
      </c>
      <c r="BG238" s="7" t="s">
        <v>233</v>
      </c>
      <c r="BH238" s="7" t="s">
        <v>233</v>
      </c>
      <c r="BI238" s="7"/>
      <c r="BJ238" s="4">
        <v>8</v>
      </c>
      <c r="BK238" s="8">
        <v>368.84</v>
      </c>
      <c r="BL238" s="2" t="s">
        <v>1658</v>
      </c>
      <c r="BM238" s="7"/>
      <c r="BN238" s="7"/>
      <c r="BO238" s="4"/>
      <c r="BP238" s="8"/>
      <c r="BQ238" s="4"/>
      <c r="BR238" s="8"/>
      <c r="BS238" s="7"/>
      <c r="BT238" s="7"/>
      <c r="BU238" s="2" t="s">
        <v>1635</v>
      </c>
      <c r="BV238" s="2" t="s">
        <v>233</v>
      </c>
      <c r="BW238" s="2" t="s">
        <v>233</v>
      </c>
      <c r="BX238" s="2" t="s">
        <v>293</v>
      </c>
      <c r="BY238" s="2" t="s">
        <v>242</v>
      </c>
      <c r="BZ238" s="2" t="s">
        <v>230</v>
      </c>
      <c r="CA238" s="2" t="s">
        <v>487</v>
      </c>
      <c r="CB238" s="2" t="s">
        <v>1674</v>
      </c>
      <c r="CC238" s="2" t="s">
        <v>245</v>
      </c>
      <c r="CD238" s="2" t="s">
        <v>233</v>
      </c>
      <c r="CE238" s="4">
        <v>206</v>
      </c>
      <c r="CF238" s="4"/>
      <c r="CG238" s="4"/>
      <c r="CH238" s="4">
        <v>52</v>
      </c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>
        <v>258</v>
      </c>
      <c r="GD238" s="4">
        <v>235</v>
      </c>
      <c r="GE238" s="4">
        <v>226</v>
      </c>
      <c r="GF238" s="4">
        <v>217</v>
      </c>
      <c r="GG238" s="4">
        <v>208</v>
      </c>
      <c r="GH238" s="4">
        <v>199</v>
      </c>
      <c r="GI238" s="4">
        <v>190</v>
      </c>
      <c r="GJ238" s="4">
        <v>181</v>
      </c>
      <c r="GK238" s="4">
        <v>172</v>
      </c>
      <c r="GL238" s="4">
        <v>168</v>
      </c>
      <c r="GM238" s="4">
        <v>164</v>
      </c>
      <c r="GN238" s="4">
        <v>160</v>
      </c>
      <c r="GO238" s="4">
        <v>156</v>
      </c>
      <c r="GP238" s="4">
        <v>152</v>
      </c>
      <c r="GQ238" s="4">
        <v>148</v>
      </c>
      <c r="GR238" s="4">
        <v>144</v>
      </c>
      <c r="GS238" s="4">
        <v>140</v>
      </c>
      <c r="GT238" s="4">
        <v>136</v>
      </c>
      <c r="GU238" s="4">
        <v>132</v>
      </c>
      <c r="GV238" s="4">
        <v>128</v>
      </c>
      <c r="GW238" s="4">
        <v>124</v>
      </c>
      <c r="GX238" s="4">
        <v>120</v>
      </c>
      <c r="GY238" s="4">
        <v>116</v>
      </c>
      <c r="GZ238" s="4">
        <v>112</v>
      </c>
      <c r="HA238" s="4">
        <v>108</v>
      </c>
      <c r="HB238" s="4">
        <v>104</v>
      </c>
      <c r="HC238" s="19">
        <v>19.4</v>
      </c>
      <c r="HD238" s="19">
        <v>23.4</v>
      </c>
      <c r="HE238" s="19">
        <v>22.4</v>
      </c>
      <c r="HF238" s="19">
        <v>21.4</v>
      </c>
      <c r="HG238" s="19">
        <v>20.4</v>
      </c>
      <c r="HH238" s="19">
        <v>24.9</v>
      </c>
      <c r="HI238" s="19">
        <v>27.5</v>
      </c>
      <c r="HJ238" s="19">
        <v>26</v>
      </c>
      <c r="HK238" s="19">
        <v>36.7</v>
      </c>
      <c r="HL238" s="19">
        <v>35.7</v>
      </c>
      <c r="HM238" s="19">
        <v>34.7</v>
      </c>
      <c r="HN238" s="19">
        <v>33.7</v>
      </c>
      <c r="HO238" s="19">
        <v>32.7</v>
      </c>
      <c r="HP238" s="19">
        <v>31.7</v>
      </c>
      <c r="HQ238" s="19">
        <v>30.7</v>
      </c>
      <c r="HR238" s="19">
        <v>29.7</v>
      </c>
      <c r="HS238" s="19">
        <v>28.7</v>
      </c>
      <c r="HT238" s="19">
        <v>27.7</v>
      </c>
      <c r="HU238" s="19">
        <v>26.7</v>
      </c>
      <c r="HV238" s="19">
        <v>25.7</v>
      </c>
      <c r="HW238" s="19">
        <v>24.7</v>
      </c>
      <c r="HX238" s="19">
        <v>23.7</v>
      </c>
      <c r="HY238" s="19">
        <v>22.7</v>
      </c>
      <c r="HZ238" s="19">
        <v>17.4</v>
      </c>
      <c r="IA238" s="19">
        <v>16.5</v>
      </c>
      <c r="IB238" s="19">
        <v>15.7</v>
      </c>
    </row>
    <row r="239">
      <c r="A239" s="2" t="s">
        <v>1675</v>
      </c>
      <c r="B239" s="2" t="s">
        <v>825</v>
      </c>
      <c r="C239" s="2" t="s">
        <v>1625</v>
      </c>
      <c r="D239" s="2" t="s">
        <v>774</v>
      </c>
      <c r="E239" s="2" t="s">
        <v>827</v>
      </c>
      <c r="F239" s="2" t="s">
        <v>1626</v>
      </c>
      <c r="G239" s="2" t="s">
        <v>1627</v>
      </c>
      <c r="H239" s="2" t="s">
        <v>1628</v>
      </c>
      <c r="I239" s="2" t="s">
        <v>1629</v>
      </c>
      <c r="J239" s="2" t="s">
        <v>265</v>
      </c>
      <c r="K239" s="2" t="s">
        <v>452</v>
      </c>
      <c r="L239" s="3">
        <v>63</v>
      </c>
      <c r="M239" s="3">
        <v>66.15</v>
      </c>
      <c r="N239" s="3">
        <v>119.99</v>
      </c>
      <c r="O239" s="2" t="s">
        <v>230</v>
      </c>
      <c r="P239" s="2" t="s">
        <v>597</v>
      </c>
      <c r="Q239" s="2" t="s">
        <v>232</v>
      </c>
      <c r="R239" s="2" t="s">
        <v>233</v>
      </c>
      <c r="S239" s="2" t="s">
        <v>1672</v>
      </c>
      <c r="T239" s="2" t="s">
        <v>348</v>
      </c>
      <c r="U239" s="2" t="s">
        <v>635</v>
      </c>
      <c r="V239" s="2" t="s">
        <v>236</v>
      </c>
      <c r="W239" s="2" t="s">
        <v>1631</v>
      </c>
      <c r="X239" s="2" t="s">
        <v>1632</v>
      </c>
      <c r="Y239" s="2" t="s">
        <v>1673</v>
      </c>
      <c r="Z239" s="4">
        <v>116</v>
      </c>
      <c r="AA239" s="4">
        <f>=ROUNDDOWN(23.2,0)</f>
      </c>
      <c r="AB239" s="5">
        <v>5</v>
      </c>
      <c r="AC239" s="2" t="s">
        <v>145</v>
      </c>
      <c r="AD239" s="4">
        <v>120</v>
      </c>
      <c r="AE239" s="4">
        <v>120</v>
      </c>
      <c r="AF239" s="6">
        <v>66</v>
      </c>
      <c r="AG239" s="6">
        <v>49</v>
      </c>
      <c r="AH239" s="7">
        <v>1</v>
      </c>
      <c r="AI239" s="4"/>
      <c r="AJ239" s="4">
        <f>=ROUNDDOWN({0},0)</f>
      </c>
      <c r="AK239" s="5"/>
      <c r="AL239" s="2" t="s">
        <v>233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233</v>
      </c>
      <c r="AW239" s="8" t="s">
        <v>233</v>
      </c>
      <c r="AX239" s="4" t="s">
        <v>233</v>
      </c>
      <c r="AY239" s="8" t="s">
        <v>233</v>
      </c>
      <c r="AZ239" s="7" t="s">
        <v>233</v>
      </c>
      <c r="BA239" s="7" t="s">
        <v>233</v>
      </c>
      <c r="BB239" s="7"/>
      <c r="BC239" s="4" t="s">
        <v>233</v>
      </c>
      <c r="BD239" s="8" t="s">
        <v>233</v>
      </c>
      <c r="BE239" s="4" t="s">
        <v>233</v>
      </c>
      <c r="BF239" s="8" t="s">
        <v>233</v>
      </c>
      <c r="BG239" s="7" t="s">
        <v>233</v>
      </c>
      <c r="BH239" s="7" t="s">
        <v>233</v>
      </c>
      <c r="BI239" s="7"/>
      <c r="BJ239" s="4">
        <v>16</v>
      </c>
      <c r="BK239" s="8">
        <v>1015.25</v>
      </c>
      <c r="BL239" s="2" t="s">
        <v>1676</v>
      </c>
      <c r="BM239" s="7"/>
      <c r="BN239" s="7"/>
      <c r="BO239" s="4"/>
      <c r="BP239" s="8"/>
      <c r="BQ239" s="4"/>
      <c r="BR239" s="8"/>
      <c r="BS239" s="7"/>
      <c r="BT239" s="7"/>
      <c r="BU239" s="2" t="s">
        <v>1635</v>
      </c>
      <c r="BV239" s="2" t="s">
        <v>233</v>
      </c>
      <c r="BW239" s="2" t="s">
        <v>233</v>
      </c>
      <c r="BX239" s="2" t="s">
        <v>293</v>
      </c>
      <c r="BY239" s="2" t="s">
        <v>242</v>
      </c>
      <c r="BZ239" s="2" t="s">
        <v>230</v>
      </c>
      <c r="CA239" s="2" t="s">
        <v>487</v>
      </c>
      <c r="CB239" s="2" t="s">
        <v>1677</v>
      </c>
      <c r="CC239" s="2" t="s">
        <v>245</v>
      </c>
      <c r="CD239" s="2" t="s">
        <v>233</v>
      </c>
      <c r="CE239" s="4">
        <v>15</v>
      </c>
      <c r="CF239" s="4">
        <v>27</v>
      </c>
      <c r="CG239" s="4"/>
      <c r="CH239" s="4">
        <v>74</v>
      </c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>
        <v>120</v>
      </c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>
        <v>120</v>
      </c>
      <c r="GD239" s="4">
        <v>99</v>
      </c>
      <c r="GE239" s="4">
        <v>89</v>
      </c>
      <c r="GF239" s="4">
        <v>199</v>
      </c>
      <c r="GG239" s="4">
        <v>189</v>
      </c>
      <c r="GH239" s="4">
        <v>179</v>
      </c>
      <c r="GI239" s="4">
        <v>169</v>
      </c>
      <c r="GJ239" s="4">
        <v>159</v>
      </c>
      <c r="GK239" s="4">
        <v>149</v>
      </c>
      <c r="GL239" s="4">
        <v>144</v>
      </c>
      <c r="GM239" s="4">
        <v>139</v>
      </c>
      <c r="GN239" s="4">
        <v>134</v>
      </c>
      <c r="GO239" s="4">
        <v>129</v>
      </c>
      <c r="GP239" s="4">
        <v>124</v>
      </c>
      <c r="GQ239" s="4">
        <v>119</v>
      </c>
      <c r="GR239" s="4">
        <v>114</v>
      </c>
      <c r="GS239" s="4">
        <v>109</v>
      </c>
      <c r="GT239" s="4">
        <v>104</v>
      </c>
      <c r="GU239" s="4">
        <v>99</v>
      </c>
      <c r="GV239" s="4">
        <v>94</v>
      </c>
      <c r="GW239" s="4">
        <v>89</v>
      </c>
      <c r="GX239" s="4">
        <v>84</v>
      </c>
      <c r="GY239" s="4">
        <v>79</v>
      </c>
      <c r="GZ239" s="4">
        <v>74</v>
      </c>
      <c r="HA239" s="4">
        <v>69</v>
      </c>
      <c r="HB239" s="4">
        <v>64</v>
      </c>
      <c r="HC239" s="19">
        <v>15</v>
      </c>
      <c r="HD239" s="19">
        <v>19.3</v>
      </c>
      <c r="HE239" s="19">
        <v>18.3</v>
      </c>
      <c r="HF239" s="19">
        <v>24.8</v>
      </c>
      <c r="HG239" s="19">
        <v>23.8</v>
      </c>
      <c r="HH239" s="19">
        <v>23.9</v>
      </c>
      <c r="HI239" s="19">
        <v>24.1</v>
      </c>
      <c r="HJ239" s="19">
        <v>39.1</v>
      </c>
      <c r="HK239" s="19">
        <v>39.7</v>
      </c>
      <c r="HL239" s="19">
        <v>38.7</v>
      </c>
      <c r="HM239" s="19">
        <v>37.7</v>
      </c>
      <c r="HN239" s="19">
        <v>36.7</v>
      </c>
      <c r="HO239" s="19">
        <v>35.7</v>
      </c>
      <c r="HP239" s="19">
        <v>34.7</v>
      </c>
      <c r="HQ239" s="19">
        <v>33.7</v>
      </c>
      <c r="HR239" s="19">
        <v>32.7</v>
      </c>
      <c r="HS239" s="19">
        <v>31.7</v>
      </c>
      <c r="HT239" s="19">
        <v>30.7</v>
      </c>
      <c r="HU239" s="19">
        <v>29.7</v>
      </c>
      <c r="HV239" s="19">
        <v>28.7</v>
      </c>
      <c r="HW239" s="19">
        <v>27.7</v>
      </c>
      <c r="HX239" s="19">
        <v>26.7</v>
      </c>
      <c r="HY239" s="19">
        <v>25.7</v>
      </c>
      <c r="HZ239" s="19">
        <v>24.7</v>
      </c>
      <c r="IA239" s="19">
        <v>23.7</v>
      </c>
      <c r="IB239" s="19">
        <v>22.7</v>
      </c>
    </row>
    <row r="240">
      <c r="A240" s="2" t="s">
        <v>1678</v>
      </c>
      <c r="B240" s="2" t="s">
        <v>923</v>
      </c>
      <c r="C240" s="2" t="s">
        <v>1625</v>
      </c>
      <c r="D240" s="2" t="s">
        <v>951</v>
      </c>
      <c r="E240" s="2" t="s">
        <v>952</v>
      </c>
      <c r="F240" s="2" t="s">
        <v>1626</v>
      </c>
      <c r="G240" s="2" t="s">
        <v>1627</v>
      </c>
      <c r="H240" s="2" t="s">
        <v>1628</v>
      </c>
      <c r="I240" s="2" t="s">
        <v>1679</v>
      </c>
      <c r="J240" s="2" t="s">
        <v>1664</v>
      </c>
      <c r="K240" s="2" t="s">
        <v>452</v>
      </c>
      <c r="L240" s="3">
        <v>19.8</v>
      </c>
      <c r="M240" s="3">
        <v>20.79</v>
      </c>
      <c r="N240" s="3">
        <v>44.99</v>
      </c>
      <c r="O240" s="2" t="s">
        <v>230</v>
      </c>
      <c r="P240" s="2" t="s">
        <v>231</v>
      </c>
      <c r="Q240" s="2" t="s">
        <v>232</v>
      </c>
      <c r="R240" s="2" t="s">
        <v>233</v>
      </c>
      <c r="S240" s="2" t="s">
        <v>1680</v>
      </c>
      <c r="T240" s="2" t="s">
        <v>348</v>
      </c>
      <c r="U240" s="2" t="s">
        <v>329</v>
      </c>
      <c r="V240" s="2" t="s">
        <v>236</v>
      </c>
      <c r="W240" s="2" t="s">
        <v>237</v>
      </c>
      <c r="X240" s="2" t="s">
        <v>1631</v>
      </c>
      <c r="Y240" s="2" t="s">
        <v>1681</v>
      </c>
      <c r="Z240" s="4">
        <v>436</v>
      </c>
      <c r="AA240" s="4">
        <f>=ROUNDDOWN(36.3333333333333,0)</f>
      </c>
      <c r="AB240" s="5">
        <v>12</v>
      </c>
      <c r="AC240" s="2" t="s">
        <v>174</v>
      </c>
      <c r="AD240" s="4">
        <v>220</v>
      </c>
      <c r="AE240" s="4">
        <v>600</v>
      </c>
      <c r="AF240" s="6">
        <v>66</v>
      </c>
      <c r="AG240" s="6"/>
      <c r="AH240" s="7">
        <v>1</v>
      </c>
      <c r="AI240" s="4"/>
      <c r="AJ240" s="4">
        <f>=ROUNDDOWN({0},0)</f>
      </c>
      <c r="AK240" s="5"/>
      <c r="AL240" s="2" t="s">
        <v>233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233</v>
      </c>
      <c r="AW240" s="8" t="s">
        <v>233</v>
      </c>
      <c r="AX240" s="4" t="s">
        <v>233</v>
      </c>
      <c r="AY240" s="8" t="s">
        <v>233</v>
      </c>
      <c r="AZ240" s="7" t="s">
        <v>233</v>
      </c>
      <c r="BA240" s="7" t="s">
        <v>233</v>
      </c>
      <c r="BB240" s="7"/>
      <c r="BC240" s="4" t="s">
        <v>233</v>
      </c>
      <c r="BD240" s="8" t="s">
        <v>233</v>
      </c>
      <c r="BE240" s="4" t="s">
        <v>233</v>
      </c>
      <c r="BF240" s="8" t="s">
        <v>233</v>
      </c>
      <c r="BG240" s="7" t="s">
        <v>233</v>
      </c>
      <c r="BH240" s="7" t="s">
        <v>233</v>
      </c>
      <c r="BI240" s="7"/>
      <c r="BJ240" s="4">
        <v>13</v>
      </c>
      <c r="BK240" s="8">
        <v>281.91</v>
      </c>
      <c r="BL240" s="2" t="s">
        <v>504</v>
      </c>
      <c r="BM240" s="7"/>
      <c r="BN240" s="7"/>
      <c r="BO240" s="4"/>
      <c r="BP240" s="8"/>
      <c r="BQ240" s="4"/>
      <c r="BR240" s="8"/>
      <c r="BS240" s="7"/>
      <c r="BT240" s="7"/>
      <c r="BU240" s="2" t="s">
        <v>1669</v>
      </c>
      <c r="BV240" s="2" t="s">
        <v>233</v>
      </c>
      <c r="BW240" s="2" t="s">
        <v>233</v>
      </c>
      <c r="BX240" s="2" t="s">
        <v>241</v>
      </c>
      <c r="BY240" s="2" t="s">
        <v>242</v>
      </c>
      <c r="BZ240" s="2" t="s">
        <v>230</v>
      </c>
      <c r="CA240" s="2" t="s">
        <v>1682</v>
      </c>
      <c r="CB240" s="2" t="s">
        <v>1683</v>
      </c>
      <c r="CC240" s="2" t="s">
        <v>245</v>
      </c>
      <c r="CD240" s="2" t="s">
        <v>233</v>
      </c>
      <c r="CE240" s="4">
        <v>436</v>
      </c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>
        <v>220</v>
      </c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>
        <v>380</v>
      </c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>
        <v>438</v>
      </c>
      <c r="GD240" s="4">
        <v>406</v>
      </c>
      <c r="GE240" s="4">
        <v>388</v>
      </c>
      <c r="GF240" s="4">
        <v>372</v>
      </c>
      <c r="GG240" s="4">
        <v>347</v>
      </c>
      <c r="GH240" s="4">
        <v>328</v>
      </c>
      <c r="GI240" s="4">
        <v>309</v>
      </c>
      <c r="GJ240" s="4">
        <v>298</v>
      </c>
      <c r="GK240" s="4">
        <v>510</v>
      </c>
      <c r="GL240" s="4">
        <v>497</v>
      </c>
      <c r="GM240" s="4">
        <v>485</v>
      </c>
      <c r="GN240" s="4">
        <v>473</v>
      </c>
      <c r="GO240" s="4">
        <v>461</v>
      </c>
      <c r="GP240" s="4">
        <v>449</v>
      </c>
      <c r="GQ240" s="4">
        <v>437</v>
      </c>
      <c r="GR240" s="4">
        <v>425</v>
      </c>
      <c r="GS240" s="4">
        <v>793</v>
      </c>
      <c r="GT240" s="4">
        <v>780</v>
      </c>
      <c r="GU240" s="4">
        <v>768</v>
      </c>
      <c r="GV240" s="4">
        <v>756</v>
      </c>
      <c r="GW240" s="4">
        <v>744</v>
      </c>
      <c r="GX240" s="4">
        <v>732</v>
      </c>
      <c r="GY240" s="4">
        <v>720</v>
      </c>
      <c r="GZ240" s="4">
        <v>708</v>
      </c>
      <c r="HA240" s="4">
        <v>696</v>
      </c>
      <c r="HB240" s="4">
        <v>684</v>
      </c>
      <c r="HC240" s="19">
        <v>19</v>
      </c>
      <c r="HD240" s="19">
        <v>20.3</v>
      </c>
      <c r="HE240" s="19">
        <v>19.4</v>
      </c>
      <c r="HF240" s="19">
        <v>20.7</v>
      </c>
      <c r="HG240" s="19">
        <v>24.8</v>
      </c>
      <c r="HH240" s="19">
        <v>25.2</v>
      </c>
      <c r="HI240" s="19">
        <v>28.1</v>
      </c>
      <c r="HJ240" s="19">
        <v>27.1</v>
      </c>
      <c r="HK240" s="19">
        <v>42.5</v>
      </c>
      <c r="HL240" s="19">
        <v>41.4</v>
      </c>
      <c r="HM240" s="19">
        <v>40.4</v>
      </c>
      <c r="HN240" s="19">
        <v>39.4</v>
      </c>
      <c r="HO240" s="19">
        <v>38.4</v>
      </c>
      <c r="HP240" s="19">
        <v>37.4</v>
      </c>
      <c r="HQ240" s="19">
        <v>36.4</v>
      </c>
      <c r="HR240" s="19">
        <v>35.4</v>
      </c>
      <c r="HS240" s="19">
        <v>66.1</v>
      </c>
      <c r="HT240" s="19">
        <v>65</v>
      </c>
      <c r="HU240" s="19">
        <v>64</v>
      </c>
      <c r="HV240" s="19">
        <v>63</v>
      </c>
      <c r="HW240" s="19">
        <v>62</v>
      </c>
      <c r="HX240" s="19">
        <v>61</v>
      </c>
      <c r="HY240" s="19">
        <v>60</v>
      </c>
      <c r="HZ240" s="19">
        <v>59</v>
      </c>
      <c r="IA240" s="19">
        <v>58</v>
      </c>
      <c r="IB240" s="19">
        <v>57</v>
      </c>
    </row>
    <row r="241">
      <c r="A241" s="2" t="s">
        <v>1684</v>
      </c>
      <c r="B241" s="2" t="s">
        <v>825</v>
      </c>
      <c r="C241" s="2" t="s">
        <v>1625</v>
      </c>
      <c r="D241" s="2" t="s">
        <v>884</v>
      </c>
      <c r="E241" s="2" t="s">
        <v>1685</v>
      </c>
      <c r="F241" s="2" t="s">
        <v>1626</v>
      </c>
      <c r="G241" s="2" t="s">
        <v>1627</v>
      </c>
      <c r="H241" s="2" t="s">
        <v>1628</v>
      </c>
      <c r="I241" s="2" t="s">
        <v>1686</v>
      </c>
      <c r="J241" s="2" t="s">
        <v>1687</v>
      </c>
      <c r="K241" s="2" t="s">
        <v>452</v>
      </c>
      <c r="L241" s="3">
        <v>54.99</v>
      </c>
      <c r="M241" s="3">
        <v>57.74</v>
      </c>
      <c r="N241" s="3">
        <v>109.99</v>
      </c>
      <c r="O241" s="2" t="s">
        <v>230</v>
      </c>
      <c r="P241" s="2" t="s">
        <v>231</v>
      </c>
      <c r="Q241" s="2" t="s">
        <v>232</v>
      </c>
      <c r="R241" s="2" t="s">
        <v>233</v>
      </c>
      <c r="S241" s="2" t="s">
        <v>1680</v>
      </c>
      <c r="T241" s="2" t="s">
        <v>348</v>
      </c>
      <c r="U241" s="2" t="s">
        <v>608</v>
      </c>
      <c r="V241" s="2" t="s">
        <v>236</v>
      </c>
      <c r="W241" s="2" t="s">
        <v>1631</v>
      </c>
      <c r="X241" s="2" t="s">
        <v>1632</v>
      </c>
      <c r="Y241" s="2" t="s">
        <v>1688</v>
      </c>
      <c r="Z241" s="4">
        <v>129</v>
      </c>
      <c r="AA241" s="4">
        <f>=ROUNDDOWN(25.8,0)</f>
      </c>
      <c r="AB241" s="5">
        <v>5</v>
      </c>
      <c r="AC241" s="2" t="s">
        <v>140</v>
      </c>
      <c r="AD241" s="4">
        <v>75</v>
      </c>
      <c r="AE241" s="4">
        <v>150</v>
      </c>
      <c r="AF241" s="6">
        <v>66</v>
      </c>
      <c r="AG241" s="6"/>
      <c r="AH241" s="7">
        <v>1</v>
      </c>
      <c r="AI241" s="4"/>
      <c r="AJ241" s="4">
        <f>=ROUNDDOWN({0},0)</f>
      </c>
      <c r="AK241" s="5"/>
      <c r="AL241" s="2" t="s">
        <v>233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233</v>
      </c>
      <c r="AW241" s="8" t="s">
        <v>233</v>
      </c>
      <c r="AX241" s="4" t="s">
        <v>233</v>
      </c>
      <c r="AY241" s="8" t="s">
        <v>233</v>
      </c>
      <c r="AZ241" s="7" t="s">
        <v>233</v>
      </c>
      <c r="BA241" s="7" t="s">
        <v>233</v>
      </c>
      <c r="BB241" s="7"/>
      <c r="BC241" s="4" t="s">
        <v>233</v>
      </c>
      <c r="BD241" s="8" t="s">
        <v>233</v>
      </c>
      <c r="BE241" s="4" t="s">
        <v>233</v>
      </c>
      <c r="BF241" s="8" t="s">
        <v>233</v>
      </c>
      <c r="BG241" s="7" t="s">
        <v>233</v>
      </c>
      <c r="BH241" s="7" t="s">
        <v>233</v>
      </c>
      <c r="BI241" s="7"/>
      <c r="BJ241" s="4">
        <v>14</v>
      </c>
      <c r="BK241" s="8">
        <v>849.45</v>
      </c>
      <c r="BL241" s="2" t="s">
        <v>1689</v>
      </c>
      <c r="BM241" s="7"/>
      <c r="BN241" s="7"/>
      <c r="BO241" s="4"/>
      <c r="BP241" s="8"/>
      <c r="BQ241" s="4"/>
      <c r="BR241" s="8"/>
      <c r="BS241" s="7"/>
      <c r="BT241" s="7"/>
      <c r="BU241" s="2" t="s">
        <v>1690</v>
      </c>
      <c r="BV241" s="2" t="s">
        <v>233</v>
      </c>
      <c r="BW241" s="2" t="s">
        <v>233</v>
      </c>
      <c r="BX241" s="2" t="s">
        <v>293</v>
      </c>
      <c r="BY241" s="2" t="s">
        <v>242</v>
      </c>
      <c r="BZ241" s="2" t="s">
        <v>230</v>
      </c>
      <c r="CA241" s="2" t="s">
        <v>1691</v>
      </c>
      <c r="CB241" s="2" t="s">
        <v>1692</v>
      </c>
      <c r="CC241" s="2" t="s">
        <v>245</v>
      </c>
      <c r="CD241" s="2" t="s">
        <v>233</v>
      </c>
      <c r="CE241" s="4">
        <v>129</v>
      </c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>
        <v>75</v>
      </c>
      <c r="DC241" s="4"/>
      <c r="DD241" s="4"/>
      <c r="DE241" s="4"/>
      <c r="DF241" s="4"/>
      <c r="DG241" s="4">
        <v>75</v>
      </c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>
        <v>134</v>
      </c>
      <c r="GD241" s="4">
        <v>118</v>
      </c>
      <c r="GE241" s="4">
        <v>186</v>
      </c>
      <c r="GF241" s="4">
        <v>253</v>
      </c>
      <c r="GG241" s="4">
        <v>243</v>
      </c>
      <c r="GH241" s="4">
        <v>236</v>
      </c>
      <c r="GI241" s="4">
        <v>230</v>
      </c>
      <c r="GJ241" s="4">
        <v>225</v>
      </c>
      <c r="GK241" s="4">
        <v>220</v>
      </c>
      <c r="GL241" s="4">
        <v>214</v>
      </c>
      <c r="GM241" s="4">
        <v>209</v>
      </c>
      <c r="GN241" s="4">
        <v>204</v>
      </c>
      <c r="GO241" s="4">
        <v>199</v>
      </c>
      <c r="GP241" s="4">
        <v>194</v>
      </c>
      <c r="GQ241" s="4">
        <v>189</v>
      </c>
      <c r="GR241" s="4">
        <v>184</v>
      </c>
      <c r="GS241" s="4">
        <v>179</v>
      </c>
      <c r="GT241" s="4">
        <v>173</v>
      </c>
      <c r="GU241" s="4">
        <v>168</v>
      </c>
      <c r="GV241" s="4">
        <v>163</v>
      </c>
      <c r="GW241" s="4">
        <v>158</v>
      </c>
      <c r="GX241" s="4">
        <v>153</v>
      </c>
      <c r="GY241" s="4">
        <v>148</v>
      </c>
      <c r="GZ241" s="4">
        <v>143</v>
      </c>
      <c r="HA241" s="4">
        <v>138</v>
      </c>
      <c r="HB241" s="4">
        <v>133</v>
      </c>
      <c r="HC241" s="19">
        <v>13.4</v>
      </c>
      <c r="HD241" s="19">
        <v>14.8</v>
      </c>
      <c r="HE241" s="19">
        <v>23.3</v>
      </c>
      <c r="HF241" s="19">
        <v>36.1</v>
      </c>
      <c r="HG241" s="19">
        <v>40.5</v>
      </c>
      <c r="HH241" s="19">
        <v>39.3</v>
      </c>
      <c r="HI241" s="19">
        <v>46</v>
      </c>
      <c r="HJ241" s="19">
        <v>45</v>
      </c>
      <c r="HK241" s="19">
        <v>44</v>
      </c>
      <c r="HL241" s="19">
        <v>42.8</v>
      </c>
      <c r="HM241" s="19">
        <v>41.8</v>
      </c>
      <c r="HN241" s="19">
        <v>40.8</v>
      </c>
      <c r="HO241" s="19">
        <v>39.8</v>
      </c>
      <c r="HP241" s="19">
        <v>38.8</v>
      </c>
      <c r="HQ241" s="19">
        <v>37.8</v>
      </c>
      <c r="HR241" s="19">
        <v>36.8</v>
      </c>
      <c r="HS241" s="19">
        <v>35.8</v>
      </c>
      <c r="HT241" s="19">
        <v>34.6</v>
      </c>
      <c r="HU241" s="19">
        <v>33.6</v>
      </c>
      <c r="HV241" s="19">
        <v>32.6</v>
      </c>
      <c r="HW241" s="19">
        <v>31.6</v>
      </c>
      <c r="HX241" s="19">
        <v>30.6</v>
      </c>
      <c r="HY241" s="19">
        <v>29.6</v>
      </c>
      <c r="HZ241" s="19">
        <v>28.6</v>
      </c>
      <c r="IA241" s="19">
        <v>27.6</v>
      </c>
      <c r="IB241" s="19">
        <v>26.6</v>
      </c>
    </row>
    <row r="242">
      <c r="A242" s="2" t="s">
        <v>1693</v>
      </c>
      <c r="B242" s="2" t="s">
        <v>825</v>
      </c>
      <c r="C242" s="2" t="s">
        <v>1625</v>
      </c>
      <c r="D242" s="2" t="s">
        <v>774</v>
      </c>
      <c r="E242" s="2" t="s">
        <v>827</v>
      </c>
      <c r="F242" s="2" t="s">
        <v>1626</v>
      </c>
      <c r="G242" s="2" t="s">
        <v>1627</v>
      </c>
      <c r="H242" s="2" t="s">
        <v>1628</v>
      </c>
      <c r="I242" s="2" t="s">
        <v>1629</v>
      </c>
      <c r="J242" s="2" t="s">
        <v>1052</v>
      </c>
      <c r="K242" s="2" t="s">
        <v>870</v>
      </c>
      <c r="L242" s="3">
        <v>46.53</v>
      </c>
      <c r="M242" s="3">
        <v>48.86</v>
      </c>
      <c r="N242" s="3">
        <v>89.99</v>
      </c>
      <c r="O242" s="2" t="s">
        <v>230</v>
      </c>
      <c r="P242" s="2" t="s">
        <v>231</v>
      </c>
      <c r="Q242" s="2" t="s">
        <v>232</v>
      </c>
      <c r="R242" s="2" t="s">
        <v>233</v>
      </c>
      <c r="S242" s="2" t="s">
        <v>1666</v>
      </c>
      <c r="T242" s="2" t="s">
        <v>348</v>
      </c>
      <c r="U242" s="2" t="s">
        <v>608</v>
      </c>
      <c r="V242" s="2" t="s">
        <v>236</v>
      </c>
      <c r="W242" s="2" t="s">
        <v>1631</v>
      </c>
      <c r="X242" s="2" t="s">
        <v>1632</v>
      </c>
      <c r="Y242" s="2" t="s">
        <v>1694</v>
      </c>
      <c r="Z242" s="4">
        <v>137</v>
      </c>
      <c r="AA242" s="4">
        <f>=ROUNDDOWN(68.5,0)</f>
      </c>
      <c r="AB242" s="5">
        <v>2</v>
      </c>
      <c r="AC242" s="2" t="s">
        <v>145</v>
      </c>
      <c r="AD242" s="4">
        <v>65</v>
      </c>
      <c r="AE242" s="4">
        <v>65</v>
      </c>
      <c r="AF242" s="6">
        <v>66</v>
      </c>
      <c r="AG242" s="6"/>
      <c r="AH242" s="7">
        <v>1</v>
      </c>
      <c r="AI242" s="4"/>
      <c r="AJ242" s="4">
        <f>=ROUNDDOWN({0},0)</f>
      </c>
      <c r="AK242" s="5"/>
      <c r="AL242" s="2" t="s">
        <v>233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233</v>
      </c>
      <c r="AW242" s="8" t="s">
        <v>233</v>
      </c>
      <c r="AX242" s="4" t="s">
        <v>233</v>
      </c>
      <c r="AY242" s="8" t="s">
        <v>233</v>
      </c>
      <c r="AZ242" s="7" t="s">
        <v>233</v>
      </c>
      <c r="BA242" s="7" t="s">
        <v>233</v>
      </c>
      <c r="BB242" s="7"/>
      <c r="BC242" s="4" t="s">
        <v>233</v>
      </c>
      <c r="BD242" s="8" t="s">
        <v>233</v>
      </c>
      <c r="BE242" s="4" t="s">
        <v>233</v>
      </c>
      <c r="BF242" s="8" t="s">
        <v>233</v>
      </c>
      <c r="BG242" s="7" t="s">
        <v>233</v>
      </c>
      <c r="BH242" s="7" t="s">
        <v>233</v>
      </c>
      <c r="BI242" s="7"/>
      <c r="BJ242" s="4">
        <v>6</v>
      </c>
      <c r="BK242" s="8">
        <v>303.56</v>
      </c>
      <c r="BL242" s="2" t="s">
        <v>1695</v>
      </c>
      <c r="BM242" s="7"/>
      <c r="BN242" s="7"/>
      <c r="BO242" s="4"/>
      <c r="BP242" s="8"/>
      <c r="BQ242" s="4"/>
      <c r="BR242" s="8"/>
      <c r="BS242" s="7"/>
      <c r="BT242" s="7"/>
      <c r="BU242" s="2" t="s">
        <v>1635</v>
      </c>
      <c r="BV242" s="2" t="s">
        <v>233</v>
      </c>
      <c r="BW242" s="2" t="s">
        <v>233</v>
      </c>
      <c r="BX242" s="2" t="s">
        <v>293</v>
      </c>
      <c r="BY242" s="2" t="s">
        <v>242</v>
      </c>
      <c r="BZ242" s="2" t="s">
        <v>230</v>
      </c>
      <c r="CA242" s="2" t="s">
        <v>1696</v>
      </c>
      <c r="CB242" s="2" t="s">
        <v>1697</v>
      </c>
      <c r="CC242" s="2" t="s">
        <v>245</v>
      </c>
      <c r="CD242" s="2" t="s">
        <v>233</v>
      </c>
      <c r="CE242" s="4">
        <v>137</v>
      </c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>
        <v>65</v>
      </c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>
        <v>137</v>
      </c>
      <c r="GD242" s="4">
        <v>130</v>
      </c>
      <c r="GE242" s="4">
        <v>125</v>
      </c>
      <c r="GF242" s="4">
        <v>185</v>
      </c>
      <c r="GG242" s="4">
        <v>180</v>
      </c>
      <c r="GH242" s="4">
        <v>175</v>
      </c>
      <c r="GI242" s="4">
        <v>170</v>
      </c>
      <c r="GJ242" s="4">
        <v>165</v>
      </c>
      <c r="GK242" s="4">
        <v>160</v>
      </c>
      <c r="GL242" s="4">
        <v>158</v>
      </c>
      <c r="GM242" s="4">
        <v>156</v>
      </c>
      <c r="GN242" s="4">
        <v>154</v>
      </c>
      <c r="GO242" s="4">
        <v>152</v>
      </c>
      <c r="GP242" s="4">
        <v>150</v>
      </c>
      <c r="GQ242" s="4">
        <v>148</v>
      </c>
      <c r="GR242" s="4">
        <v>146</v>
      </c>
      <c r="GS242" s="4">
        <v>144</v>
      </c>
      <c r="GT242" s="4">
        <v>142</v>
      </c>
      <c r="GU242" s="4">
        <v>140</v>
      </c>
      <c r="GV242" s="4">
        <v>138</v>
      </c>
      <c r="GW242" s="4">
        <v>136</v>
      </c>
      <c r="GX242" s="4">
        <v>134</v>
      </c>
      <c r="GY242" s="4">
        <v>132</v>
      </c>
      <c r="GZ242" s="4">
        <v>130</v>
      </c>
      <c r="HA242" s="4">
        <v>128</v>
      </c>
      <c r="HB242" s="4">
        <v>126</v>
      </c>
      <c r="HC242" s="19">
        <v>22.8</v>
      </c>
      <c r="HD242" s="19">
        <v>26</v>
      </c>
      <c r="HE242" s="19">
        <v>25</v>
      </c>
      <c r="HF242" s="19">
        <v>37</v>
      </c>
      <c r="HG242" s="19">
        <v>36</v>
      </c>
      <c r="HH242" s="19">
        <v>43.8</v>
      </c>
      <c r="HI242" s="19">
        <v>42.5</v>
      </c>
      <c r="HJ242" s="19">
        <v>55</v>
      </c>
      <c r="HK242" s="19">
        <v>80</v>
      </c>
      <c r="HL242" s="19">
        <v>79</v>
      </c>
      <c r="HM242" s="19">
        <v>78</v>
      </c>
      <c r="HN242" s="19">
        <v>77</v>
      </c>
      <c r="HO242" s="19">
        <v>76</v>
      </c>
      <c r="HP242" s="19">
        <v>75</v>
      </c>
      <c r="HQ242" s="19">
        <v>74</v>
      </c>
      <c r="HR242" s="19">
        <v>73</v>
      </c>
      <c r="HS242" s="19">
        <v>72</v>
      </c>
      <c r="HT242" s="19">
        <v>71</v>
      </c>
      <c r="HU242" s="19">
        <v>70</v>
      </c>
      <c r="HV242" s="19">
        <v>69</v>
      </c>
      <c r="HW242" s="19">
        <v>68</v>
      </c>
      <c r="HX242" s="19">
        <v>67</v>
      </c>
      <c r="HY242" s="19">
        <v>66</v>
      </c>
      <c r="HZ242" s="19">
        <v>65</v>
      </c>
      <c r="IA242" s="19">
        <v>64</v>
      </c>
      <c r="IB242" s="19">
        <v>63</v>
      </c>
    </row>
    <row r="243">
      <c r="A243" s="2" t="s">
        <v>1698</v>
      </c>
      <c r="B243" s="2" t="s">
        <v>825</v>
      </c>
      <c r="C243" s="2" t="s">
        <v>1625</v>
      </c>
      <c r="D243" s="2" t="s">
        <v>774</v>
      </c>
      <c r="E243" s="2" t="s">
        <v>827</v>
      </c>
      <c r="F243" s="2" t="s">
        <v>1626</v>
      </c>
      <c r="G243" s="2" t="s">
        <v>1627</v>
      </c>
      <c r="H243" s="2" t="s">
        <v>1628</v>
      </c>
      <c r="I243" s="2" t="s">
        <v>1629</v>
      </c>
      <c r="J243" s="2" t="s">
        <v>265</v>
      </c>
      <c r="K243" s="2" t="s">
        <v>870</v>
      </c>
      <c r="L243" s="3">
        <v>63</v>
      </c>
      <c r="M243" s="3">
        <v>66.15</v>
      </c>
      <c r="N243" s="3">
        <v>119.99</v>
      </c>
      <c r="O243" s="2" t="s">
        <v>230</v>
      </c>
      <c r="P243" s="2" t="s">
        <v>231</v>
      </c>
      <c r="Q243" s="2" t="s">
        <v>232</v>
      </c>
      <c r="R243" s="2" t="s">
        <v>233</v>
      </c>
      <c r="S243" s="2" t="s">
        <v>1666</v>
      </c>
      <c r="T243" s="2" t="s">
        <v>348</v>
      </c>
      <c r="U243" s="2" t="s">
        <v>635</v>
      </c>
      <c r="V243" s="2" t="s">
        <v>236</v>
      </c>
      <c r="W243" s="2" t="s">
        <v>1631</v>
      </c>
      <c r="X243" s="2" t="s">
        <v>1632</v>
      </c>
      <c r="Y243" s="2" t="s">
        <v>621</v>
      </c>
      <c r="Z243" s="4">
        <v>114</v>
      </c>
      <c r="AA243" s="4">
        <f>=ROUNDDOWN(38,0)</f>
      </c>
      <c r="AB243" s="5">
        <v>3</v>
      </c>
      <c r="AC243" s="2" t="s">
        <v>145</v>
      </c>
      <c r="AD243" s="4">
        <v>45</v>
      </c>
      <c r="AE243" s="4">
        <v>45</v>
      </c>
      <c r="AF243" s="6">
        <v>66</v>
      </c>
      <c r="AG243" s="6"/>
      <c r="AH243" s="7">
        <v>1</v>
      </c>
      <c r="AI243" s="4"/>
      <c r="AJ243" s="4">
        <f>=ROUNDDOWN({0},0)</f>
      </c>
      <c r="AK243" s="5"/>
      <c r="AL243" s="2" t="s">
        <v>233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233</v>
      </c>
      <c r="AW243" s="8" t="s">
        <v>233</v>
      </c>
      <c r="AX243" s="4" t="s">
        <v>233</v>
      </c>
      <c r="AY243" s="8" t="s">
        <v>233</v>
      </c>
      <c r="AZ243" s="7" t="s">
        <v>233</v>
      </c>
      <c r="BA243" s="7" t="s">
        <v>233</v>
      </c>
      <c r="BB243" s="7"/>
      <c r="BC243" s="4" t="s">
        <v>233</v>
      </c>
      <c r="BD243" s="8" t="s">
        <v>233</v>
      </c>
      <c r="BE243" s="4" t="s">
        <v>233</v>
      </c>
      <c r="BF243" s="8" t="s">
        <v>233</v>
      </c>
      <c r="BG243" s="7" t="s">
        <v>233</v>
      </c>
      <c r="BH243" s="7" t="s">
        <v>233</v>
      </c>
      <c r="BI243" s="7"/>
      <c r="BJ243" s="4">
        <v>7</v>
      </c>
      <c r="BK243" s="8">
        <v>478.16</v>
      </c>
      <c r="BL243" s="2" t="s">
        <v>1699</v>
      </c>
      <c r="BM243" s="7"/>
      <c r="BN243" s="7"/>
      <c r="BO243" s="4"/>
      <c r="BP243" s="8"/>
      <c r="BQ243" s="4"/>
      <c r="BR243" s="8"/>
      <c r="BS243" s="7"/>
      <c r="BT243" s="7"/>
      <c r="BU243" s="2" t="s">
        <v>1635</v>
      </c>
      <c r="BV243" s="2" t="s">
        <v>233</v>
      </c>
      <c r="BW243" s="2" t="s">
        <v>233</v>
      </c>
      <c r="BX243" s="2" t="s">
        <v>293</v>
      </c>
      <c r="BY243" s="2" t="s">
        <v>242</v>
      </c>
      <c r="BZ243" s="2" t="s">
        <v>230</v>
      </c>
      <c r="CA243" s="2" t="s">
        <v>1650</v>
      </c>
      <c r="CB243" s="2" t="s">
        <v>1700</v>
      </c>
      <c r="CC243" s="2" t="s">
        <v>245</v>
      </c>
      <c r="CD243" s="2" t="s">
        <v>233</v>
      </c>
      <c r="CE243" s="4">
        <v>114</v>
      </c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>
        <v>45</v>
      </c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>
        <v>119</v>
      </c>
      <c r="GD243" s="4">
        <v>105</v>
      </c>
      <c r="GE243" s="4">
        <v>100</v>
      </c>
      <c r="GF243" s="4">
        <v>140</v>
      </c>
      <c r="GG243" s="4">
        <v>135</v>
      </c>
      <c r="GH243" s="4">
        <v>130</v>
      </c>
      <c r="GI243" s="4">
        <v>125</v>
      </c>
      <c r="GJ243" s="4">
        <v>120</v>
      </c>
      <c r="GK243" s="4">
        <v>115</v>
      </c>
      <c r="GL243" s="4">
        <v>112</v>
      </c>
      <c r="GM243" s="4">
        <v>109</v>
      </c>
      <c r="GN243" s="4">
        <v>106</v>
      </c>
      <c r="GO243" s="4">
        <v>103</v>
      </c>
      <c r="GP243" s="4">
        <v>100</v>
      </c>
      <c r="GQ243" s="4">
        <v>97</v>
      </c>
      <c r="GR243" s="4">
        <v>94</v>
      </c>
      <c r="GS243" s="4">
        <v>91</v>
      </c>
      <c r="GT243" s="4">
        <v>88</v>
      </c>
      <c r="GU243" s="4">
        <v>85</v>
      </c>
      <c r="GV243" s="4">
        <v>82</v>
      </c>
      <c r="GW243" s="4">
        <v>79</v>
      </c>
      <c r="GX243" s="4">
        <v>76</v>
      </c>
      <c r="GY243" s="4">
        <v>73</v>
      </c>
      <c r="GZ243" s="4">
        <v>70</v>
      </c>
      <c r="HA243" s="4">
        <v>67</v>
      </c>
      <c r="HB243" s="4">
        <v>64</v>
      </c>
      <c r="HC243" s="19">
        <v>17</v>
      </c>
      <c r="HD243" s="19">
        <v>21</v>
      </c>
      <c r="HE243" s="19">
        <v>20</v>
      </c>
      <c r="HF243" s="19">
        <v>28</v>
      </c>
      <c r="HG243" s="19">
        <v>27</v>
      </c>
      <c r="HH243" s="19">
        <v>32.5</v>
      </c>
      <c r="HI243" s="19">
        <v>31.3</v>
      </c>
      <c r="HJ243" s="19">
        <v>30</v>
      </c>
      <c r="HK243" s="19">
        <v>38.3</v>
      </c>
      <c r="HL243" s="19">
        <v>37.3</v>
      </c>
      <c r="HM243" s="19">
        <v>36.3</v>
      </c>
      <c r="HN243" s="19">
        <v>35.3</v>
      </c>
      <c r="HO243" s="19">
        <v>34.3</v>
      </c>
      <c r="HP243" s="19">
        <v>33.3</v>
      </c>
      <c r="HQ243" s="19">
        <v>32.3</v>
      </c>
      <c r="HR243" s="19">
        <v>31.3</v>
      </c>
      <c r="HS243" s="19">
        <v>30.3</v>
      </c>
      <c r="HT243" s="19">
        <v>29.3</v>
      </c>
      <c r="HU243" s="19">
        <v>28.3</v>
      </c>
      <c r="HV243" s="19">
        <v>27.3</v>
      </c>
      <c r="HW243" s="19">
        <v>26.3</v>
      </c>
      <c r="HX243" s="19">
        <v>25.3</v>
      </c>
      <c r="HY243" s="19">
        <v>24.3</v>
      </c>
      <c r="HZ243" s="19">
        <v>23.3</v>
      </c>
      <c r="IA243" s="19">
        <v>22.3</v>
      </c>
      <c r="IB243" s="19">
        <v>21.3</v>
      </c>
    </row>
    <row r="244">
      <c r="A244" s="2" t="s">
        <v>1701</v>
      </c>
      <c r="B244" s="2" t="s">
        <v>825</v>
      </c>
      <c r="C244" s="2" t="s">
        <v>1625</v>
      </c>
      <c r="D244" s="2" t="s">
        <v>261</v>
      </c>
      <c r="E244" s="2" t="s">
        <v>603</v>
      </c>
      <c r="F244" s="2" t="s">
        <v>1626</v>
      </c>
      <c r="G244" s="2" t="s">
        <v>1627</v>
      </c>
      <c r="H244" s="2" t="s">
        <v>1628</v>
      </c>
      <c r="I244" s="2" t="s">
        <v>1639</v>
      </c>
      <c r="J244" s="2" t="s">
        <v>275</v>
      </c>
      <c r="K244" s="2" t="s">
        <v>870</v>
      </c>
      <c r="L244" s="3">
        <v>75.6</v>
      </c>
      <c r="M244" s="3">
        <v>79.38</v>
      </c>
      <c r="N244" s="3">
        <v>159.99</v>
      </c>
      <c r="O244" s="2" t="s">
        <v>230</v>
      </c>
      <c r="P244" s="2" t="s">
        <v>231</v>
      </c>
      <c r="Q244" s="2" t="s">
        <v>232</v>
      </c>
      <c r="R244" s="2" t="s">
        <v>233</v>
      </c>
      <c r="S244" s="2" t="s">
        <v>1666</v>
      </c>
      <c r="T244" s="2" t="s">
        <v>348</v>
      </c>
      <c r="U244" s="2" t="s">
        <v>635</v>
      </c>
      <c r="V244" s="2" t="s">
        <v>236</v>
      </c>
      <c r="W244" s="2" t="s">
        <v>1631</v>
      </c>
      <c r="X244" s="2" t="s">
        <v>1632</v>
      </c>
      <c r="Y244" s="2" t="s">
        <v>621</v>
      </c>
      <c r="Z244" s="4">
        <v>185</v>
      </c>
      <c r="AA244" s="4">
        <f>=ROUNDDOWN(61.6666666666667,0)</f>
      </c>
      <c r="AB244" s="5">
        <v>3</v>
      </c>
      <c r="AC244" s="2" t="s">
        <v>233</v>
      </c>
      <c r="AD244" s="4"/>
      <c r="AE244" s="4"/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233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233</v>
      </c>
      <c r="AW244" s="8" t="s">
        <v>233</v>
      </c>
      <c r="AX244" s="4" t="s">
        <v>233</v>
      </c>
      <c r="AY244" s="8" t="s">
        <v>233</v>
      </c>
      <c r="AZ244" s="7" t="s">
        <v>233</v>
      </c>
      <c r="BA244" s="7" t="s">
        <v>233</v>
      </c>
      <c r="BB244" s="7" t="s">
        <v>233</v>
      </c>
      <c r="BC244" s="4" t="s">
        <v>233</v>
      </c>
      <c r="BD244" s="8" t="s">
        <v>233</v>
      </c>
      <c r="BE244" s="4" t="s">
        <v>233</v>
      </c>
      <c r="BF244" s="8" t="s">
        <v>233</v>
      </c>
      <c r="BG244" s="7" t="s">
        <v>233</v>
      </c>
      <c r="BH244" s="7" t="s">
        <v>233</v>
      </c>
      <c r="BI244" s="7"/>
      <c r="BJ244" s="4">
        <v>8</v>
      </c>
      <c r="BK244" s="8">
        <v>718.98</v>
      </c>
      <c r="BL244" s="2" t="s">
        <v>1702</v>
      </c>
      <c r="BM244" s="7"/>
      <c r="BN244" s="7"/>
      <c r="BO244" s="4"/>
      <c r="BP244" s="8"/>
      <c r="BQ244" s="4"/>
      <c r="BR244" s="8"/>
      <c r="BS244" s="7"/>
      <c r="BT244" s="7"/>
      <c r="BU244" s="2" t="s">
        <v>1641</v>
      </c>
      <c r="BV244" s="2" t="s">
        <v>233</v>
      </c>
      <c r="BW244" s="2" t="s">
        <v>233</v>
      </c>
      <c r="BX244" s="2" t="s">
        <v>293</v>
      </c>
      <c r="BY244" s="2" t="s">
        <v>242</v>
      </c>
      <c r="BZ244" s="2" t="s">
        <v>230</v>
      </c>
      <c r="CA244" s="2" t="s">
        <v>621</v>
      </c>
      <c r="CB244" s="2" t="s">
        <v>966</v>
      </c>
      <c r="CC244" s="2" t="s">
        <v>245</v>
      </c>
      <c r="CD244" s="2" t="s">
        <v>233</v>
      </c>
      <c r="CE244" s="4">
        <v>185</v>
      </c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>
        <v>185</v>
      </c>
      <c r="GD244" s="4">
        <v>166</v>
      </c>
      <c r="GE244" s="4">
        <v>162</v>
      </c>
      <c r="GF244" s="4">
        <v>158</v>
      </c>
      <c r="GG244" s="4">
        <v>154</v>
      </c>
      <c r="GH244" s="4">
        <v>150</v>
      </c>
      <c r="GI244" s="4">
        <v>146</v>
      </c>
      <c r="GJ244" s="4">
        <v>142</v>
      </c>
      <c r="GK244" s="4">
        <v>138</v>
      </c>
      <c r="GL244" s="4">
        <v>135</v>
      </c>
      <c r="GM244" s="4">
        <v>132</v>
      </c>
      <c r="GN244" s="4">
        <v>129</v>
      </c>
      <c r="GO244" s="4">
        <v>126</v>
      </c>
      <c r="GP244" s="4">
        <v>123</v>
      </c>
      <c r="GQ244" s="4">
        <v>120</v>
      </c>
      <c r="GR244" s="4">
        <v>117</v>
      </c>
      <c r="GS244" s="4">
        <v>114</v>
      </c>
      <c r="GT244" s="4">
        <v>111</v>
      </c>
      <c r="GU244" s="4">
        <v>108</v>
      </c>
      <c r="GV244" s="4">
        <v>105</v>
      </c>
      <c r="GW244" s="4">
        <v>102</v>
      </c>
      <c r="GX244" s="4">
        <v>99</v>
      </c>
      <c r="GY244" s="4">
        <v>96</v>
      </c>
      <c r="GZ244" s="4">
        <v>93</v>
      </c>
      <c r="HA244" s="4">
        <v>90</v>
      </c>
      <c r="HB244" s="4">
        <v>87</v>
      </c>
      <c r="HC244" s="19">
        <v>23.1</v>
      </c>
      <c r="HD244" s="19">
        <v>41.5</v>
      </c>
      <c r="HE244" s="19">
        <v>40.5</v>
      </c>
      <c r="HF244" s="19">
        <v>39.5</v>
      </c>
      <c r="HG244" s="19">
        <v>38.5</v>
      </c>
      <c r="HH244" s="19">
        <v>37.5</v>
      </c>
      <c r="HI244" s="19">
        <v>36.5</v>
      </c>
      <c r="HJ244" s="19">
        <v>47.3</v>
      </c>
      <c r="HK244" s="19">
        <v>46</v>
      </c>
      <c r="HL244" s="19">
        <v>45</v>
      </c>
      <c r="HM244" s="19">
        <v>44</v>
      </c>
      <c r="HN244" s="19">
        <v>43</v>
      </c>
      <c r="HO244" s="19">
        <v>42</v>
      </c>
      <c r="HP244" s="19">
        <v>41</v>
      </c>
      <c r="HQ244" s="19">
        <v>40</v>
      </c>
      <c r="HR244" s="19">
        <v>39</v>
      </c>
      <c r="HS244" s="19">
        <v>38</v>
      </c>
      <c r="HT244" s="19">
        <v>37</v>
      </c>
      <c r="HU244" s="19">
        <v>36</v>
      </c>
      <c r="HV244" s="19">
        <v>35</v>
      </c>
      <c r="HW244" s="19">
        <v>34</v>
      </c>
      <c r="HX244" s="19">
        <v>33</v>
      </c>
      <c r="HY244" s="19">
        <v>32</v>
      </c>
      <c r="HZ244" s="19">
        <v>31</v>
      </c>
      <c r="IA244" s="19">
        <v>30</v>
      </c>
      <c r="IB244" s="19">
        <v>29</v>
      </c>
    </row>
    <row r="245">
      <c r="A245" s="2" t="s">
        <v>1703</v>
      </c>
      <c r="B245" s="2" t="s">
        <v>825</v>
      </c>
      <c r="C245" s="2" t="s">
        <v>1625</v>
      </c>
      <c r="D245" s="2" t="s">
        <v>774</v>
      </c>
      <c r="E245" s="2" t="s">
        <v>827</v>
      </c>
      <c r="F245" s="2" t="s">
        <v>1626</v>
      </c>
      <c r="G245" s="2" t="s">
        <v>1627</v>
      </c>
      <c r="H245" s="2" t="s">
        <v>1628</v>
      </c>
      <c r="I245" s="2" t="s">
        <v>1629</v>
      </c>
      <c r="J245" s="2" t="s">
        <v>275</v>
      </c>
      <c r="K245" s="2" t="s">
        <v>870</v>
      </c>
      <c r="L245" s="3">
        <v>72</v>
      </c>
      <c r="M245" s="3">
        <v>75.6</v>
      </c>
      <c r="N245" s="3">
        <v>139.99</v>
      </c>
      <c r="O245" s="2" t="s">
        <v>230</v>
      </c>
      <c r="P245" s="2" t="s">
        <v>231</v>
      </c>
      <c r="Q245" s="2" t="s">
        <v>232</v>
      </c>
      <c r="R245" s="2" t="s">
        <v>233</v>
      </c>
      <c r="S245" s="2" t="s">
        <v>1666</v>
      </c>
      <c r="T245" s="2" t="s">
        <v>348</v>
      </c>
      <c r="U245" s="2" t="s">
        <v>635</v>
      </c>
      <c r="V245" s="2" t="s">
        <v>236</v>
      </c>
      <c r="W245" s="2" t="s">
        <v>1631</v>
      </c>
      <c r="X245" s="2" t="s">
        <v>1632</v>
      </c>
      <c r="Y245" s="2" t="s">
        <v>621</v>
      </c>
      <c r="Z245" s="4">
        <v>52</v>
      </c>
      <c r="AA245" s="4">
        <f>=ROUNDDOWN(26,0)</f>
      </c>
      <c r="AB245" s="5">
        <v>2</v>
      </c>
      <c r="AC245" s="2" t="s">
        <v>145</v>
      </c>
      <c r="AD245" s="4">
        <v>65</v>
      </c>
      <c r="AE245" s="4">
        <v>65</v>
      </c>
      <c r="AF245" s="6">
        <v>66</v>
      </c>
      <c r="AG245" s="6"/>
      <c r="AH245" s="7">
        <v>1</v>
      </c>
      <c r="AI245" s="4"/>
      <c r="AJ245" s="4">
        <f>=ROUNDDOWN({0},0)</f>
      </c>
      <c r="AK245" s="5"/>
      <c r="AL245" s="2" t="s">
        <v>233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233</v>
      </c>
      <c r="AW245" s="8" t="s">
        <v>233</v>
      </c>
      <c r="AX245" s="4" t="s">
        <v>233</v>
      </c>
      <c r="AY245" s="8" t="s">
        <v>233</v>
      </c>
      <c r="AZ245" s="7" t="s">
        <v>233</v>
      </c>
      <c r="BA245" s="7" t="s">
        <v>233</v>
      </c>
      <c r="BB245" s="7" t="s">
        <v>233</v>
      </c>
      <c r="BC245" s="4" t="s">
        <v>233</v>
      </c>
      <c r="BD245" s="8" t="s">
        <v>233</v>
      </c>
      <c r="BE245" s="4" t="s">
        <v>233</v>
      </c>
      <c r="BF245" s="8" t="s">
        <v>233</v>
      </c>
      <c r="BG245" s="7" t="s">
        <v>233</v>
      </c>
      <c r="BH245" s="7" t="s">
        <v>233</v>
      </c>
      <c r="BI245" s="7"/>
      <c r="BJ245" s="4">
        <v>6</v>
      </c>
      <c r="BK245" s="8">
        <v>477.57</v>
      </c>
      <c r="BL245" s="2" t="s">
        <v>1704</v>
      </c>
      <c r="BM245" s="7"/>
      <c r="BN245" s="7"/>
      <c r="BO245" s="4"/>
      <c r="BP245" s="8"/>
      <c r="BQ245" s="4"/>
      <c r="BR245" s="8"/>
      <c r="BS245" s="7"/>
      <c r="BT245" s="7"/>
      <c r="BU245" s="2" t="s">
        <v>1635</v>
      </c>
      <c r="BV245" s="2" t="s">
        <v>233</v>
      </c>
      <c r="BW245" s="2" t="s">
        <v>233</v>
      </c>
      <c r="BX245" s="2" t="s">
        <v>293</v>
      </c>
      <c r="BY245" s="2" t="s">
        <v>242</v>
      </c>
      <c r="BZ245" s="2" t="s">
        <v>230</v>
      </c>
      <c r="CA245" s="2" t="s">
        <v>332</v>
      </c>
      <c r="CB245" s="2" t="s">
        <v>734</v>
      </c>
      <c r="CC245" s="2" t="s">
        <v>245</v>
      </c>
      <c r="CD245" s="2" t="s">
        <v>233</v>
      </c>
      <c r="CE245" s="4">
        <v>52</v>
      </c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>
        <v>65</v>
      </c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>
        <v>55</v>
      </c>
      <c r="GD245" s="4">
        <v>42</v>
      </c>
      <c r="GE245" s="4">
        <v>39</v>
      </c>
      <c r="GF245" s="4">
        <v>101</v>
      </c>
      <c r="GG245" s="4">
        <v>98</v>
      </c>
      <c r="GH245" s="4">
        <v>95</v>
      </c>
      <c r="GI245" s="4">
        <v>92</v>
      </c>
      <c r="GJ245" s="4">
        <v>89</v>
      </c>
      <c r="GK245" s="4">
        <v>86</v>
      </c>
      <c r="GL245" s="4">
        <v>84</v>
      </c>
      <c r="GM245" s="4">
        <v>82</v>
      </c>
      <c r="GN245" s="4">
        <v>80</v>
      </c>
      <c r="GO245" s="4">
        <v>78</v>
      </c>
      <c r="GP245" s="4">
        <v>76</v>
      </c>
      <c r="GQ245" s="4">
        <v>74</v>
      </c>
      <c r="GR245" s="4">
        <v>72</v>
      </c>
      <c r="GS245" s="4">
        <v>70</v>
      </c>
      <c r="GT245" s="4">
        <v>68</v>
      </c>
      <c r="GU245" s="4">
        <v>66</v>
      </c>
      <c r="GV245" s="4">
        <v>64</v>
      </c>
      <c r="GW245" s="4">
        <v>62</v>
      </c>
      <c r="GX245" s="4">
        <v>60</v>
      </c>
      <c r="GY245" s="4">
        <v>58</v>
      </c>
      <c r="GZ245" s="4">
        <v>56</v>
      </c>
      <c r="HA245" s="4">
        <v>54</v>
      </c>
      <c r="HB245" s="4">
        <v>52</v>
      </c>
      <c r="HC245" s="19">
        <v>9.2</v>
      </c>
      <c r="HD245" s="19">
        <v>14</v>
      </c>
      <c r="HE245" s="19">
        <v>13</v>
      </c>
      <c r="HF245" s="19">
        <v>33.7</v>
      </c>
      <c r="HG245" s="19">
        <v>32.7</v>
      </c>
      <c r="HH245" s="19">
        <v>31.7</v>
      </c>
      <c r="HI245" s="19">
        <v>46</v>
      </c>
      <c r="HJ245" s="19">
        <v>44.5</v>
      </c>
      <c r="HK245" s="19">
        <v>43</v>
      </c>
      <c r="HL245" s="19">
        <v>42</v>
      </c>
      <c r="HM245" s="19">
        <v>41</v>
      </c>
      <c r="HN245" s="19">
        <v>40</v>
      </c>
      <c r="HO245" s="19">
        <v>39</v>
      </c>
      <c r="HP245" s="19">
        <v>38</v>
      </c>
      <c r="HQ245" s="19">
        <v>37</v>
      </c>
      <c r="HR245" s="19">
        <v>36</v>
      </c>
      <c r="HS245" s="19">
        <v>35</v>
      </c>
      <c r="HT245" s="19">
        <v>34</v>
      </c>
      <c r="HU245" s="19">
        <v>33</v>
      </c>
      <c r="HV245" s="19">
        <v>32</v>
      </c>
      <c r="HW245" s="19">
        <v>31</v>
      </c>
      <c r="HX245" s="19">
        <v>30</v>
      </c>
      <c r="HY245" s="19">
        <v>29</v>
      </c>
      <c r="HZ245" s="19">
        <v>28</v>
      </c>
      <c r="IA245" s="19">
        <v>27</v>
      </c>
      <c r="IB245" s="19">
        <v>26</v>
      </c>
    </row>
    <row r="246">
      <c r="A246" s="2" t="s">
        <v>1705</v>
      </c>
      <c r="B246" s="2" t="s">
        <v>825</v>
      </c>
      <c r="C246" s="2" t="s">
        <v>1625</v>
      </c>
      <c r="D246" s="2" t="s">
        <v>774</v>
      </c>
      <c r="E246" s="2" t="s">
        <v>827</v>
      </c>
      <c r="F246" s="2" t="s">
        <v>1626</v>
      </c>
      <c r="G246" s="2" t="s">
        <v>1627</v>
      </c>
      <c r="H246" s="2" t="s">
        <v>1628</v>
      </c>
      <c r="I246" s="2" t="s">
        <v>1629</v>
      </c>
      <c r="J246" s="2" t="s">
        <v>1052</v>
      </c>
      <c r="K246" s="2" t="s">
        <v>1706</v>
      </c>
      <c r="L246" s="3">
        <v>46.53</v>
      </c>
      <c r="M246" s="3">
        <v>48.86</v>
      </c>
      <c r="N246" s="3">
        <v>89.99</v>
      </c>
      <c r="O246" s="2" t="s">
        <v>230</v>
      </c>
      <c r="P246" s="2" t="s">
        <v>597</v>
      </c>
      <c r="Q246" s="2" t="s">
        <v>232</v>
      </c>
      <c r="R246" s="2" t="s">
        <v>233</v>
      </c>
      <c r="S246" s="2" t="s">
        <v>1707</v>
      </c>
      <c r="T246" s="2" t="s">
        <v>348</v>
      </c>
      <c r="U246" s="2" t="s">
        <v>608</v>
      </c>
      <c r="V246" s="2" t="s">
        <v>236</v>
      </c>
      <c r="W246" s="2" t="s">
        <v>1631</v>
      </c>
      <c r="X246" s="2" t="s">
        <v>1632</v>
      </c>
      <c r="Y246" s="2" t="s">
        <v>1673</v>
      </c>
      <c r="Z246" s="4">
        <v>366</v>
      </c>
      <c r="AA246" s="4">
        <f>=ROUNDDOWN(91.5,0)</f>
      </c>
      <c r="AB246" s="5">
        <v>4</v>
      </c>
      <c r="AC246" s="2" t="s">
        <v>233</v>
      </c>
      <c r="AD246" s="4"/>
      <c r="AE246" s="4"/>
      <c r="AF246" s="6">
        <v>66</v>
      </c>
      <c r="AG246" s="6">
        <v>49</v>
      </c>
      <c r="AH246" s="7">
        <v>1</v>
      </c>
      <c r="AI246" s="4"/>
      <c r="AJ246" s="4">
        <f>=ROUNDDOWN({0},0)</f>
      </c>
      <c r="AK246" s="5"/>
      <c r="AL246" s="2" t="s">
        <v>233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233</v>
      </c>
      <c r="AW246" s="8" t="s">
        <v>233</v>
      </c>
      <c r="AX246" s="4" t="s">
        <v>233</v>
      </c>
      <c r="AY246" s="8" t="s">
        <v>233</v>
      </c>
      <c r="AZ246" s="7" t="s">
        <v>233</v>
      </c>
      <c r="BA246" s="7" t="s">
        <v>233</v>
      </c>
      <c r="BB246" s="7"/>
      <c r="BC246" s="4" t="s">
        <v>233</v>
      </c>
      <c r="BD246" s="8" t="s">
        <v>233</v>
      </c>
      <c r="BE246" s="4" t="s">
        <v>233</v>
      </c>
      <c r="BF246" s="8" t="s">
        <v>233</v>
      </c>
      <c r="BG246" s="7" t="s">
        <v>233</v>
      </c>
      <c r="BH246" s="7" t="s">
        <v>233</v>
      </c>
      <c r="BI246" s="7"/>
      <c r="BJ246" s="4">
        <v>11</v>
      </c>
      <c r="BK246" s="8">
        <v>507.4</v>
      </c>
      <c r="BL246" s="2" t="s">
        <v>1658</v>
      </c>
      <c r="BM246" s="7"/>
      <c r="BN246" s="7"/>
      <c r="BO246" s="4"/>
      <c r="BP246" s="8"/>
      <c r="BQ246" s="4"/>
      <c r="BR246" s="8"/>
      <c r="BS246" s="7"/>
      <c r="BT246" s="7"/>
      <c r="BU246" s="2" t="s">
        <v>1635</v>
      </c>
      <c r="BV246" s="2" t="s">
        <v>233</v>
      </c>
      <c r="BW246" s="2" t="s">
        <v>233</v>
      </c>
      <c r="BX246" s="2" t="s">
        <v>293</v>
      </c>
      <c r="BY246" s="2" t="s">
        <v>242</v>
      </c>
      <c r="BZ246" s="2" t="s">
        <v>230</v>
      </c>
      <c r="CA246" s="2" t="s">
        <v>487</v>
      </c>
      <c r="CB246" s="2" t="s">
        <v>1708</v>
      </c>
      <c r="CC246" s="2" t="s">
        <v>245</v>
      </c>
      <c r="CD246" s="2" t="s">
        <v>233</v>
      </c>
      <c r="CE246" s="4">
        <v>241</v>
      </c>
      <c r="CF246" s="4"/>
      <c r="CG246" s="4"/>
      <c r="CH246" s="4">
        <v>125</v>
      </c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>
        <v>368</v>
      </c>
      <c r="GD246" s="4">
        <v>349</v>
      </c>
      <c r="GE246" s="4">
        <v>340</v>
      </c>
      <c r="GF246" s="4">
        <v>331</v>
      </c>
      <c r="GG246" s="4">
        <v>322</v>
      </c>
      <c r="GH246" s="4">
        <v>313</v>
      </c>
      <c r="GI246" s="4">
        <v>304</v>
      </c>
      <c r="GJ246" s="4">
        <v>295</v>
      </c>
      <c r="GK246" s="4">
        <v>286</v>
      </c>
      <c r="GL246" s="4">
        <v>282</v>
      </c>
      <c r="GM246" s="4">
        <v>278</v>
      </c>
      <c r="GN246" s="4">
        <v>274</v>
      </c>
      <c r="GO246" s="4">
        <v>270</v>
      </c>
      <c r="GP246" s="4">
        <v>266</v>
      </c>
      <c r="GQ246" s="4">
        <v>262</v>
      </c>
      <c r="GR246" s="4">
        <v>258</v>
      </c>
      <c r="GS246" s="4">
        <v>254</v>
      </c>
      <c r="GT246" s="4">
        <v>250</v>
      </c>
      <c r="GU246" s="4">
        <v>246</v>
      </c>
      <c r="GV246" s="4">
        <v>242</v>
      </c>
      <c r="GW246" s="4">
        <v>238</v>
      </c>
      <c r="GX246" s="4">
        <v>234</v>
      </c>
      <c r="GY246" s="4">
        <v>230</v>
      </c>
      <c r="GZ246" s="4">
        <v>226</v>
      </c>
      <c r="HA246" s="4">
        <v>222</v>
      </c>
      <c r="HB246" s="4">
        <v>218</v>
      </c>
      <c r="HC246" s="19">
        <v>30.9</v>
      </c>
      <c r="HD246" s="19">
        <v>39</v>
      </c>
      <c r="HE246" s="19">
        <v>38</v>
      </c>
      <c r="HF246" s="19">
        <v>37</v>
      </c>
      <c r="HG246" s="19">
        <v>36</v>
      </c>
      <c r="HH246" s="19">
        <v>47.4</v>
      </c>
      <c r="HI246" s="19">
        <v>51</v>
      </c>
      <c r="HJ246" s="19">
        <v>49.5</v>
      </c>
      <c r="HK246" s="19">
        <v>80.4</v>
      </c>
      <c r="HL246" s="19">
        <v>79.4</v>
      </c>
      <c r="HM246" s="19">
        <v>78.4</v>
      </c>
      <c r="HN246" s="19">
        <v>77.4</v>
      </c>
      <c r="HO246" s="19">
        <v>76.4</v>
      </c>
      <c r="HP246" s="19">
        <v>75.4</v>
      </c>
      <c r="HQ246" s="19">
        <v>74.4</v>
      </c>
      <c r="HR246" s="19">
        <v>73.4</v>
      </c>
      <c r="HS246" s="19">
        <v>72.4</v>
      </c>
      <c r="HT246" s="19">
        <v>71.4</v>
      </c>
      <c r="HU246" s="19">
        <v>70.4</v>
      </c>
      <c r="HV246" s="19">
        <v>69.4</v>
      </c>
      <c r="HW246" s="19">
        <v>68.4</v>
      </c>
      <c r="HX246" s="19">
        <v>67.4</v>
      </c>
      <c r="HY246" s="19">
        <v>66.4</v>
      </c>
      <c r="HZ246" s="19">
        <v>44.6</v>
      </c>
      <c r="IA246" s="19">
        <v>43.9</v>
      </c>
      <c r="IB246" s="19">
        <v>37.4</v>
      </c>
    </row>
    <row r="247">
      <c r="A247" s="2" t="s">
        <v>1709</v>
      </c>
      <c r="B247" s="2" t="s">
        <v>825</v>
      </c>
      <c r="C247" s="2" t="s">
        <v>1625</v>
      </c>
      <c r="D247" s="2" t="s">
        <v>774</v>
      </c>
      <c r="E247" s="2" t="s">
        <v>827</v>
      </c>
      <c r="F247" s="2" t="s">
        <v>1626</v>
      </c>
      <c r="G247" s="2" t="s">
        <v>1627</v>
      </c>
      <c r="H247" s="2" t="s">
        <v>1628</v>
      </c>
      <c r="I247" s="2" t="s">
        <v>1629</v>
      </c>
      <c r="J247" s="2" t="s">
        <v>265</v>
      </c>
      <c r="K247" s="2" t="s">
        <v>1706</v>
      </c>
      <c r="L247" s="3">
        <v>63</v>
      </c>
      <c r="M247" s="3">
        <v>66.15</v>
      </c>
      <c r="N247" s="3">
        <v>119.99</v>
      </c>
      <c r="O247" s="2" t="s">
        <v>230</v>
      </c>
      <c r="P247" s="2" t="s">
        <v>597</v>
      </c>
      <c r="Q247" s="2" t="s">
        <v>232</v>
      </c>
      <c r="R247" s="2" t="s">
        <v>233</v>
      </c>
      <c r="S247" s="2" t="s">
        <v>1707</v>
      </c>
      <c r="T247" s="2" t="s">
        <v>348</v>
      </c>
      <c r="U247" s="2" t="s">
        <v>635</v>
      </c>
      <c r="V247" s="2" t="s">
        <v>236</v>
      </c>
      <c r="W247" s="2" t="s">
        <v>1631</v>
      </c>
      <c r="X247" s="2" t="s">
        <v>1632</v>
      </c>
      <c r="Y247" s="2" t="s">
        <v>1673</v>
      </c>
      <c r="Z247" s="4">
        <v>253</v>
      </c>
      <c r="AA247" s="4">
        <f>=ROUNDDOWN(42.1666666666667,0)</f>
      </c>
      <c r="AB247" s="5">
        <v>6</v>
      </c>
      <c r="AC247" s="2" t="s">
        <v>233</v>
      </c>
      <c r="AD247" s="4"/>
      <c r="AE247" s="4"/>
      <c r="AF247" s="6">
        <v>66</v>
      </c>
      <c r="AG247" s="6">
        <v>49</v>
      </c>
      <c r="AH247" s="7">
        <v>1</v>
      </c>
      <c r="AI247" s="4"/>
      <c r="AJ247" s="4">
        <f>=ROUNDDOWN({0},0)</f>
      </c>
      <c r="AK247" s="5"/>
      <c r="AL247" s="2" t="s">
        <v>233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233</v>
      </c>
      <c r="AW247" s="8" t="s">
        <v>233</v>
      </c>
      <c r="AX247" s="4" t="s">
        <v>233</v>
      </c>
      <c r="AY247" s="8" t="s">
        <v>233</v>
      </c>
      <c r="AZ247" s="7" t="s">
        <v>233</v>
      </c>
      <c r="BA247" s="7" t="s">
        <v>233</v>
      </c>
      <c r="BB247" s="7"/>
      <c r="BC247" s="4" t="s">
        <v>233</v>
      </c>
      <c r="BD247" s="8" t="s">
        <v>233</v>
      </c>
      <c r="BE247" s="4" t="s">
        <v>233</v>
      </c>
      <c r="BF247" s="8" t="s">
        <v>233</v>
      </c>
      <c r="BG247" s="7" t="s">
        <v>233</v>
      </c>
      <c r="BH247" s="7" t="s">
        <v>233</v>
      </c>
      <c r="BI247" s="7"/>
      <c r="BJ247" s="4">
        <v>18</v>
      </c>
      <c r="BK247" s="8">
        <v>1146.54</v>
      </c>
      <c r="BL247" s="2" t="s">
        <v>1658</v>
      </c>
      <c r="BM247" s="7"/>
      <c r="BN247" s="7"/>
      <c r="BO247" s="4"/>
      <c r="BP247" s="8"/>
      <c r="BQ247" s="4"/>
      <c r="BR247" s="8"/>
      <c r="BS247" s="7"/>
      <c r="BT247" s="7"/>
      <c r="BU247" s="2" t="s">
        <v>1635</v>
      </c>
      <c r="BV247" s="2" t="s">
        <v>233</v>
      </c>
      <c r="BW247" s="2" t="s">
        <v>233</v>
      </c>
      <c r="BX247" s="2" t="s">
        <v>293</v>
      </c>
      <c r="BY247" s="2" t="s">
        <v>242</v>
      </c>
      <c r="BZ247" s="2" t="s">
        <v>230</v>
      </c>
      <c r="CA247" s="2" t="s">
        <v>487</v>
      </c>
      <c r="CB247" s="2" t="s">
        <v>1710</v>
      </c>
      <c r="CC247" s="2" t="s">
        <v>245</v>
      </c>
      <c r="CD247" s="2" t="s">
        <v>233</v>
      </c>
      <c r="CE247" s="4">
        <v>102</v>
      </c>
      <c r="CF247" s="4"/>
      <c r="CG247" s="4"/>
      <c r="CH247" s="4">
        <v>151</v>
      </c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>
        <v>262</v>
      </c>
      <c r="GD247" s="4">
        <v>244</v>
      </c>
      <c r="GE247" s="4">
        <v>233</v>
      </c>
      <c r="GF247" s="4">
        <v>222</v>
      </c>
      <c r="GG247" s="4">
        <v>211</v>
      </c>
      <c r="GH247" s="4">
        <v>200</v>
      </c>
      <c r="GI247" s="4">
        <v>188</v>
      </c>
      <c r="GJ247" s="4">
        <v>176</v>
      </c>
      <c r="GK247" s="4">
        <v>164</v>
      </c>
      <c r="GL247" s="4">
        <v>158</v>
      </c>
      <c r="GM247" s="4">
        <v>152</v>
      </c>
      <c r="GN247" s="4">
        <v>146</v>
      </c>
      <c r="GO247" s="4">
        <v>140</v>
      </c>
      <c r="GP247" s="4">
        <v>134</v>
      </c>
      <c r="GQ247" s="4">
        <v>128</v>
      </c>
      <c r="GR247" s="4">
        <v>122</v>
      </c>
      <c r="GS247" s="4">
        <v>116</v>
      </c>
      <c r="GT247" s="4">
        <v>110</v>
      </c>
      <c r="GU247" s="4">
        <v>104</v>
      </c>
      <c r="GV247" s="4">
        <v>98</v>
      </c>
      <c r="GW247" s="4">
        <v>93</v>
      </c>
      <c r="GX247" s="4">
        <v>89</v>
      </c>
      <c r="GY247" s="4">
        <v>85</v>
      </c>
      <c r="GZ247" s="4">
        <v>81</v>
      </c>
      <c r="HA247" s="4">
        <v>77</v>
      </c>
      <c r="HB247" s="4">
        <v>73</v>
      </c>
      <c r="HC247" s="19">
        <v>25.9</v>
      </c>
      <c r="HD247" s="19">
        <v>25.3</v>
      </c>
      <c r="HE247" s="19">
        <v>24.3</v>
      </c>
      <c r="HF247" s="19">
        <v>22.5</v>
      </c>
      <c r="HG247" s="19">
        <v>21.6</v>
      </c>
      <c r="HH247" s="19">
        <v>21.3</v>
      </c>
      <c r="HI247" s="19">
        <v>26.2</v>
      </c>
      <c r="HJ247" s="19">
        <v>35.9</v>
      </c>
      <c r="HK247" s="19">
        <v>35.3</v>
      </c>
      <c r="HL247" s="19">
        <v>34.3</v>
      </c>
      <c r="HM247" s="19">
        <v>33.3</v>
      </c>
      <c r="HN247" s="19">
        <v>32.3</v>
      </c>
      <c r="HO247" s="19">
        <v>31.3</v>
      </c>
      <c r="HP247" s="19">
        <v>30.3</v>
      </c>
      <c r="HQ247" s="19">
        <v>29.3</v>
      </c>
      <c r="HR247" s="19">
        <v>28.3</v>
      </c>
      <c r="HS247" s="19">
        <v>27.3</v>
      </c>
      <c r="HT247" s="19">
        <v>18.3</v>
      </c>
      <c r="HU247" s="19">
        <v>17.4</v>
      </c>
      <c r="HV247" s="19">
        <v>12.5</v>
      </c>
      <c r="HW247" s="19">
        <v>11.7</v>
      </c>
      <c r="HX247" s="19">
        <v>11.2</v>
      </c>
      <c r="HY247" s="19">
        <v>10.7</v>
      </c>
      <c r="HZ247" s="19">
        <v>10.2</v>
      </c>
      <c r="IA247" s="19">
        <v>9.7</v>
      </c>
      <c r="IB247" s="19">
        <v>9.2</v>
      </c>
    </row>
    <row r="248">
      <c r="A248" s="2" t="s">
        <v>1711</v>
      </c>
      <c r="B248" s="2" t="s">
        <v>825</v>
      </c>
      <c r="C248" s="2" t="s">
        <v>1625</v>
      </c>
      <c r="D248" s="2" t="s">
        <v>774</v>
      </c>
      <c r="E248" s="2" t="s">
        <v>827</v>
      </c>
      <c r="F248" s="2" t="s">
        <v>1626</v>
      </c>
      <c r="G248" s="2" t="s">
        <v>1627</v>
      </c>
      <c r="H248" s="2" t="s">
        <v>1628</v>
      </c>
      <c r="I248" s="2" t="s">
        <v>1629</v>
      </c>
      <c r="J248" s="2" t="s">
        <v>275</v>
      </c>
      <c r="K248" s="2" t="s">
        <v>1706</v>
      </c>
      <c r="L248" s="3">
        <v>72</v>
      </c>
      <c r="M248" s="3">
        <v>75.6</v>
      </c>
      <c r="N248" s="3">
        <v>139.99</v>
      </c>
      <c r="O248" s="2" t="s">
        <v>230</v>
      </c>
      <c r="P248" s="2" t="s">
        <v>597</v>
      </c>
      <c r="Q248" s="2" t="s">
        <v>232</v>
      </c>
      <c r="R248" s="2" t="s">
        <v>233</v>
      </c>
      <c r="S248" s="2" t="s">
        <v>1707</v>
      </c>
      <c r="T248" s="2" t="s">
        <v>348</v>
      </c>
      <c r="U248" s="2" t="s">
        <v>635</v>
      </c>
      <c r="V248" s="2" t="s">
        <v>236</v>
      </c>
      <c r="W248" s="2" t="s">
        <v>1631</v>
      </c>
      <c r="X248" s="2" t="s">
        <v>1632</v>
      </c>
      <c r="Y248" s="2" t="s">
        <v>1673</v>
      </c>
      <c r="Z248" s="4">
        <v>99</v>
      </c>
      <c r="AA248" s="4">
        <f>=ROUNDDOWN(49.5,0)</f>
      </c>
      <c r="AB248" s="5">
        <v>2</v>
      </c>
      <c r="AC248" s="2" t="s">
        <v>233</v>
      </c>
      <c r="AD248" s="4"/>
      <c r="AE248" s="4"/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233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233</v>
      </c>
      <c r="AW248" s="8" t="s">
        <v>233</v>
      </c>
      <c r="AX248" s="4" t="s">
        <v>233</v>
      </c>
      <c r="AY248" s="8" t="s">
        <v>233</v>
      </c>
      <c r="AZ248" s="7" t="s">
        <v>233</v>
      </c>
      <c r="BA248" s="7" t="s">
        <v>233</v>
      </c>
      <c r="BB248" s="7"/>
      <c r="BC248" s="4" t="s">
        <v>233</v>
      </c>
      <c r="BD248" s="8" t="s">
        <v>233</v>
      </c>
      <c r="BE248" s="4" t="s">
        <v>233</v>
      </c>
      <c r="BF248" s="8" t="s">
        <v>233</v>
      </c>
      <c r="BG248" s="7" t="s">
        <v>233</v>
      </c>
      <c r="BH248" s="7" t="s">
        <v>233</v>
      </c>
      <c r="BI248" s="7"/>
      <c r="BJ248" s="4">
        <v>3</v>
      </c>
      <c r="BK248" s="8">
        <v>233.19</v>
      </c>
      <c r="BL248" s="2" t="s">
        <v>387</v>
      </c>
      <c r="BM248" s="7"/>
      <c r="BN248" s="7"/>
      <c r="BO248" s="4"/>
      <c r="BP248" s="8"/>
      <c r="BQ248" s="4"/>
      <c r="BR248" s="8"/>
      <c r="BS248" s="7"/>
      <c r="BT248" s="7"/>
      <c r="BU248" s="2" t="s">
        <v>1635</v>
      </c>
      <c r="BV248" s="2" t="s">
        <v>233</v>
      </c>
      <c r="BW248" s="2" t="s">
        <v>233</v>
      </c>
      <c r="BX248" s="2" t="s">
        <v>293</v>
      </c>
      <c r="BY248" s="2" t="s">
        <v>242</v>
      </c>
      <c r="BZ248" s="2" t="s">
        <v>230</v>
      </c>
      <c r="CA248" s="2" t="s">
        <v>487</v>
      </c>
      <c r="CB248" s="2" t="s">
        <v>411</v>
      </c>
      <c r="CC248" s="2" t="s">
        <v>245</v>
      </c>
      <c r="CD248" s="2" t="s">
        <v>233</v>
      </c>
      <c r="CE248" s="4">
        <v>99</v>
      </c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>
        <v>99</v>
      </c>
      <c r="GD248" s="4">
        <v>83</v>
      </c>
      <c r="GE248" s="4">
        <v>80</v>
      </c>
      <c r="GF248" s="4">
        <v>77</v>
      </c>
      <c r="GG248" s="4">
        <v>74</v>
      </c>
      <c r="GH248" s="4">
        <v>71</v>
      </c>
      <c r="GI248" s="4">
        <v>68</v>
      </c>
      <c r="GJ248" s="4">
        <v>65</v>
      </c>
      <c r="GK248" s="4">
        <v>62</v>
      </c>
      <c r="GL248" s="4">
        <v>60</v>
      </c>
      <c r="GM248" s="4">
        <v>58</v>
      </c>
      <c r="GN248" s="4">
        <v>56</v>
      </c>
      <c r="GO248" s="4">
        <v>54</v>
      </c>
      <c r="GP248" s="4">
        <v>52</v>
      </c>
      <c r="GQ248" s="4">
        <v>50</v>
      </c>
      <c r="GR248" s="4">
        <v>48</v>
      </c>
      <c r="GS248" s="4">
        <v>46</v>
      </c>
      <c r="GT248" s="4">
        <v>44</v>
      </c>
      <c r="GU248" s="4">
        <v>42</v>
      </c>
      <c r="GV248" s="4">
        <v>40</v>
      </c>
      <c r="GW248" s="4">
        <v>38</v>
      </c>
      <c r="GX248" s="4">
        <v>36</v>
      </c>
      <c r="GY248" s="4">
        <v>34</v>
      </c>
      <c r="GZ248" s="4">
        <v>32</v>
      </c>
      <c r="HA248" s="4">
        <v>30</v>
      </c>
      <c r="HB248" s="4">
        <v>28</v>
      </c>
      <c r="HC248" s="19">
        <v>16.5</v>
      </c>
      <c r="HD248" s="19">
        <v>27.7</v>
      </c>
      <c r="HE248" s="19">
        <v>26.7</v>
      </c>
      <c r="HF248" s="19">
        <v>25.7</v>
      </c>
      <c r="HG248" s="19">
        <v>24.7</v>
      </c>
      <c r="HH248" s="19">
        <v>23.7</v>
      </c>
      <c r="HI248" s="19">
        <v>34</v>
      </c>
      <c r="HJ248" s="19">
        <v>32.5</v>
      </c>
      <c r="HK248" s="19">
        <v>31</v>
      </c>
      <c r="HL248" s="19">
        <v>30</v>
      </c>
      <c r="HM248" s="19">
        <v>29</v>
      </c>
      <c r="HN248" s="19">
        <v>28</v>
      </c>
      <c r="HO248" s="19">
        <v>27</v>
      </c>
      <c r="HP248" s="19">
        <v>26</v>
      </c>
      <c r="HQ248" s="19">
        <v>25</v>
      </c>
      <c r="HR248" s="19">
        <v>24</v>
      </c>
      <c r="HS248" s="19">
        <v>23</v>
      </c>
      <c r="HT248" s="19">
        <v>22</v>
      </c>
      <c r="HU248" s="19">
        <v>21</v>
      </c>
      <c r="HV248" s="19">
        <v>20</v>
      </c>
      <c r="HW248" s="19">
        <v>19</v>
      </c>
      <c r="HX248" s="19">
        <v>18</v>
      </c>
      <c r="HY248" s="19">
        <v>17</v>
      </c>
      <c r="HZ248" s="19">
        <v>16</v>
      </c>
      <c r="IA248" s="19">
        <v>15</v>
      </c>
      <c r="IB248" s="19">
        <v>14</v>
      </c>
    </row>
    <row r="249">
      <c r="A249" s="2" t="s">
        <v>1712</v>
      </c>
      <c r="B249" s="2" t="s">
        <v>923</v>
      </c>
      <c r="C249" s="2" t="s">
        <v>1625</v>
      </c>
      <c r="D249" s="2" t="s">
        <v>951</v>
      </c>
      <c r="E249" s="2" t="s">
        <v>952</v>
      </c>
      <c r="F249" s="2" t="s">
        <v>1626</v>
      </c>
      <c r="G249" s="2" t="s">
        <v>1627</v>
      </c>
      <c r="H249" s="2" t="s">
        <v>1628</v>
      </c>
      <c r="I249" s="2" t="s">
        <v>1679</v>
      </c>
      <c r="J249" s="2" t="s">
        <v>1664</v>
      </c>
      <c r="K249" s="2" t="s">
        <v>1706</v>
      </c>
      <c r="L249" s="3">
        <v>19.8</v>
      </c>
      <c r="M249" s="3">
        <v>20.79</v>
      </c>
      <c r="N249" s="3">
        <v>44.99</v>
      </c>
      <c r="O249" s="2" t="s">
        <v>230</v>
      </c>
      <c r="P249" s="2" t="s">
        <v>231</v>
      </c>
      <c r="Q249" s="2" t="s">
        <v>232</v>
      </c>
      <c r="R249" s="2" t="s">
        <v>233</v>
      </c>
      <c r="S249" s="2" t="s">
        <v>1713</v>
      </c>
      <c r="T249" s="2" t="s">
        <v>348</v>
      </c>
      <c r="U249" s="2" t="s">
        <v>329</v>
      </c>
      <c r="V249" s="2" t="s">
        <v>236</v>
      </c>
      <c r="W249" s="2" t="s">
        <v>237</v>
      </c>
      <c r="X249" s="2" t="s">
        <v>1631</v>
      </c>
      <c r="Y249" s="2" t="s">
        <v>1681</v>
      </c>
      <c r="Z249" s="4">
        <v>220</v>
      </c>
      <c r="AA249" s="4">
        <f>=ROUNDDOWN(13.75,0)</f>
      </c>
      <c r="AB249" s="5">
        <v>16</v>
      </c>
      <c r="AC249" s="2" t="s">
        <v>168</v>
      </c>
      <c r="AD249" s="4">
        <v>300</v>
      </c>
      <c r="AE249" s="4">
        <v>600</v>
      </c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233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233</v>
      </c>
      <c r="AW249" s="8" t="s">
        <v>233</v>
      </c>
      <c r="AX249" s="4" t="s">
        <v>233</v>
      </c>
      <c r="AY249" s="8" t="s">
        <v>233</v>
      </c>
      <c r="AZ249" s="7" t="s">
        <v>233</v>
      </c>
      <c r="BA249" s="7" t="s">
        <v>233</v>
      </c>
      <c r="BB249" s="7"/>
      <c r="BC249" s="4" t="s">
        <v>233</v>
      </c>
      <c r="BD249" s="8" t="s">
        <v>233</v>
      </c>
      <c r="BE249" s="4" t="s">
        <v>233</v>
      </c>
      <c r="BF249" s="8" t="s">
        <v>233</v>
      </c>
      <c r="BG249" s="7" t="s">
        <v>233</v>
      </c>
      <c r="BH249" s="7" t="s">
        <v>233</v>
      </c>
      <c r="BI249" s="7"/>
      <c r="BJ249" s="4">
        <v>59</v>
      </c>
      <c r="BK249" s="8">
        <v>1337.31</v>
      </c>
      <c r="BL249" s="2" t="s">
        <v>1714</v>
      </c>
      <c r="BM249" s="7"/>
      <c r="BN249" s="7"/>
      <c r="BO249" s="4"/>
      <c r="BP249" s="8"/>
      <c r="BQ249" s="4"/>
      <c r="BR249" s="8"/>
      <c r="BS249" s="7"/>
      <c r="BT249" s="7"/>
      <c r="BU249" s="2" t="s">
        <v>1669</v>
      </c>
      <c r="BV249" s="2" t="s">
        <v>233</v>
      </c>
      <c r="BW249" s="2" t="s">
        <v>233</v>
      </c>
      <c r="BX249" s="2" t="s">
        <v>241</v>
      </c>
      <c r="BY249" s="2" t="s">
        <v>242</v>
      </c>
      <c r="BZ249" s="2" t="s">
        <v>230</v>
      </c>
      <c r="CA249" s="2" t="s">
        <v>1682</v>
      </c>
      <c r="CB249" s="2" t="s">
        <v>1683</v>
      </c>
      <c r="CC249" s="2" t="s">
        <v>245</v>
      </c>
      <c r="CD249" s="2" t="s">
        <v>233</v>
      </c>
      <c r="CE249" s="4">
        <v>220</v>
      </c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>
        <v>300</v>
      </c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>
        <v>300</v>
      </c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>
        <v>239</v>
      </c>
      <c r="GD249" s="4">
        <v>220</v>
      </c>
      <c r="GE249" s="4">
        <v>202</v>
      </c>
      <c r="GF249" s="4">
        <v>187</v>
      </c>
      <c r="GG249" s="4">
        <v>157</v>
      </c>
      <c r="GH249" s="4">
        <v>132</v>
      </c>
      <c r="GI249" s="4">
        <v>107</v>
      </c>
      <c r="GJ249" s="4">
        <v>392</v>
      </c>
      <c r="GK249" s="4">
        <v>381</v>
      </c>
      <c r="GL249" s="4">
        <v>364</v>
      </c>
      <c r="GM249" s="4">
        <v>347</v>
      </c>
      <c r="GN249" s="4">
        <v>331</v>
      </c>
      <c r="GO249" s="4">
        <v>315</v>
      </c>
      <c r="GP249" s="4">
        <v>299</v>
      </c>
      <c r="GQ249" s="4">
        <v>283</v>
      </c>
      <c r="GR249" s="4">
        <v>267</v>
      </c>
      <c r="GS249" s="4">
        <v>551</v>
      </c>
      <c r="GT249" s="4">
        <v>534</v>
      </c>
      <c r="GU249" s="4">
        <v>518</v>
      </c>
      <c r="GV249" s="4">
        <v>502</v>
      </c>
      <c r="GW249" s="4">
        <v>486</v>
      </c>
      <c r="GX249" s="4">
        <v>470</v>
      </c>
      <c r="GY249" s="4">
        <v>454</v>
      </c>
      <c r="GZ249" s="4">
        <v>438</v>
      </c>
      <c r="HA249" s="4">
        <v>421</v>
      </c>
      <c r="HB249" s="4">
        <v>405</v>
      </c>
      <c r="HC249" s="19">
        <v>12</v>
      </c>
      <c r="HD249" s="19">
        <v>10</v>
      </c>
      <c r="HE249" s="19">
        <v>8.4</v>
      </c>
      <c r="HF249" s="19">
        <v>7.8</v>
      </c>
      <c r="HG249" s="19">
        <v>8.3</v>
      </c>
      <c r="HH249" s="19">
        <v>7.8</v>
      </c>
      <c r="HI249" s="19">
        <v>7.1</v>
      </c>
      <c r="HJ249" s="19">
        <v>26.1</v>
      </c>
      <c r="HK249" s="19">
        <v>23.8</v>
      </c>
      <c r="HL249" s="19">
        <v>22.8</v>
      </c>
      <c r="HM249" s="19">
        <v>21.7</v>
      </c>
      <c r="HN249" s="19">
        <v>20.7</v>
      </c>
      <c r="HO249" s="19">
        <v>19.7</v>
      </c>
      <c r="HP249" s="19">
        <v>18.7</v>
      </c>
      <c r="HQ249" s="19">
        <v>17.7</v>
      </c>
      <c r="HR249" s="19">
        <v>16.7</v>
      </c>
      <c r="HS249" s="19">
        <v>34.4</v>
      </c>
      <c r="HT249" s="19">
        <v>33.4</v>
      </c>
      <c r="HU249" s="19">
        <v>32.4</v>
      </c>
      <c r="HV249" s="19">
        <v>31.4</v>
      </c>
      <c r="HW249" s="19">
        <v>30.4</v>
      </c>
      <c r="HX249" s="19">
        <v>29.4</v>
      </c>
      <c r="HY249" s="19">
        <v>28.4</v>
      </c>
      <c r="HZ249" s="19">
        <v>27.4</v>
      </c>
      <c r="IA249" s="19">
        <v>26.3</v>
      </c>
      <c r="IB249" s="19">
        <v>25.3</v>
      </c>
    </row>
    <row r="250">
      <c r="A250" s="2" t="s">
        <v>1715</v>
      </c>
      <c r="B250" s="2" t="s">
        <v>825</v>
      </c>
      <c r="C250" s="2" t="s">
        <v>1625</v>
      </c>
      <c r="D250" s="2" t="s">
        <v>774</v>
      </c>
      <c r="E250" s="2" t="s">
        <v>827</v>
      </c>
      <c r="F250" s="2" t="s">
        <v>1626</v>
      </c>
      <c r="G250" s="2" t="s">
        <v>1627</v>
      </c>
      <c r="H250" s="2" t="s">
        <v>1628</v>
      </c>
      <c r="I250" s="2" t="s">
        <v>1629</v>
      </c>
      <c r="J250" s="2" t="s">
        <v>1052</v>
      </c>
      <c r="K250" s="2" t="s">
        <v>1716</v>
      </c>
      <c r="L250" s="3">
        <v>46.53</v>
      </c>
      <c r="M250" s="3">
        <v>48.86</v>
      </c>
      <c r="N250" s="3">
        <v>89.99</v>
      </c>
      <c r="O250" s="2" t="s">
        <v>230</v>
      </c>
      <c r="P250" s="2" t="s">
        <v>231</v>
      </c>
      <c r="Q250" s="2" t="s">
        <v>232</v>
      </c>
      <c r="R250" s="2" t="s">
        <v>233</v>
      </c>
      <c r="S250" s="2" t="s">
        <v>1717</v>
      </c>
      <c r="T250" s="2" t="s">
        <v>348</v>
      </c>
      <c r="U250" s="2" t="s">
        <v>608</v>
      </c>
      <c r="V250" s="2" t="s">
        <v>236</v>
      </c>
      <c r="W250" s="2" t="s">
        <v>1631</v>
      </c>
      <c r="X250" s="2" t="s">
        <v>916</v>
      </c>
      <c r="Y250" s="2" t="s">
        <v>1718</v>
      </c>
      <c r="Z250" s="4">
        <v>76</v>
      </c>
      <c r="AA250" s="4">
        <f>=ROUNDDOWN(38,0)</f>
      </c>
      <c r="AB250" s="5">
        <v>2</v>
      </c>
      <c r="AC250" s="2" t="s">
        <v>731</v>
      </c>
      <c r="AD250" s="4">
        <v>40</v>
      </c>
      <c r="AE250" s="4">
        <v>40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233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233</v>
      </c>
      <c r="AW250" s="8" t="s">
        <v>233</v>
      </c>
      <c r="AX250" s="4" t="s">
        <v>233</v>
      </c>
      <c r="AY250" s="8" t="s">
        <v>233</v>
      </c>
      <c r="AZ250" s="7" t="s">
        <v>233</v>
      </c>
      <c r="BA250" s="7" t="s">
        <v>233</v>
      </c>
      <c r="BB250" s="7"/>
      <c r="BC250" s="4" t="s">
        <v>233</v>
      </c>
      <c r="BD250" s="8" t="s">
        <v>233</v>
      </c>
      <c r="BE250" s="4" t="s">
        <v>233</v>
      </c>
      <c r="BF250" s="8" t="s">
        <v>233</v>
      </c>
      <c r="BG250" s="7" t="s">
        <v>233</v>
      </c>
      <c r="BH250" s="7" t="s">
        <v>233</v>
      </c>
      <c r="BI250" s="7"/>
      <c r="BJ250" s="4">
        <v>1</v>
      </c>
      <c r="BK250" s="8">
        <v>48.3</v>
      </c>
      <c r="BL250" s="2" t="s">
        <v>324</v>
      </c>
      <c r="BM250" s="7"/>
      <c r="BN250" s="7"/>
      <c r="BO250" s="4"/>
      <c r="BP250" s="8"/>
      <c r="BQ250" s="4"/>
      <c r="BR250" s="8"/>
      <c r="BS250" s="7"/>
      <c r="BT250" s="7"/>
      <c r="BU250" s="2" t="s">
        <v>1635</v>
      </c>
      <c r="BV250" s="2" t="s">
        <v>233</v>
      </c>
      <c r="BW250" s="2" t="s">
        <v>233</v>
      </c>
      <c r="BX250" s="2" t="s">
        <v>293</v>
      </c>
      <c r="BY250" s="2" t="s">
        <v>242</v>
      </c>
      <c r="BZ250" s="2" t="s">
        <v>230</v>
      </c>
      <c r="CA250" s="2" t="s">
        <v>1719</v>
      </c>
      <c r="CB250" s="2" t="s">
        <v>233</v>
      </c>
      <c r="CC250" s="2" t="s">
        <v>245</v>
      </c>
      <c r="CD250" s="2" t="s">
        <v>233</v>
      </c>
      <c r="CE250" s="4">
        <v>76</v>
      </c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>
        <v>40</v>
      </c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>
        <v>76</v>
      </c>
      <c r="GD250" s="4">
        <v>90</v>
      </c>
      <c r="GE250" s="4">
        <v>86</v>
      </c>
      <c r="GF250" s="4">
        <v>82</v>
      </c>
      <c r="GG250" s="4">
        <v>78</v>
      </c>
      <c r="GH250" s="4">
        <v>74</v>
      </c>
      <c r="GI250" s="4">
        <v>70</v>
      </c>
      <c r="GJ250" s="4">
        <v>66</v>
      </c>
      <c r="GK250" s="4">
        <v>62</v>
      </c>
      <c r="GL250" s="4">
        <v>60</v>
      </c>
      <c r="GM250" s="4">
        <v>58</v>
      </c>
      <c r="GN250" s="4">
        <v>56</v>
      </c>
      <c r="GO250" s="4">
        <v>54</v>
      </c>
      <c r="GP250" s="4">
        <v>52</v>
      </c>
      <c r="GQ250" s="4">
        <v>50</v>
      </c>
      <c r="GR250" s="4">
        <v>48</v>
      </c>
      <c r="GS250" s="4">
        <v>46</v>
      </c>
      <c r="GT250" s="4">
        <v>44</v>
      </c>
      <c r="GU250" s="4">
        <v>42</v>
      </c>
      <c r="GV250" s="4">
        <v>40</v>
      </c>
      <c r="GW250" s="4">
        <v>38</v>
      </c>
      <c r="GX250" s="4">
        <v>36</v>
      </c>
      <c r="GY250" s="4">
        <v>34</v>
      </c>
      <c r="GZ250" s="4">
        <v>32</v>
      </c>
      <c r="HA250" s="4">
        <v>30</v>
      </c>
      <c r="HB250" s="4">
        <v>43</v>
      </c>
      <c r="HC250" s="19">
        <v>7.6</v>
      </c>
      <c r="HD250" s="19">
        <v>22.5</v>
      </c>
      <c r="HE250" s="19">
        <v>21.5</v>
      </c>
      <c r="HF250" s="19">
        <v>20.5</v>
      </c>
      <c r="HG250" s="19">
        <v>19.5</v>
      </c>
      <c r="HH250" s="19">
        <v>18.5</v>
      </c>
      <c r="HI250" s="19">
        <v>23.3</v>
      </c>
      <c r="HJ250" s="19">
        <v>33</v>
      </c>
      <c r="HK250" s="19">
        <v>31</v>
      </c>
      <c r="HL250" s="19">
        <v>30</v>
      </c>
      <c r="HM250" s="19">
        <v>29</v>
      </c>
      <c r="HN250" s="19">
        <v>28</v>
      </c>
      <c r="HO250" s="19">
        <v>27</v>
      </c>
      <c r="HP250" s="19">
        <v>26</v>
      </c>
      <c r="HQ250" s="19">
        <v>25</v>
      </c>
      <c r="HR250" s="19">
        <v>24</v>
      </c>
      <c r="HS250" s="19">
        <v>23</v>
      </c>
      <c r="HT250" s="19">
        <v>22</v>
      </c>
      <c r="HU250" s="19">
        <v>21</v>
      </c>
      <c r="HV250" s="19">
        <v>20</v>
      </c>
      <c r="HW250" s="19">
        <v>19</v>
      </c>
      <c r="HX250" s="19">
        <v>18</v>
      </c>
      <c r="HY250" s="19">
        <v>17</v>
      </c>
      <c r="HZ250" s="19">
        <v>16</v>
      </c>
      <c r="IA250" s="19">
        <v>10</v>
      </c>
      <c r="IB250" s="19">
        <v>10.8</v>
      </c>
    </row>
    <row r="251">
      <c r="A251" s="2" t="s">
        <v>1720</v>
      </c>
      <c r="B251" s="2" t="s">
        <v>825</v>
      </c>
      <c r="C251" s="2" t="s">
        <v>1625</v>
      </c>
      <c r="D251" s="2" t="s">
        <v>774</v>
      </c>
      <c r="E251" s="2" t="s">
        <v>827</v>
      </c>
      <c r="F251" s="2" t="s">
        <v>1626</v>
      </c>
      <c r="G251" s="2" t="s">
        <v>1627</v>
      </c>
      <c r="H251" s="2" t="s">
        <v>1628</v>
      </c>
      <c r="I251" s="2" t="s">
        <v>1629</v>
      </c>
      <c r="J251" s="2" t="s">
        <v>265</v>
      </c>
      <c r="K251" s="2" t="s">
        <v>1716</v>
      </c>
      <c r="L251" s="3">
        <v>63</v>
      </c>
      <c r="M251" s="3">
        <v>66.15</v>
      </c>
      <c r="N251" s="3">
        <v>119.99</v>
      </c>
      <c r="O251" s="2" t="s">
        <v>230</v>
      </c>
      <c r="P251" s="2" t="s">
        <v>231</v>
      </c>
      <c r="Q251" s="2" t="s">
        <v>232</v>
      </c>
      <c r="R251" s="2" t="s">
        <v>233</v>
      </c>
      <c r="S251" s="2" t="s">
        <v>1717</v>
      </c>
      <c r="T251" s="2" t="s">
        <v>348</v>
      </c>
      <c r="U251" s="2" t="s">
        <v>635</v>
      </c>
      <c r="V251" s="2" t="s">
        <v>236</v>
      </c>
      <c r="W251" s="2" t="s">
        <v>1631</v>
      </c>
      <c r="X251" s="2" t="s">
        <v>916</v>
      </c>
      <c r="Y251" s="2" t="s">
        <v>1718</v>
      </c>
      <c r="Z251" s="4">
        <v>146</v>
      </c>
      <c r="AA251" s="4">
        <f>=ROUNDDOWN(36.5,0)</f>
      </c>
      <c r="AB251" s="5">
        <v>4</v>
      </c>
      <c r="AC251" s="2" t="s">
        <v>731</v>
      </c>
      <c r="AD251" s="4">
        <v>60</v>
      </c>
      <c r="AE251" s="4">
        <v>60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233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233</v>
      </c>
      <c r="AW251" s="8" t="s">
        <v>233</v>
      </c>
      <c r="AX251" s="4" t="s">
        <v>233</v>
      </c>
      <c r="AY251" s="8" t="s">
        <v>233</v>
      </c>
      <c r="AZ251" s="7" t="s">
        <v>233</v>
      </c>
      <c r="BA251" s="7" t="s">
        <v>233</v>
      </c>
      <c r="BB251" s="7"/>
      <c r="BC251" s="4" t="s">
        <v>233</v>
      </c>
      <c r="BD251" s="8" t="s">
        <v>233</v>
      </c>
      <c r="BE251" s="4" t="s">
        <v>233</v>
      </c>
      <c r="BF251" s="8" t="s">
        <v>233</v>
      </c>
      <c r="BG251" s="7" t="s">
        <v>233</v>
      </c>
      <c r="BH251" s="7" t="s">
        <v>233</v>
      </c>
      <c r="BI251" s="7"/>
      <c r="BJ251" s="4">
        <v>3</v>
      </c>
      <c r="BK251" s="8">
        <v>192.33</v>
      </c>
      <c r="BL251" s="2" t="s">
        <v>1600</v>
      </c>
      <c r="BM251" s="7"/>
      <c r="BN251" s="7"/>
      <c r="BO251" s="4"/>
      <c r="BP251" s="8"/>
      <c r="BQ251" s="4"/>
      <c r="BR251" s="8"/>
      <c r="BS251" s="7"/>
      <c r="BT251" s="7"/>
      <c r="BU251" s="2" t="s">
        <v>1635</v>
      </c>
      <c r="BV251" s="2" t="s">
        <v>233</v>
      </c>
      <c r="BW251" s="2" t="s">
        <v>233</v>
      </c>
      <c r="BX251" s="2" t="s">
        <v>293</v>
      </c>
      <c r="BY251" s="2" t="s">
        <v>242</v>
      </c>
      <c r="BZ251" s="2" t="s">
        <v>230</v>
      </c>
      <c r="CA251" s="2" t="s">
        <v>1719</v>
      </c>
      <c r="CB251" s="2" t="s">
        <v>1721</v>
      </c>
      <c r="CC251" s="2" t="s">
        <v>245</v>
      </c>
      <c r="CD251" s="2" t="s">
        <v>233</v>
      </c>
      <c r="CE251" s="4">
        <v>146</v>
      </c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>
        <v>60</v>
      </c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>
        <v>146</v>
      </c>
      <c r="GD251" s="4">
        <v>189</v>
      </c>
      <c r="GE251" s="4">
        <v>181</v>
      </c>
      <c r="GF251" s="4">
        <v>173</v>
      </c>
      <c r="GG251" s="4">
        <v>165</v>
      </c>
      <c r="GH251" s="4">
        <v>157</v>
      </c>
      <c r="GI251" s="4">
        <v>149</v>
      </c>
      <c r="GJ251" s="4">
        <v>141</v>
      </c>
      <c r="GK251" s="4">
        <v>133</v>
      </c>
      <c r="GL251" s="4">
        <v>129</v>
      </c>
      <c r="GM251" s="4">
        <v>125</v>
      </c>
      <c r="GN251" s="4">
        <v>121</v>
      </c>
      <c r="GO251" s="4">
        <v>117</v>
      </c>
      <c r="GP251" s="4">
        <v>113</v>
      </c>
      <c r="GQ251" s="4">
        <v>109</v>
      </c>
      <c r="GR251" s="4">
        <v>105</v>
      </c>
      <c r="GS251" s="4">
        <v>101</v>
      </c>
      <c r="GT251" s="4">
        <v>97</v>
      </c>
      <c r="GU251" s="4">
        <v>93</v>
      </c>
      <c r="GV251" s="4">
        <v>89</v>
      </c>
      <c r="GW251" s="4">
        <v>85</v>
      </c>
      <c r="GX251" s="4">
        <v>81</v>
      </c>
      <c r="GY251" s="4">
        <v>77</v>
      </c>
      <c r="GZ251" s="4">
        <v>73</v>
      </c>
      <c r="HA251" s="4">
        <v>69</v>
      </c>
      <c r="HB251" s="4">
        <v>65</v>
      </c>
      <c r="HC251" s="19">
        <v>14.6</v>
      </c>
      <c r="HD251" s="19">
        <v>23.6</v>
      </c>
      <c r="HE251" s="19">
        <v>22.6</v>
      </c>
      <c r="HF251" s="19">
        <v>21.6</v>
      </c>
      <c r="HG251" s="19">
        <v>20.6</v>
      </c>
      <c r="HH251" s="19">
        <v>22.4</v>
      </c>
      <c r="HI251" s="19">
        <v>24.8</v>
      </c>
      <c r="HJ251" s="19">
        <v>28.2</v>
      </c>
      <c r="HK251" s="19">
        <v>33.3</v>
      </c>
      <c r="HL251" s="19">
        <v>32.3</v>
      </c>
      <c r="HM251" s="19">
        <v>31.3</v>
      </c>
      <c r="HN251" s="19">
        <v>30.3</v>
      </c>
      <c r="HO251" s="19">
        <v>29.3</v>
      </c>
      <c r="HP251" s="19">
        <v>28.3</v>
      </c>
      <c r="HQ251" s="19">
        <v>27.3</v>
      </c>
      <c r="HR251" s="19">
        <v>26.3</v>
      </c>
      <c r="HS251" s="19">
        <v>25.3</v>
      </c>
      <c r="HT251" s="19">
        <v>24.3</v>
      </c>
      <c r="HU251" s="19">
        <v>23.3</v>
      </c>
      <c r="HV251" s="19">
        <v>22.3</v>
      </c>
      <c r="HW251" s="19">
        <v>21.3</v>
      </c>
      <c r="HX251" s="19">
        <v>20.3</v>
      </c>
      <c r="HY251" s="19">
        <v>19.3</v>
      </c>
      <c r="HZ251" s="19">
        <v>18.3</v>
      </c>
      <c r="IA251" s="19">
        <v>17.3</v>
      </c>
      <c r="IB251" s="19">
        <v>16.3</v>
      </c>
    </row>
    <row r="252">
      <c r="A252" s="2" t="s">
        <v>1722</v>
      </c>
      <c r="B252" s="2" t="s">
        <v>825</v>
      </c>
      <c r="C252" s="2" t="s">
        <v>1625</v>
      </c>
      <c r="D252" s="2" t="s">
        <v>774</v>
      </c>
      <c r="E252" s="2" t="s">
        <v>827</v>
      </c>
      <c r="F252" s="2" t="s">
        <v>1626</v>
      </c>
      <c r="G252" s="2" t="s">
        <v>1627</v>
      </c>
      <c r="H252" s="2" t="s">
        <v>1628</v>
      </c>
      <c r="I252" s="2" t="s">
        <v>1629</v>
      </c>
      <c r="J252" s="2" t="s">
        <v>275</v>
      </c>
      <c r="K252" s="2" t="s">
        <v>1716</v>
      </c>
      <c r="L252" s="3">
        <v>72</v>
      </c>
      <c r="M252" s="3">
        <v>75.6</v>
      </c>
      <c r="N252" s="3">
        <v>139.99</v>
      </c>
      <c r="O252" s="2" t="s">
        <v>230</v>
      </c>
      <c r="P252" s="2" t="s">
        <v>231</v>
      </c>
      <c r="Q252" s="2" t="s">
        <v>232</v>
      </c>
      <c r="R252" s="2" t="s">
        <v>233</v>
      </c>
      <c r="S252" s="2" t="s">
        <v>1717</v>
      </c>
      <c r="T252" s="2" t="s">
        <v>348</v>
      </c>
      <c r="U252" s="2" t="s">
        <v>635</v>
      </c>
      <c r="V252" s="2" t="s">
        <v>236</v>
      </c>
      <c r="W252" s="2" t="s">
        <v>1631</v>
      </c>
      <c r="X252" s="2" t="s">
        <v>916</v>
      </c>
      <c r="Y252" s="2" t="s">
        <v>1718</v>
      </c>
      <c r="Z252" s="4">
        <v>51</v>
      </c>
      <c r="AA252" s="4">
        <f>=ROUNDDOWN(31.875,0)</f>
      </c>
      <c r="AB252" s="5">
        <v>1.6</v>
      </c>
      <c r="AC252" s="2" t="s">
        <v>731</v>
      </c>
      <c r="AD252" s="4">
        <v>20</v>
      </c>
      <c r="AE252" s="4">
        <v>20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233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233</v>
      </c>
      <c r="AW252" s="8" t="s">
        <v>233</v>
      </c>
      <c r="AX252" s="4" t="s">
        <v>233</v>
      </c>
      <c r="AY252" s="8" t="s">
        <v>233</v>
      </c>
      <c r="AZ252" s="7" t="s">
        <v>233</v>
      </c>
      <c r="BA252" s="7" t="s">
        <v>233</v>
      </c>
      <c r="BB252" s="7"/>
      <c r="BC252" s="4" t="s">
        <v>233</v>
      </c>
      <c r="BD252" s="8" t="s">
        <v>233</v>
      </c>
      <c r="BE252" s="4" t="s">
        <v>233</v>
      </c>
      <c r="BF252" s="8" t="s">
        <v>233</v>
      </c>
      <c r="BG252" s="7" t="s">
        <v>233</v>
      </c>
      <c r="BH252" s="7" t="s">
        <v>233</v>
      </c>
      <c r="BI252" s="7"/>
      <c r="BJ252" s="4">
        <v>9</v>
      </c>
      <c r="BK252" s="8">
        <v>686.62</v>
      </c>
      <c r="BL252" s="2" t="s">
        <v>463</v>
      </c>
      <c r="BM252" s="7"/>
      <c r="BN252" s="7"/>
      <c r="BO252" s="4"/>
      <c r="BP252" s="8"/>
      <c r="BQ252" s="4"/>
      <c r="BR252" s="8"/>
      <c r="BS252" s="7"/>
      <c r="BT252" s="7"/>
      <c r="BU252" s="2" t="s">
        <v>1635</v>
      </c>
      <c r="BV252" s="2" t="s">
        <v>233</v>
      </c>
      <c r="BW252" s="2" t="s">
        <v>233</v>
      </c>
      <c r="BX252" s="2" t="s">
        <v>293</v>
      </c>
      <c r="BY252" s="2" t="s">
        <v>242</v>
      </c>
      <c r="BZ252" s="2" t="s">
        <v>230</v>
      </c>
      <c r="CA252" s="2" t="s">
        <v>1719</v>
      </c>
      <c r="CB252" s="2" t="s">
        <v>1569</v>
      </c>
      <c r="CC252" s="2" t="s">
        <v>245</v>
      </c>
      <c r="CD252" s="2" t="s">
        <v>233</v>
      </c>
      <c r="CE252" s="4">
        <v>51</v>
      </c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>
        <v>20</v>
      </c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>
        <v>54</v>
      </c>
      <c r="GD252" s="4">
        <v>67</v>
      </c>
      <c r="GE252" s="4">
        <v>63</v>
      </c>
      <c r="GF252" s="4">
        <v>59</v>
      </c>
      <c r="GG252" s="4">
        <v>55</v>
      </c>
      <c r="GH252" s="4">
        <v>51</v>
      </c>
      <c r="GI252" s="4">
        <v>47</v>
      </c>
      <c r="GJ252" s="4">
        <v>43</v>
      </c>
      <c r="GK252" s="4">
        <v>39</v>
      </c>
      <c r="GL252" s="4">
        <v>37</v>
      </c>
      <c r="GM252" s="4">
        <v>35</v>
      </c>
      <c r="GN252" s="4">
        <v>33</v>
      </c>
      <c r="GO252" s="4">
        <v>31</v>
      </c>
      <c r="GP252" s="4">
        <v>29</v>
      </c>
      <c r="GQ252" s="4">
        <v>27</v>
      </c>
      <c r="GR252" s="4">
        <v>25</v>
      </c>
      <c r="GS252" s="4">
        <v>23</v>
      </c>
      <c r="GT252" s="4">
        <v>21</v>
      </c>
      <c r="GU252" s="4">
        <v>19</v>
      </c>
      <c r="GV252" s="4">
        <v>17</v>
      </c>
      <c r="GW252" s="4">
        <v>15</v>
      </c>
      <c r="GX252" s="4">
        <v>13</v>
      </c>
      <c r="GY252" s="4">
        <v>11</v>
      </c>
      <c r="GZ252" s="4">
        <v>9</v>
      </c>
      <c r="HA252" s="4">
        <v>7</v>
      </c>
      <c r="HB252" s="4">
        <v>18</v>
      </c>
      <c r="HC252" s="19">
        <v>10.8</v>
      </c>
      <c r="HD252" s="19">
        <v>16.8</v>
      </c>
      <c r="HE252" s="19">
        <v>15.8</v>
      </c>
      <c r="HF252" s="19">
        <v>14.8</v>
      </c>
      <c r="HG252" s="19">
        <v>13.8</v>
      </c>
      <c r="HH252" s="19">
        <v>12.8</v>
      </c>
      <c r="HI252" s="19">
        <v>15.7</v>
      </c>
      <c r="HJ252" s="19">
        <v>21.5</v>
      </c>
      <c r="HK252" s="19">
        <v>19.5</v>
      </c>
      <c r="HL252" s="19">
        <v>18.5</v>
      </c>
      <c r="HM252" s="19">
        <v>17.5</v>
      </c>
      <c r="HN252" s="19">
        <v>16.5</v>
      </c>
      <c r="HO252" s="19">
        <v>15.5</v>
      </c>
      <c r="HP252" s="19">
        <v>14.5</v>
      </c>
      <c r="HQ252" s="19">
        <v>13.5</v>
      </c>
      <c r="HR252" s="19">
        <v>12.5</v>
      </c>
      <c r="HS252" s="19">
        <v>11.5</v>
      </c>
      <c r="HT252" s="19">
        <v>10.5</v>
      </c>
      <c r="HU252" s="19">
        <v>9.5</v>
      </c>
      <c r="HV252" s="19">
        <v>8.5</v>
      </c>
      <c r="HW252" s="19">
        <v>7.5</v>
      </c>
      <c r="HX252" s="19">
        <v>6.5</v>
      </c>
      <c r="HY252" s="19">
        <v>5.5</v>
      </c>
      <c r="HZ252" s="19">
        <v>4.5</v>
      </c>
      <c r="IA252" s="19">
        <v>3.5</v>
      </c>
      <c r="IB252" s="19">
        <v>9</v>
      </c>
    </row>
    <row r="253">
      <c r="A253" s="2" t="s">
        <v>1723</v>
      </c>
      <c r="B253" s="2" t="s">
        <v>1724</v>
      </c>
      <c r="C253" s="2" t="s">
        <v>848</v>
      </c>
      <c r="D253" s="2" t="s">
        <v>1725</v>
      </c>
      <c r="E253" s="2" t="s">
        <v>1726</v>
      </c>
      <c r="F253" s="2" t="s">
        <v>1727</v>
      </c>
      <c r="G253" s="2" t="s">
        <v>1727</v>
      </c>
      <c r="H253" s="2" t="s">
        <v>1727</v>
      </c>
      <c r="I253" s="2" t="s">
        <v>1728</v>
      </c>
      <c r="J253" s="2" t="s">
        <v>1608</v>
      </c>
      <c r="K253" s="2" t="s">
        <v>1728</v>
      </c>
      <c r="L253" s="3">
        <v>7.42</v>
      </c>
      <c r="M253" s="3">
        <v>7.79</v>
      </c>
      <c r="N253" s="3">
        <v>15.99</v>
      </c>
      <c r="O253" s="2" t="s">
        <v>230</v>
      </c>
      <c r="P253" s="2" t="s">
        <v>231</v>
      </c>
      <c r="Q253" s="2" t="s">
        <v>232</v>
      </c>
      <c r="R253" s="2" t="s">
        <v>233</v>
      </c>
      <c r="S253" s="2" t="s">
        <v>233</v>
      </c>
      <c r="T253" s="2" t="s">
        <v>233</v>
      </c>
      <c r="U253" s="2" t="s">
        <v>329</v>
      </c>
      <c r="V253" s="2" t="s">
        <v>609</v>
      </c>
      <c r="W253" s="2" t="s">
        <v>237</v>
      </c>
      <c r="X253" s="2" t="s">
        <v>233</v>
      </c>
      <c r="Y253" s="2" t="s">
        <v>1729</v>
      </c>
      <c r="Z253" s="4">
        <v>206</v>
      </c>
      <c r="AA253" s="4">
        <f>=ROUNDDOWN(8.24,0)</f>
      </c>
      <c r="AB253" s="5">
        <v>25</v>
      </c>
      <c r="AC253" s="2" t="s">
        <v>153</v>
      </c>
      <c r="AD253" s="4">
        <v>1200</v>
      </c>
      <c r="AE253" s="4">
        <v>1200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233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 t="s">
        <v>233</v>
      </c>
      <c r="BD253" s="8" t="s">
        <v>233</v>
      </c>
      <c r="BE253" s="4" t="s">
        <v>233</v>
      </c>
      <c r="BF253" s="8" t="s">
        <v>233</v>
      </c>
      <c r="BG253" s="7" t="s">
        <v>233</v>
      </c>
      <c r="BH253" s="7" t="s">
        <v>233</v>
      </c>
      <c r="BI253" s="7"/>
      <c r="BJ253" s="4">
        <v>312</v>
      </c>
      <c r="BK253" s="8">
        <v>3444.48</v>
      </c>
      <c r="BL253" s="2" t="s">
        <v>351</v>
      </c>
      <c r="BM253" s="7"/>
      <c r="BN253" s="7"/>
      <c r="BO253" s="4"/>
      <c r="BP253" s="8"/>
      <c r="BQ253" s="4"/>
      <c r="BR253" s="8"/>
      <c r="BS253" s="7"/>
      <c r="BT253" s="7"/>
      <c r="BU253" s="2" t="s">
        <v>1608</v>
      </c>
      <c r="BV253" s="2" t="s">
        <v>233</v>
      </c>
      <c r="BW253" s="2" t="s">
        <v>233</v>
      </c>
      <c r="BX253" s="2" t="s">
        <v>241</v>
      </c>
      <c r="BY253" s="2" t="s">
        <v>1730</v>
      </c>
      <c r="BZ253" s="2" t="s">
        <v>230</v>
      </c>
      <c r="CA253" s="2" t="s">
        <v>233</v>
      </c>
      <c r="CB253" s="2" t="s">
        <v>233</v>
      </c>
      <c r="CC253" s="2" t="s">
        <v>245</v>
      </c>
      <c r="CD253" s="2" t="s">
        <v>233</v>
      </c>
      <c r="CE253" s="4">
        <v>206</v>
      </c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>
        <v>1200</v>
      </c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>
        <v>278</v>
      </c>
      <c r="GD253" s="4">
        <v>223</v>
      </c>
      <c r="GE253" s="4">
        <v>215</v>
      </c>
      <c r="GF253" s="4">
        <v>205</v>
      </c>
      <c r="GG253" s="4">
        <v>1391</v>
      </c>
      <c r="GH253" s="4">
        <v>1382</v>
      </c>
      <c r="GI253" s="4">
        <v>1375</v>
      </c>
      <c r="GJ253" s="4">
        <v>1010</v>
      </c>
      <c r="GK253" s="4">
        <v>1004</v>
      </c>
      <c r="GL253" s="4">
        <v>998</v>
      </c>
      <c r="GM253" s="4">
        <v>993</v>
      </c>
      <c r="GN253" s="4">
        <v>988</v>
      </c>
      <c r="GO253" s="4">
        <v>983</v>
      </c>
      <c r="GP253" s="4">
        <v>978</v>
      </c>
      <c r="GQ253" s="4">
        <v>973</v>
      </c>
      <c r="GR253" s="4">
        <v>968</v>
      </c>
      <c r="GS253" s="4">
        <v>963</v>
      </c>
      <c r="GT253" s="4">
        <v>957</v>
      </c>
      <c r="GU253" s="4">
        <v>952</v>
      </c>
      <c r="GV253" s="4">
        <v>947</v>
      </c>
      <c r="GW253" s="4">
        <v>941</v>
      </c>
      <c r="GX253" s="4">
        <v>935</v>
      </c>
      <c r="GY253" s="4">
        <v>929</v>
      </c>
      <c r="GZ253" s="4">
        <v>923</v>
      </c>
      <c r="HA253" s="4">
        <v>917</v>
      </c>
      <c r="HB253" s="4">
        <v>911</v>
      </c>
      <c r="HC253" s="19">
        <v>12.6</v>
      </c>
      <c r="HD253" s="19">
        <v>22.3</v>
      </c>
      <c r="HE253" s="19">
        <v>21.5</v>
      </c>
      <c r="HF253" s="19">
        <v>2.1</v>
      </c>
      <c r="HG253" s="19">
        <v>14.3</v>
      </c>
      <c r="HH253" s="19">
        <v>14.4</v>
      </c>
      <c r="HI253" s="19">
        <v>14.3</v>
      </c>
      <c r="HJ253" s="19">
        <v>168.3</v>
      </c>
      <c r="HK253" s="19">
        <v>200.8</v>
      </c>
      <c r="HL253" s="19">
        <v>199.6</v>
      </c>
      <c r="HM253" s="19">
        <v>198.6</v>
      </c>
      <c r="HN253" s="19">
        <v>197.6</v>
      </c>
      <c r="HO253" s="19">
        <v>196.6</v>
      </c>
      <c r="HP253" s="19">
        <v>195.6</v>
      </c>
      <c r="HQ253" s="19">
        <v>194.6</v>
      </c>
      <c r="HR253" s="19">
        <v>193.6</v>
      </c>
      <c r="HS253" s="19">
        <v>160.5</v>
      </c>
      <c r="HT253" s="19">
        <v>159.5</v>
      </c>
      <c r="HU253" s="19">
        <v>158.7</v>
      </c>
      <c r="HV253" s="19">
        <v>157.8</v>
      </c>
      <c r="HW253" s="19">
        <v>156.8</v>
      </c>
      <c r="HX253" s="19">
        <v>155.8</v>
      </c>
      <c r="HY253" s="19">
        <v>154.8</v>
      </c>
      <c r="HZ253" s="19">
        <v>153.8</v>
      </c>
      <c r="IA253" s="19">
        <v>152.8</v>
      </c>
      <c r="IB253" s="19">
        <v>101.2</v>
      </c>
    </row>
    <row r="254">
      <c r="A254" s="2" t="s">
        <v>1731</v>
      </c>
      <c r="B254" s="2" t="s">
        <v>1724</v>
      </c>
      <c r="C254" s="2" t="s">
        <v>848</v>
      </c>
      <c r="D254" s="2" t="s">
        <v>1725</v>
      </c>
      <c r="E254" s="2" t="s">
        <v>1726</v>
      </c>
      <c r="F254" s="2" t="s">
        <v>1727</v>
      </c>
      <c r="G254" s="2" t="s">
        <v>1727</v>
      </c>
      <c r="H254" s="2" t="s">
        <v>1727</v>
      </c>
      <c r="I254" s="2" t="s">
        <v>1732</v>
      </c>
      <c r="J254" s="2" t="s">
        <v>741</v>
      </c>
      <c r="K254" s="2" t="s">
        <v>1733</v>
      </c>
      <c r="L254" s="3">
        <v>10.39</v>
      </c>
      <c r="M254" s="3">
        <v>10.91</v>
      </c>
      <c r="N254" s="3">
        <v>18.99</v>
      </c>
      <c r="O254" s="2" t="s">
        <v>230</v>
      </c>
      <c r="P254" s="2" t="s">
        <v>231</v>
      </c>
      <c r="Q254" s="2" t="s">
        <v>232</v>
      </c>
      <c r="R254" s="2" t="s">
        <v>233</v>
      </c>
      <c r="S254" s="2" t="s">
        <v>233</v>
      </c>
      <c r="T254" s="2" t="s">
        <v>233</v>
      </c>
      <c r="U254" s="2" t="s">
        <v>711</v>
      </c>
      <c r="V254" s="2" t="s">
        <v>609</v>
      </c>
      <c r="W254" s="2" t="s">
        <v>237</v>
      </c>
      <c r="X254" s="2" t="s">
        <v>233</v>
      </c>
      <c r="Y254" s="2" t="s">
        <v>1734</v>
      </c>
      <c r="Z254" s="4">
        <v>607</v>
      </c>
      <c r="AA254" s="4">
        <f>=ROUNDDOWN(303.5,0)</f>
      </c>
      <c r="AB254" s="5">
        <v>2</v>
      </c>
      <c r="AC254" s="2" t="s">
        <v>233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233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 t="s">
        <v>233</v>
      </c>
      <c r="BD254" s="8" t="s">
        <v>233</v>
      </c>
      <c r="BE254" s="4" t="s">
        <v>233</v>
      </c>
      <c r="BF254" s="8" t="s">
        <v>233</v>
      </c>
      <c r="BG254" s="7" t="s">
        <v>233</v>
      </c>
      <c r="BH254" s="7" t="s">
        <v>233</v>
      </c>
      <c r="BI254" s="7"/>
      <c r="BJ254" s="4"/>
      <c r="BK254" s="8"/>
      <c r="BL254" s="2" t="s">
        <v>233</v>
      </c>
      <c r="BM254" s="7"/>
      <c r="BN254" s="7"/>
      <c r="BO254" s="4"/>
      <c r="BP254" s="8"/>
      <c r="BQ254" s="4"/>
      <c r="BR254" s="8"/>
      <c r="BS254" s="7"/>
      <c r="BT254" s="7"/>
      <c r="BU254" s="2" t="s">
        <v>1608</v>
      </c>
      <c r="BV254" s="2" t="s">
        <v>233</v>
      </c>
      <c r="BW254" s="2" t="s">
        <v>233</v>
      </c>
      <c r="BX254" s="2" t="s">
        <v>241</v>
      </c>
      <c r="BY254" s="2" t="s">
        <v>1730</v>
      </c>
      <c r="BZ254" s="2" t="s">
        <v>230</v>
      </c>
      <c r="CA254" s="2" t="s">
        <v>233</v>
      </c>
      <c r="CB254" s="2" t="s">
        <v>233</v>
      </c>
      <c r="CC254" s="2" t="s">
        <v>245</v>
      </c>
      <c r="CD254" s="2" t="s">
        <v>233</v>
      </c>
      <c r="CE254" s="4"/>
      <c r="CF254" s="4">
        <v>304</v>
      </c>
      <c r="CG254" s="4"/>
      <c r="CH254" s="4">
        <v>303</v>
      </c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>
        <v>607</v>
      </c>
      <c r="GD254" s="4">
        <v>604</v>
      </c>
      <c r="GE254" s="4">
        <v>601</v>
      </c>
      <c r="GF254" s="4">
        <v>597</v>
      </c>
      <c r="GG254" s="4">
        <v>592</v>
      </c>
      <c r="GH254" s="4">
        <v>589</v>
      </c>
      <c r="GI254" s="4">
        <v>586</v>
      </c>
      <c r="GJ254" s="4">
        <v>584</v>
      </c>
      <c r="GK254" s="4">
        <v>582</v>
      </c>
      <c r="GL254" s="4">
        <v>580</v>
      </c>
      <c r="GM254" s="4">
        <v>578</v>
      </c>
      <c r="GN254" s="4">
        <v>576</v>
      </c>
      <c r="GO254" s="4">
        <v>574</v>
      </c>
      <c r="GP254" s="4">
        <v>572</v>
      </c>
      <c r="GQ254" s="4">
        <v>570</v>
      </c>
      <c r="GR254" s="4">
        <v>568</v>
      </c>
      <c r="GS254" s="4">
        <v>566</v>
      </c>
      <c r="GT254" s="4">
        <v>564</v>
      </c>
      <c r="GU254" s="4">
        <v>562</v>
      </c>
      <c r="GV254" s="4">
        <v>560</v>
      </c>
      <c r="GW254" s="4">
        <v>558</v>
      </c>
      <c r="GX254" s="4">
        <v>556</v>
      </c>
      <c r="GY254" s="4">
        <v>554</v>
      </c>
      <c r="GZ254" s="4">
        <v>552</v>
      </c>
      <c r="HA254" s="4">
        <v>550</v>
      </c>
      <c r="HB254" s="4">
        <v>548</v>
      </c>
      <c r="HC254" s="19">
        <v>151.8</v>
      </c>
      <c r="HD254" s="19">
        <v>151</v>
      </c>
      <c r="HE254" s="19">
        <v>150.3</v>
      </c>
      <c r="HF254" s="19">
        <v>199</v>
      </c>
      <c r="HG254" s="19">
        <v>296</v>
      </c>
      <c r="HH254" s="19">
        <v>294.5</v>
      </c>
      <c r="HI254" s="19">
        <v>293</v>
      </c>
      <c r="HJ254" s="19">
        <v>292</v>
      </c>
      <c r="HK254" s="19">
        <v>291</v>
      </c>
      <c r="HL254" s="19">
        <v>290</v>
      </c>
      <c r="HM254" s="19">
        <v>289</v>
      </c>
      <c r="HN254" s="19">
        <v>288</v>
      </c>
      <c r="HO254" s="19">
        <v>287</v>
      </c>
      <c r="HP254" s="19">
        <v>286</v>
      </c>
      <c r="HQ254" s="19">
        <v>285</v>
      </c>
      <c r="HR254" s="19">
        <v>284</v>
      </c>
      <c r="HS254" s="19">
        <v>283</v>
      </c>
      <c r="HT254" s="19">
        <v>282</v>
      </c>
      <c r="HU254" s="19">
        <v>281</v>
      </c>
      <c r="HV254" s="19">
        <v>280</v>
      </c>
      <c r="HW254" s="19">
        <v>279</v>
      </c>
      <c r="HX254" s="19">
        <v>278</v>
      </c>
      <c r="HY254" s="19">
        <v>277</v>
      </c>
      <c r="HZ254" s="19">
        <v>276</v>
      </c>
      <c r="IA254" s="19">
        <v>275</v>
      </c>
      <c r="IB254" s="19">
        <v>274</v>
      </c>
    </row>
    <row r="255">
      <c r="A255" s="2" t="s">
        <v>1735</v>
      </c>
      <c r="B255" s="2" t="s">
        <v>1724</v>
      </c>
      <c r="C255" s="2" t="s">
        <v>848</v>
      </c>
      <c r="D255" s="2" t="s">
        <v>1725</v>
      </c>
      <c r="E255" s="2" t="s">
        <v>1726</v>
      </c>
      <c r="F255" s="2" t="s">
        <v>1727</v>
      </c>
      <c r="G255" s="2" t="s">
        <v>1727</v>
      </c>
      <c r="H255" s="2" t="s">
        <v>1727</v>
      </c>
      <c r="I255" s="2" t="s">
        <v>1736</v>
      </c>
      <c r="J255" s="2" t="s">
        <v>741</v>
      </c>
      <c r="K255" s="2" t="s">
        <v>1737</v>
      </c>
      <c r="L255" s="3">
        <v>6.36</v>
      </c>
      <c r="M255" s="3">
        <v>6.68</v>
      </c>
      <c r="N255" s="3">
        <v>12.99</v>
      </c>
      <c r="O255" s="2" t="s">
        <v>230</v>
      </c>
      <c r="P255" s="2" t="s">
        <v>231</v>
      </c>
      <c r="Q255" s="2" t="s">
        <v>232</v>
      </c>
      <c r="R255" s="2" t="s">
        <v>233</v>
      </c>
      <c r="S255" s="2" t="s">
        <v>233</v>
      </c>
      <c r="T255" s="2" t="s">
        <v>233</v>
      </c>
      <c r="U255" s="2" t="s">
        <v>329</v>
      </c>
      <c r="V255" s="2" t="s">
        <v>609</v>
      </c>
      <c r="W255" s="2" t="s">
        <v>237</v>
      </c>
      <c r="X255" s="2" t="s">
        <v>233</v>
      </c>
      <c r="Y255" s="2" t="s">
        <v>1734</v>
      </c>
      <c r="Z255" s="4">
        <v>201</v>
      </c>
      <c r="AA255" s="4">
        <f>=ROUNDDOWN(40.2,0)</f>
      </c>
      <c r="AB255" s="5">
        <v>5</v>
      </c>
      <c r="AC255" s="2" t="s">
        <v>233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233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 t="s">
        <v>233</v>
      </c>
      <c r="BD255" s="8" t="s">
        <v>233</v>
      </c>
      <c r="BE255" s="4" t="s">
        <v>233</v>
      </c>
      <c r="BF255" s="8" t="s">
        <v>233</v>
      </c>
      <c r="BG255" s="7" t="s">
        <v>233</v>
      </c>
      <c r="BH255" s="7" t="s">
        <v>233</v>
      </c>
      <c r="BI255" s="7"/>
      <c r="BJ255" s="4"/>
      <c r="BK255" s="8"/>
      <c r="BL255" s="2" t="s">
        <v>233</v>
      </c>
      <c r="BM255" s="7"/>
      <c r="BN255" s="7"/>
      <c r="BO255" s="4"/>
      <c r="BP255" s="8"/>
      <c r="BQ255" s="4"/>
      <c r="BR255" s="8"/>
      <c r="BS255" s="7"/>
      <c r="BT255" s="7"/>
      <c r="BU255" s="2" t="s">
        <v>1608</v>
      </c>
      <c r="BV255" s="2" t="s">
        <v>233</v>
      </c>
      <c r="BW255" s="2" t="s">
        <v>233</v>
      </c>
      <c r="BX255" s="2" t="s">
        <v>241</v>
      </c>
      <c r="BY255" s="2" t="s">
        <v>1730</v>
      </c>
      <c r="BZ255" s="2" t="s">
        <v>230</v>
      </c>
      <c r="CA255" s="2" t="s">
        <v>233</v>
      </c>
      <c r="CB255" s="2" t="s">
        <v>233</v>
      </c>
      <c r="CC255" s="2" t="s">
        <v>245</v>
      </c>
      <c r="CD255" s="2" t="s">
        <v>233</v>
      </c>
      <c r="CE255" s="4"/>
      <c r="CF255" s="4">
        <v>111</v>
      </c>
      <c r="CG255" s="4"/>
      <c r="CH255" s="4">
        <v>90</v>
      </c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>
        <v>201</v>
      </c>
      <c r="GD255" s="4">
        <v>201</v>
      </c>
      <c r="GE255" s="4">
        <v>201</v>
      </c>
      <c r="GF255" s="4">
        <v>201</v>
      </c>
      <c r="GG255" s="4">
        <v>201</v>
      </c>
      <c r="GH255" s="4">
        <v>201</v>
      </c>
      <c r="GI255" s="4">
        <v>201</v>
      </c>
      <c r="GJ255" s="4">
        <v>201</v>
      </c>
      <c r="GK255" s="4">
        <v>201</v>
      </c>
      <c r="GL255" s="4">
        <v>201</v>
      </c>
      <c r="GM255" s="4">
        <v>201</v>
      </c>
      <c r="GN255" s="4">
        <v>201</v>
      </c>
      <c r="GO255" s="4">
        <v>201</v>
      </c>
      <c r="GP255" s="4">
        <v>201</v>
      </c>
      <c r="GQ255" s="4">
        <v>201</v>
      </c>
      <c r="GR255" s="4">
        <v>201</v>
      </c>
      <c r="GS255" s="4">
        <v>201</v>
      </c>
      <c r="GT255" s="4">
        <v>201</v>
      </c>
      <c r="GU255" s="4">
        <v>201</v>
      </c>
      <c r="GV255" s="4">
        <v>201</v>
      </c>
      <c r="GW255" s="4">
        <v>201</v>
      </c>
      <c r="GX255" s="4">
        <v>201</v>
      </c>
      <c r="GY255" s="4">
        <v>201</v>
      </c>
      <c r="GZ255" s="4">
        <v>201</v>
      </c>
      <c r="HA255" s="4">
        <v>201</v>
      </c>
      <c r="HB255" s="4">
        <v>201</v>
      </c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19">
        <v>100.5</v>
      </c>
      <c r="IA255" s="19">
        <v>50.3</v>
      </c>
      <c r="IB255" s="19">
        <v>40.2</v>
      </c>
    </row>
    <row r="256">
      <c r="A256" s="2" t="s">
        <v>1738</v>
      </c>
      <c r="B256" s="2" t="s">
        <v>1724</v>
      </c>
      <c r="C256" s="2" t="s">
        <v>848</v>
      </c>
      <c r="D256" s="2" t="s">
        <v>1725</v>
      </c>
      <c r="E256" s="2" t="s">
        <v>1726</v>
      </c>
      <c r="F256" s="2" t="s">
        <v>1727</v>
      </c>
      <c r="G256" s="2" t="s">
        <v>1727</v>
      </c>
      <c r="H256" s="2" t="s">
        <v>1727</v>
      </c>
      <c r="I256" s="2" t="s">
        <v>1739</v>
      </c>
      <c r="J256" s="2" t="s">
        <v>741</v>
      </c>
      <c r="K256" s="2" t="s">
        <v>1740</v>
      </c>
      <c r="L256" s="3">
        <v>9.92</v>
      </c>
      <c r="M256" s="3">
        <v>10.42</v>
      </c>
      <c r="N256" s="3">
        <v>18.99</v>
      </c>
      <c r="O256" s="2" t="s">
        <v>230</v>
      </c>
      <c r="P256" s="2" t="s">
        <v>231</v>
      </c>
      <c r="Q256" s="2" t="s">
        <v>232</v>
      </c>
      <c r="R256" s="2" t="s">
        <v>233</v>
      </c>
      <c r="S256" s="2" t="s">
        <v>233</v>
      </c>
      <c r="T256" s="2" t="s">
        <v>233</v>
      </c>
      <c r="U256" s="2" t="s">
        <v>711</v>
      </c>
      <c r="V256" s="2" t="s">
        <v>609</v>
      </c>
      <c r="W256" s="2" t="s">
        <v>237</v>
      </c>
      <c r="X256" s="2" t="s">
        <v>233</v>
      </c>
      <c r="Y256" s="2" t="s">
        <v>1734</v>
      </c>
      <c r="Z256" s="4">
        <v>433</v>
      </c>
      <c r="AA256" s="4">
        <f>=ROUNDDOWN(108.25,0)</f>
      </c>
      <c r="AB256" s="5">
        <v>4</v>
      </c>
      <c r="AC256" s="2" t="s">
        <v>233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233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 t="s">
        <v>233</v>
      </c>
      <c r="BD256" s="8" t="s">
        <v>233</v>
      </c>
      <c r="BE256" s="4" t="s">
        <v>233</v>
      </c>
      <c r="BF256" s="8" t="s">
        <v>233</v>
      </c>
      <c r="BG256" s="7" t="s">
        <v>233</v>
      </c>
      <c r="BH256" s="7" t="s">
        <v>233</v>
      </c>
      <c r="BI256" s="7"/>
      <c r="BJ256" s="4"/>
      <c r="BK256" s="8"/>
      <c r="BL256" s="2" t="s">
        <v>233</v>
      </c>
      <c r="BM256" s="7"/>
      <c r="BN256" s="7"/>
      <c r="BO256" s="4"/>
      <c r="BP256" s="8"/>
      <c r="BQ256" s="4"/>
      <c r="BR256" s="8"/>
      <c r="BS256" s="7"/>
      <c r="BT256" s="7"/>
      <c r="BU256" s="2" t="s">
        <v>1608</v>
      </c>
      <c r="BV256" s="2" t="s">
        <v>233</v>
      </c>
      <c r="BW256" s="2" t="s">
        <v>233</v>
      </c>
      <c r="BX256" s="2" t="s">
        <v>241</v>
      </c>
      <c r="BY256" s="2" t="s">
        <v>1730</v>
      </c>
      <c r="BZ256" s="2" t="s">
        <v>230</v>
      </c>
      <c r="CA256" s="2" t="s">
        <v>233</v>
      </c>
      <c r="CB256" s="2" t="s">
        <v>233</v>
      </c>
      <c r="CC256" s="2" t="s">
        <v>245</v>
      </c>
      <c r="CD256" s="2" t="s">
        <v>233</v>
      </c>
      <c r="CE256" s="4"/>
      <c r="CF256" s="4">
        <v>223</v>
      </c>
      <c r="CG256" s="4"/>
      <c r="CH256" s="4">
        <v>210</v>
      </c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>
        <v>433</v>
      </c>
      <c r="GD256" s="4">
        <v>430</v>
      </c>
      <c r="GE256" s="4">
        <v>427</v>
      </c>
      <c r="GF256" s="4">
        <v>423</v>
      </c>
      <c r="GG256" s="4">
        <v>418</v>
      </c>
      <c r="GH256" s="4">
        <v>415</v>
      </c>
      <c r="GI256" s="4">
        <v>412</v>
      </c>
      <c r="GJ256" s="4">
        <v>410</v>
      </c>
      <c r="GK256" s="4">
        <v>408</v>
      </c>
      <c r="GL256" s="4">
        <v>406</v>
      </c>
      <c r="GM256" s="4">
        <v>404</v>
      </c>
      <c r="GN256" s="4">
        <v>402</v>
      </c>
      <c r="GO256" s="4">
        <v>400</v>
      </c>
      <c r="GP256" s="4">
        <v>398</v>
      </c>
      <c r="GQ256" s="4">
        <v>396</v>
      </c>
      <c r="GR256" s="4">
        <v>394</v>
      </c>
      <c r="GS256" s="4">
        <v>392</v>
      </c>
      <c r="GT256" s="4">
        <v>390</v>
      </c>
      <c r="GU256" s="4">
        <v>388</v>
      </c>
      <c r="GV256" s="4">
        <v>386</v>
      </c>
      <c r="GW256" s="4">
        <v>384</v>
      </c>
      <c r="GX256" s="4">
        <v>382</v>
      </c>
      <c r="GY256" s="4">
        <v>380</v>
      </c>
      <c r="GZ256" s="4">
        <v>376</v>
      </c>
      <c r="HA256" s="4">
        <v>372</v>
      </c>
      <c r="HB256" s="4">
        <v>368</v>
      </c>
      <c r="HC256" s="19">
        <v>108.3</v>
      </c>
      <c r="HD256" s="19">
        <v>107.5</v>
      </c>
      <c r="HE256" s="19">
        <v>106.8</v>
      </c>
      <c r="HF256" s="19">
        <v>141</v>
      </c>
      <c r="HG256" s="19">
        <v>209</v>
      </c>
      <c r="HH256" s="19">
        <v>207.5</v>
      </c>
      <c r="HI256" s="19">
        <v>206</v>
      </c>
      <c r="HJ256" s="19">
        <v>205</v>
      </c>
      <c r="HK256" s="19">
        <v>204</v>
      </c>
      <c r="HL256" s="19">
        <v>203</v>
      </c>
      <c r="HM256" s="19">
        <v>202</v>
      </c>
      <c r="HN256" s="19">
        <v>201</v>
      </c>
      <c r="HO256" s="19">
        <v>200</v>
      </c>
      <c r="HP256" s="19">
        <v>199</v>
      </c>
      <c r="HQ256" s="19">
        <v>198</v>
      </c>
      <c r="HR256" s="19">
        <v>197</v>
      </c>
      <c r="HS256" s="19">
        <v>196</v>
      </c>
      <c r="HT256" s="19">
        <v>195</v>
      </c>
      <c r="HU256" s="19">
        <v>194</v>
      </c>
      <c r="HV256" s="19">
        <v>193</v>
      </c>
      <c r="HW256" s="19">
        <v>128</v>
      </c>
      <c r="HX256" s="19">
        <v>95.5</v>
      </c>
      <c r="HY256" s="19">
        <v>95</v>
      </c>
      <c r="HZ256" s="19">
        <v>94</v>
      </c>
      <c r="IA256" s="19">
        <v>93</v>
      </c>
      <c r="IB256" s="19">
        <v>92</v>
      </c>
    </row>
    <row r="257">
      <c r="A257" s="2" t="s">
        <v>1741</v>
      </c>
      <c r="B257" s="2" t="s">
        <v>1724</v>
      </c>
      <c r="C257" s="2" t="s">
        <v>848</v>
      </c>
      <c r="D257" s="2" t="s">
        <v>1725</v>
      </c>
      <c r="E257" s="2" t="s">
        <v>1726</v>
      </c>
      <c r="F257" s="2" t="s">
        <v>1727</v>
      </c>
      <c r="G257" s="2" t="s">
        <v>1727</v>
      </c>
      <c r="H257" s="2" t="s">
        <v>1727</v>
      </c>
      <c r="I257" s="2" t="s">
        <v>1742</v>
      </c>
      <c r="J257" s="2" t="s">
        <v>1608</v>
      </c>
      <c r="K257" s="2" t="s">
        <v>1743</v>
      </c>
      <c r="L257" s="3">
        <v>7.37</v>
      </c>
      <c r="M257" s="3">
        <v>7.74</v>
      </c>
      <c r="N257" s="3">
        <v>15.99</v>
      </c>
      <c r="O257" s="2" t="s">
        <v>230</v>
      </c>
      <c r="P257" s="2" t="s">
        <v>231</v>
      </c>
      <c r="Q257" s="2" t="s">
        <v>232</v>
      </c>
      <c r="R257" s="2" t="s">
        <v>233</v>
      </c>
      <c r="S257" s="2" t="s">
        <v>233</v>
      </c>
      <c r="T257" s="2" t="s">
        <v>233</v>
      </c>
      <c r="U257" s="2" t="s">
        <v>329</v>
      </c>
      <c r="V257" s="2" t="s">
        <v>609</v>
      </c>
      <c r="W257" s="2" t="s">
        <v>237</v>
      </c>
      <c r="X257" s="2" t="s">
        <v>233</v>
      </c>
      <c r="Y257" s="2" t="s">
        <v>1729</v>
      </c>
      <c r="Z257" s="4">
        <v>643</v>
      </c>
      <c r="AA257" s="4">
        <f>=ROUNDDOWN(214.333333333333,0)</f>
      </c>
      <c r="AB257" s="5">
        <v>3</v>
      </c>
      <c r="AC257" s="2" t="s">
        <v>233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233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 t="s">
        <v>233</v>
      </c>
      <c r="BD257" s="8" t="s">
        <v>233</v>
      </c>
      <c r="BE257" s="4" t="s">
        <v>233</v>
      </c>
      <c r="BF257" s="8" t="s">
        <v>233</v>
      </c>
      <c r="BG257" s="7" t="s">
        <v>233</v>
      </c>
      <c r="BH257" s="7" t="s">
        <v>233</v>
      </c>
      <c r="BI257" s="7"/>
      <c r="BJ257" s="4"/>
      <c r="BK257" s="8"/>
      <c r="BL257" s="2" t="s">
        <v>233</v>
      </c>
      <c r="BM257" s="7"/>
      <c r="BN257" s="7"/>
      <c r="BO257" s="4"/>
      <c r="BP257" s="8"/>
      <c r="BQ257" s="4"/>
      <c r="BR257" s="8"/>
      <c r="BS257" s="7"/>
      <c r="BT257" s="7"/>
      <c r="BU257" s="2" t="s">
        <v>1608</v>
      </c>
      <c r="BV257" s="2" t="s">
        <v>233</v>
      </c>
      <c r="BW257" s="2" t="s">
        <v>233</v>
      </c>
      <c r="BX257" s="2" t="s">
        <v>241</v>
      </c>
      <c r="BY257" s="2" t="s">
        <v>1730</v>
      </c>
      <c r="BZ257" s="2" t="s">
        <v>230</v>
      </c>
      <c r="CA257" s="2" t="s">
        <v>233</v>
      </c>
      <c r="CB257" s="2" t="s">
        <v>233</v>
      </c>
      <c r="CC257" s="2" t="s">
        <v>245</v>
      </c>
      <c r="CD257" s="2" t="s">
        <v>233</v>
      </c>
      <c r="CE257" s="4">
        <v>643</v>
      </c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>
        <v>643</v>
      </c>
      <c r="GD257" s="4">
        <v>640</v>
      </c>
      <c r="GE257" s="4">
        <v>637</v>
      </c>
      <c r="GF257" s="4">
        <v>633</v>
      </c>
      <c r="GG257" s="4">
        <v>628</v>
      </c>
      <c r="GH257" s="4">
        <v>625</v>
      </c>
      <c r="GI257" s="4">
        <v>622</v>
      </c>
      <c r="GJ257" s="4">
        <v>620</v>
      </c>
      <c r="GK257" s="4">
        <v>618</v>
      </c>
      <c r="GL257" s="4">
        <v>616</v>
      </c>
      <c r="GM257" s="4">
        <v>614</v>
      </c>
      <c r="GN257" s="4">
        <v>612</v>
      </c>
      <c r="GO257" s="4">
        <v>610</v>
      </c>
      <c r="GP257" s="4">
        <v>608</v>
      </c>
      <c r="GQ257" s="4">
        <v>606</v>
      </c>
      <c r="GR257" s="4">
        <v>604</v>
      </c>
      <c r="GS257" s="4">
        <v>602</v>
      </c>
      <c r="GT257" s="4">
        <v>600</v>
      </c>
      <c r="GU257" s="4">
        <v>598</v>
      </c>
      <c r="GV257" s="4">
        <v>596</v>
      </c>
      <c r="GW257" s="4">
        <v>594</v>
      </c>
      <c r="GX257" s="4">
        <v>592</v>
      </c>
      <c r="GY257" s="4">
        <v>590</v>
      </c>
      <c r="GZ257" s="4">
        <v>588</v>
      </c>
      <c r="HA257" s="4">
        <v>586</v>
      </c>
      <c r="HB257" s="4">
        <v>584</v>
      </c>
      <c r="HC257" s="19">
        <v>160.8</v>
      </c>
      <c r="HD257" s="19">
        <v>160</v>
      </c>
      <c r="HE257" s="19">
        <v>159.3</v>
      </c>
      <c r="HF257" s="19">
        <v>211</v>
      </c>
      <c r="HG257" s="19">
        <v>314</v>
      </c>
      <c r="HH257" s="19">
        <v>312.5</v>
      </c>
      <c r="HI257" s="19">
        <v>311</v>
      </c>
      <c r="HJ257" s="19">
        <v>310</v>
      </c>
      <c r="HK257" s="19">
        <v>309</v>
      </c>
      <c r="HL257" s="19">
        <v>308</v>
      </c>
      <c r="HM257" s="19">
        <v>307</v>
      </c>
      <c r="HN257" s="19">
        <v>306</v>
      </c>
      <c r="HO257" s="19">
        <v>305</v>
      </c>
      <c r="HP257" s="19">
        <v>304</v>
      </c>
      <c r="HQ257" s="19">
        <v>303</v>
      </c>
      <c r="HR257" s="19">
        <v>302</v>
      </c>
      <c r="HS257" s="19">
        <v>301</v>
      </c>
      <c r="HT257" s="19">
        <v>300</v>
      </c>
      <c r="HU257" s="19">
        <v>299</v>
      </c>
      <c r="HV257" s="19">
        <v>298</v>
      </c>
      <c r="HW257" s="19">
        <v>297</v>
      </c>
      <c r="HX257" s="19">
        <v>296</v>
      </c>
      <c r="HY257" s="19">
        <v>295</v>
      </c>
      <c r="HZ257" s="19">
        <v>294</v>
      </c>
      <c r="IA257" s="19">
        <v>293</v>
      </c>
      <c r="IB257" s="19">
        <v>292</v>
      </c>
    </row>
    <row r="258">
      <c r="A258" s="2" t="s">
        <v>1744</v>
      </c>
      <c r="B258" s="2" t="s">
        <v>1724</v>
      </c>
      <c r="C258" s="2" t="s">
        <v>848</v>
      </c>
      <c r="D258" s="2" t="s">
        <v>1725</v>
      </c>
      <c r="E258" s="2" t="s">
        <v>1726</v>
      </c>
      <c r="F258" s="2" t="s">
        <v>1727</v>
      </c>
      <c r="G258" s="2" t="s">
        <v>1727</v>
      </c>
      <c r="H258" s="2" t="s">
        <v>1727</v>
      </c>
      <c r="I258" s="2" t="s">
        <v>1742</v>
      </c>
      <c r="J258" s="2" t="s">
        <v>1608</v>
      </c>
      <c r="K258" s="2" t="s">
        <v>1745</v>
      </c>
      <c r="L258" s="3">
        <v>7.37</v>
      </c>
      <c r="M258" s="3">
        <v>7.74</v>
      </c>
      <c r="N258" s="3">
        <v>15.99</v>
      </c>
      <c r="O258" s="2" t="s">
        <v>230</v>
      </c>
      <c r="P258" s="2" t="s">
        <v>231</v>
      </c>
      <c r="Q258" s="2" t="s">
        <v>232</v>
      </c>
      <c r="R258" s="2" t="s">
        <v>233</v>
      </c>
      <c r="S258" s="2" t="s">
        <v>233</v>
      </c>
      <c r="T258" s="2" t="s">
        <v>233</v>
      </c>
      <c r="U258" s="2" t="s">
        <v>329</v>
      </c>
      <c r="V258" s="2" t="s">
        <v>609</v>
      </c>
      <c r="W258" s="2" t="s">
        <v>237</v>
      </c>
      <c r="X258" s="2" t="s">
        <v>233</v>
      </c>
      <c r="Y258" s="2" t="s">
        <v>1729</v>
      </c>
      <c r="Z258" s="4">
        <v>463</v>
      </c>
      <c r="AA258" s="4">
        <f>=ROUNDDOWN(21.0454545454545,0)</f>
      </c>
      <c r="AB258" s="5">
        <v>22</v>
      </c>
      <c r="AC258" s="2" t="s">
        <v>153</v>
      </c>
      <c r="AD258" s="4">
        <v>1200</v>
      </c>
      <c r="AE258" s="4">
        <v>1200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233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 t="s">
        <v>233</v>
      </c>
      <c r="BD258" s="8" t="s">
        <v>233</v>
      </c>
      <c r="BE258" s="4" t="s">
        <v>233</v>
      </c>
      <c r="BF258" s="8" t="s">
        <v>233</v>
      </c>
      <c r="BG258" s="7" t="s">
        <v>233</v>
      </c>
      <c r="BH258" s="7" t="s">
        <v>233</v>
      </c>
      <c r="BI258" s="7"/>
      <c r="BJ258" s="4">
        <v>24</v>
      </c>
      <c r="BK258" s="8">
        <v>264.96</v>
      </c>
      <c r="BL258" s="2" t="s">
        <v>351</v>
      </c>
      <c r="BM258" s="7"/>
      <c r="BN258" s="7"/>
      <c r="BO258" s="4"/>
      <c r="BP258" s="8"/>
      <c r="BQ258" s="4"/>
      <c r="BR258" s="8"/>
      <c r="BS258" s="7"/>
      <c r="BT258" s="7"/>
      <c r="BU258" s="2" t="s">
        <v>1608</v>
      </c>
      <c r="BV258" s="2" t="s">
        <v>233</v>
      </c>
      <c r="BW258" s="2" t="s">
        <v>233</v>
      </c>
      <c r="BX258" s="2" t="s">
        <v>241</v>
      </c>
      <c r="BY258" s="2" t="s">
        <v>1730</v>
      </c>
      <c r="BZ258" s="2" t="s">
        <v>230</v>
      </c>
      <c r="CA258" s="2" t="s">
        <v>233</v>
      </c>
      <c r="CB258" s="2" t="s">
        <v>233</v>
      </c>
      <c r="CC258" s="2" t="s">
        <v>245</v>
      </c>
      <c r="CD258" s="2" t="s">
        <v>233</v>
      </c>
      <c r="CE258" s="4">
        <v>463</v>
      </c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>
        <v>1200</v>
      </c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>
        <v>463</v>
      </c>
      <c r="GD258" s="4">
        <v>291</v>
      </c>
      <c r="GE258" s="4">
        <v>264</v>
      </c>
      <c r="GF258" s="4">
        <v>240</v>
      </c>
      <c r="GG258" s="4">
        <v>1415</v>
      </c>
      <c r="GH258" s="4">
        <v>1392</v>
      </c>
      <c r="GI258" s="4">
        <v>1369</v>
      </c>
      <c r="GJ258" s="4">
        <v>1347</v>
      </c>
      <c r="GK258" s="4">
        <v>1325</v>
      </c>
      <c r="GL258" s="4">
        <v>1303</v>
      </c>
      <c r="GM258" s="4">
        <v>1277</v>
      </c>
      <c r="GN258" s="4">
        <v>1255</v>
      </c>
      <c r="GO258" s="4">
        <v>1233</v>
      </c>
      <c r="GP258" s="4">
        <v>1209</v>
      </c>
      <c r="GQ258" s="4">
        <v>1185</v>
      </c>
      <c r="GR258" s="4">
        <v>1161</v>
      </c>
      <c r="GS258" s="4">
        <v>1137</v>
      </c>
      <c r="GT258" s="4">
        <v>1113</v>
      </c>
      <c r="GU258" s="4">
        <v>1089</v>
      </c>
      <c r="GV258" s="4">
        <v>1065</v>
      </c>
      <c r="GW258" s="4">
        <v>1041</v>
      </c>
      <c r="GX258" s="4">
        <v>1017</v>
      </c>
      <c r="GY258" s="4">
        <v>993</v>
      </c>
      <c r="GZ258" s="4">
        <v>969</v>
      </c>
      <c r="HA258" s="4">
        <v>943</v>
      </c>
      <c r="HB258" s="4">
        <v>919</v>
      </c>
      <c r="HC258" s="19">
        <v>7.5</v>
      </c>
      <c r="HD258" s="19">
        <v>11.6</v>
      </c>
      <c r="HE258" s="19">
        <v>11</v>
      </c>
      <c r="HF258" s="19">
        <v>10.4</v>
      </c>
      <c r="HG258" s="19">
        <v>64.3</v>
      </c>
      <c r="HH258" s="19">
        <v>63.3</v>
      </c>
      <c r="HI258" s="19">
        <v>59.5</v>
      </c>
      <c r="HJ258" s="19">
        <v>58.6</v>
      </c>
      <c r="HK258" s="19">
        <v>57.6</v>
      </c>
      <c r="HL258" s="19">
        <v>54.3</v>
      </c>
      <c r="HM258" s="19">
        <v>55.5</v>
      </c>
      <c r="HN258" s="19">
        <v>52.3</v>
      </c>
      <c r="HO258" s="19">
        <v>51.4</v>
      </c>
      <c r="HP258" s="19">
        <v>50.4</v>
      </c>
      <c r="HQ258" s="19">
        <v>49.4</v>
      </c>
      <c r="HR258" s="19">
        <v>48.4</v>
      </c>
      <c r="HS258" s="19">
        <v>47.4</v>
      </c>
      <c r="HT258" s="19">
        <v>46.4</v>
      </c>
      <c r="HU258" s="19">
        <v>45.4</v>
      </c>
      <c r="HV258" s="19">
        <v>44.4</v>
      </c>
      <c r="HW258" s="19">
        <v>43.4</v>
      </c>
      <c r="HX258" s="19">
        <v>42.4</v>
      </c>
      <c r="HY258" s="19">
        <v>41.4</v>
      </c>
      <c r="HZ258" s="19">
        <v>40.4</v>
      </c>
      <c r="IA258" s="19">
        <v>39.3</v>
      </c>
      <c r="IB258" s="19">
        <v>38.3</v>
      </c>
    </row>
    <row r="259">
      <c r="A259" s="2" t="s">
        <v>1746</v>
      </c>
      <c r="B259" s="2" t="s">
        <v>1724</v>
      </c>
      <c r="C259" s="2" t="s">
        <v>848</v>
      </c>
      <c r="D259" s="2" t="s">
        <v>1725</v>
      </c>
      <c r="E259" s="2" t="s">
        <v>1726</v>
      </c>
      <c r="F259" s="2" t="s">
        <v>1727</v>
      </c>
      <c r="G259" s="2" t="s">
        <v>1727</v>
      </c>
      <c r="H259" s="2" t="s">
        <v>1727</v>
      </c>
      <c r="I259" s="2" t="s">
        <v>1747</v>
      </c>
      <c r="J259" s="2" t="s">
        <v>1608</v>
      </c>
      <c r="K259" s="2" t="s">
        <v>1748</v>
      </c>
      <c r="L259" s="3">
        <v>7.08</v>
      </c>
      <c r="M259" s="3">
        <v>7.43</v>
      </c>
      <c r="N259" s="3">
        <v>15.99</v>
      </c>
      <c r="O259" s="2" t="s">
        <v>230</v>
      </c>
      <c r="P259" s="2" t="s">
        <v>231</v>
      </c>
      <c r="Q259" s="2" t="s">
        <v>232</v>
      </c>
      <c r="R259" s="2" t="s">
        <v>233</v>
      </c>
      <c r="S259" s="2" t="s">
        <v>233</v>
      </c>
      <c r="T259" s="2" t="s">
        <v>233</v>
      </c>
      <c r="U259" s="2" t="s">
        <v>329</v>
      </c>
      <c r="V259" s="2" t="s">
        <v>609</v>
      </c>
      <c r="W259" s="2" t="s">
        <v>237</v>
      </c>
      <c r="X259" s="2" t="s">
        <v>233</v>
      </c>
      <c r="Y259" s="2" t="s">
        <v>1749</v>
      </c>
      <c r="Z259" s="4">
        <v>732</v>
      </c>
      <c r="AA259" s="4">
        <f>=ROUNDDOWN(43.0588235294118,0)</f>
      </c>
      <c r="AB259" s="5">
        <v>17</v>
      </c>
      <c r="AC259" s="2" t="s">
        <v>233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233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 t="s">
        <v>233</v>
      </c>
      <c r="BD259" s="8" t="s">
        <v>233</v>
      </c>
      <c r="BE259" s="4" t="s">
        <v>233</v>
      </c>
      <c r="BF259" s="8" t="s">
        <v>233</v>
      </c>
      <c r="BG259" s="7" t="s">
        <v>233</v>
      </c>
      <c r="BH259" s="7" t="s">
        <v>233</v>
      </c>
      <c r="BI259" s="7"/>
      <c r="BJ259" s="4">
        <v>24</v>
      </c>
      <c r="BK259" s="8">
        <v>264.96</v>
      </c>
      <c r="BL259" s="2" t="s">
        <v>351</v>
      </c>
      <c r="BM259" s="7"/>
      <c r="BN259" s="7"/>
      <c r="BO259" s="4"/>
      <c r="BP259" s="8"/>
      <c r="BQ259" s="4"/>
      <c r="BR259" s="8"/>
      <c r="BS259" s="7"/>
      <c r="BT259" s="7"/>
      <c r="BU259" s="2" t="s">
        <v>1608</v>
      </c>
      <c r="BV259" s="2" t="s">
        <v>233</v>
      </c>
      <c r="BW259" s="2" t="s">
        <v>233</v>
      </c>
      <c r="BX259" s="2" t="s">
        <v>241</v>
      </c>
      <c r="BY259" s="2" t="s">
        <v>1730</v>
      </c>
      <c r="BZ259" s="2" t="s">
        <v>230</v>
      </c>
      <c r="CA259" s="2" t="s">
        <v>233</v>
      </c>
      <c r="CB259" s="2" t="s">
        <v>233</v>
      </c>
      <c r="CC259" s="2" t="s">
        <v>245</v>
      </c>
      <c r="CD259" s="2" t="s">
        <v>233</v>
      </c>
      <c r="CE259" s="4">
        <v>732</v>
      </c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>
        <v>732</v>
      </c>
      <c r="GD259" s="4">
        <v>668</v>
      </c>
      <c r="GE259" s="4">
        <v>647</v>
      </c>
      <c r="GF259" s="4">
        <v>628</v>
      </c>
      <c r="GG259" s="4">
        <v>608</v>
      </c>
      <c r="GH259" s="4">
        <v>590</v>
      </c>
      <c r="GI259" s="4">
        <v>572</v>
      </c>
      <c r="GJ259" s="4">
        <v>555</v>
      </c>
      <c r="GK259" s="4">
        <v>538</v>
      </c>
      <c r="GL259" s="4">
        <v>521</v>
      </c>
      <c r="GM259" s="4">
        <v>501</v>
      </c>
      <c r="GN259" s="4">
        <v>484</v>
      </c>
      <c r="GO259" s="4">
        <v>467</v>
      </c>
      <c r="GP259" s="4">
        <v>448</v>
      </c>
      <c r="GQ259" s="4">
        <v>429</v>
      </c>
      <c r="GR259" s="4">
        <v>410</v>
      </c>
      <c r="GS259" s="4">
        <v>391</v>
      </c>
      <c r="GT259" s="4">
        <v>372</v>
      </c>
      <c r="GU259" s="4">
        <v>353</v>
      </c>
      <c r="GV259" s="4">
        <v>334</v>
      </c>
      <c r="GW259" s="4">
        <v>315</v>
      </c>
      <c r="GX259" s="4">
        <v>296</v>
      </c>
      <c r="GY259" s="4">
        <v>277</v>
      </c>
      <c r="GZ259" s="4">
        <v>258</v>
      </c>
      <c r="HA259" s="4">
        <v>238</v>
      </c>
      <c r="HB259" s="4">
        <v>219</v>
      </c>
      <c r="HC259" s="19">
        <v>23.6</v>
      </c>
      <c r="HD259" s="19">
        <v>33.4</v>
      </c>
      <c r="HE259" s="19">
        <v>34.1</v>
      </c>
      <c r="HF259" s="19">
        <v>34.9</v>
      </c>
      <c r="HG259" s="19">
        <v>33.8</v>
      </c>
      <c r="HH259" s="19">
        <v>34.7</v>
      </c>
      <c r="HI259" s="19">
        <v>31.8</v>
      </c>
      <c r="HJ259" s="19">
        <v>30.8</v>
      </c>
      <c r="HK259" s="19">
        <v>29.9</v>
      </c>
      <c r="HL259" s="19">
        <v>28.9</v>
      </c>
      <c r="HM259" s="19">
        <v>27.8</v>
      </c>
      <c r="HN259" s="19">
        <v>26.9</v>
      </c>
      <c r="HO259" s="19">
        <v>24.6</v>
      </c>
      <c r="HP259" s="19">
        <v>23.6</v>
      </c>
      <c r="HQ259" s="19">
        <v>22.6</v>
      </c>
      <c r="HR259" s="19">
        <v>21.6</v>
      </c>
      <c r="HS259" s="19">
        <v>20.6</v>
      </c>
      <c r="HT259" s="19">
        <v>19.6</v>
      </c>
      <c r="HU259" s="19">
        <v>18.6</v>
      </c>
      <c r="HV259" s="19">
        <v>17.6</v>
      </c>
      <c r="HW259" s="19">
        <v>16.6</v>
      </c>
      <c r="HX259" s="19">
        <v>15.6</v>
      </c>
      <c r="HY259" s="19">
        <v>14.6</v>
      </c>
      <c r="HZ259" s="19">
        <v>13.6</v>
      </c>
      <c r="IA259" s="19">
        <v>12.5</v>
      </c>
      <c r="IB259" s="19">
        <v>11.5</v>
      </c>
    </row>
    <row r="260">
      <c r="A260" s="2" t="s">
        <v>1750</v>
      </c>
      <c r="B260" s="2" t="s">
        <v>1724</v>
      </c>
      <c r="C260" s="2" t="s">
        <v>848</v>
      </c>
      <c r="D260" s="2" t="s">
        <v>1725</v>
      </c>
      <c r="E260" s="2" t="s">
        <v>1726</v>
      </c>
      <c r="F260" s="2" t="s">
        <v>1727</v>
      </c>
      <c r="G260" s="2" t="s">
        <v>1727</v>
      </c>
      <c r="H260" s="2" t="s">
        <v>1727</v>
      </c>
      <c r="I260" s="2" t="s">
        <v>1751</v>
      </c>
      <c r="J260" s="2" t="s">
        <v>741</v>
      </c>
      <c r="K260" s="2" t="s">
        <v>832</v>
      </c>
      <c r="L260" s="3">
        <v>8.06</v>
      </c>
      <c r="M260" s="3">
        <v>8.46</v>
      </c>
      <c r="N260" s="3">
        <v>14.99</v>
      </c>
      <c r="O260" s="2" t="s">
        <v>230</v>
      </c>
      <c r="P260" s="2" t="s">
        <v>231</v>
      </c>
      <c r="Q260" s="2" t="s">
        <v>232</v>
      </c>
      <c r="R260" s="2" t="s">
        <v>233</v>
      </c>
      <c r="S260" s="2" t="s">
        <v>233</v>
      </c>
      <c r="T260" s="2" t="s">
        <v>233</v>
      </c>
      <c r="U260" s="2" t="s">
        <v>329</v>
      </c>
      <c r="V260" s="2" t="s">
        <v>609</v>
      </c>
      <c r="W260" s="2" t="s">
        <v>237</v>
      </c>
      <c r="X260" s="2" t="s">
        <v>233</v>
      </c>
      <c r="Y260" s="2" t="s">
        <v>1734</v>
      </c>
      <c r="Z260" s="4">
        <v>202</v>
      </c>
      <c r="AA260" s="4">
        <f>=ROUNDDOWN(35.4385964912281,0)</f>
      </c>
      <c r="AB260" s="5">
        <v>5.7</v>
      </c>
      <c r="AC260" s="2" t="s">
        <v>233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233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 t="s">
        <v>233</v>
      </c>
      <c r="BD260" s="8" t="s">
        <v>233</v>
      </c>
      <c r="BE260" s="4" t="s">
        <v>233</v>
      </c>
      <c r="BF260" s="8" t="s">
        <v>233</v>
      </c>
      <c r="BG260" s="7" t="s">
        <v>233</v>
      </c>
      <c r="BH260" s="7" t="s">
        <v>233</v>
      </c>
      <c r="BI260" s="7"/>
      <c r="BJ260" s="4"/>
      <c r="BK260" s="8"/>
      <c r="BL260" s="2" t="s">
        <v>233</v>
      </c>
      <c r="BM260" s="7"/>
      <c r="BN260" s="7"/>
      <c r="BO260" s="4"/>
      <c r="BP260" s="8"/>
      <c r="BQ260" s="4"/>
      <c r="BR260" s="8"/>
      <c r="BS260" s="7"/>
      <c r="BT260" s="7"/>
      <c r="BU260" s="2" t="s">
        <v>1608</v>
      </c>
      <c r="BV260" s="2" t="s">
        <v>233</v>
      </c>
      <c r="BW260" s="2" t="s">
        <v>233</v>
      </c>
      <c r="BX260" s="2" t="s">
        <v>241</v>
      </c>
      <c r="BY260" s="2" t="s">
        <v>1730</v>
      </c>
      <c r="BZ260" s="2" t="s">
        <v>230</v>
      </c>
      <c r="CA260" s="2" t="s">
        <v>233</v>
      </c>
      <c r="CB260" s="2" t="s">
        <v>233</v>
      </c>
      <c r="CC260" s="2" t="s">
        <v>245</v>
      </c>
      <c r="CD260" s="2" t="s">
        <v>233</v>
      </c>
      <c r="CE260" s="4"/>
      <c r="CF260" s="4">
        <v>102</v>
      </c>
      <c r="CG260" s="4"/>
      <c r="CH260" s="4">
        <v>100</v>
      </c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>
        <v>202</v>
      </c>
      <c r="GD260" s="4">
        <v>202</v>
      </c>
      <c r="GE260" s="4">
        <v>202</v>
      </c>
      <c r="GF260" s="4">
        <v>202</v>
      </c>
      <c r="GG260" s="4">
        <v>202</v>
      </c>
      <c r="GH260" s="4">
        <v>202</v>
      </c>
      <c r="GI260" s="4">
        <v>202</v>
      </c>
      <c r="GJ260" s="4">
        <v>202</v>
      </c>
      <c r="GK260" s="4">
        <v>202</v>
      </c>
      <c r="GL260" s="4">
        <v>202</v>
      </c>
      <c r="GM260" s="4">
        <v>202</v>
      </c>
      <c r="GN260" s="4">
        <v>202</v>
      </c>
      <c r="GO260" s="4">
        <v>202</v>
      </c>
      <c r="GP260" s="4">
        <v>202</v>
      </c>
      <c r="GQ260" s="4">
        <v>202</v>
      </c>
      <c r="GR260" s="4">
        <v>202</v>
      </c>
      <c r="GS260" s="4">
        <v>202</v>
      </c>
      <c r="GT260" s="4">
        <v>202</v>
      </c>
      <c r="GU260" s="4">
        <v>199</v>
      </c>
      <c r="GV260" s="4">
        <v>192</v>
      </c>
      <c r="GW260" s="4">
        <v>185</v>
      </c>
      <c r="GX260" s="4">
        <v>178</v>
      </c>
      <c r="GY260" s="4">
        <v>171</v>
      </c>
      <c r="GZ260" s="4">
        <v>164</v>
      </c>
      <c r="HA260" s="4">
        <v>157</v>
      </c>
      <c r="HB260" s="4">
        <v>150</v>
      </c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19">
        <v>202</v>
      </c>
      <c r="HR260" s="19">
        <v>101</v>
      </c>
      <c r="HS260" s="19">
        <v>50.5</v>
      </c>
      <c r="HT260" s="19">
        <v>33.7</v>
      </c>
      <c r="HU260" s="19">
        <v>28.4</v>
      </c>
      <c r="HV260" s="19">
        <v>27.4</v>
      </c>
      <c r="HW260" s="19">
        <v>26.4</v>
      </c>
      <c r="HX260" s="19">
        <v>25.4</v>
      </c>
      <c r="HY260" s="19">
        <v>24.4</v>
      </c>
      <c r="HZ260" s="19">
        <v>23.4</v>
      </c>
      <c r="IA260" s="19">
        <v>22.4</v>
      </c>
      <c r="IB260" s="19">
        <v>21.4</v>
      </c>
    </row>
    <row r="261">
      <c r="A261" s="2" t="s">
        <v>1752</v>
      </c>
      <c r="B261" s="2" t="s">
        <v>872</v>
      </c>
      <c r="C261" s="2" t="s">
        <v>280</v>
      </c>
      <c r="D261" s="2" t="s">
        <v>884</v>
      </c>
      <c r="E261" s="2" t="s">
        <v>1753</v>
      </c>
      <c r="F261" s="2" t="s">
        <v>1754</v>
      </c>
      <c r="G261" s="2" t="s">
        <v>1755</v>
      </c>
      <c r="H261" s="2" t="s">
        <v>1756</v>
      </c>
      <c r="I261" s="2" t="s">
        <v>1757</v>
      </c>
      <c r="J261" s="2" t="s">
        <v>265</v>
      </c>
      <c r="K261" s="2" t="s">
        <v>1758</v>
      </c>
      <c r="L261" s="3">
        <v>54.99</v>
      </c>
      <c r="M261" s="3">
        <v>57.74</v>
      </c>
      <c r="N261" s="3">
        <v>109.99</v>
      </c>
      <c r="O261" s="2" t="s">
        <v>230</v>
      </c>
      <c r="P261" s="2" t="s">
        <v>231</v>
      </c>
      <c r="Q261" s="2" t="s">
        <v>232</v>
      </c>
      <c r="R261" s="2" t="s">
        <v>233</v>
      </c>
      <c r="S261" s="2" t="s">
        <v>1759</v>
      </c>
      <c r="T261" s="2" t="s">
        <v>233</v>
      </c>
      <c r="U261" s="2" t="s">
        <v>665</v>
      </c>
      <c r="V261" s="2" t="s">
        <v>1251</v>
      </c>
      <c r="W261" s="2" t="s">
        <v>712</v>
      </c>
      <c r="X261" s="2" t="s">
        <v>1760</v>
      </c>
      <c r="Y261" s="2" t="s">
        <v>238</v>
      </c>
      <c r="Z261" s="4">
        <v>274</v>
      </c>
      <c r="AA261" s="4">
        <f>=ROUNDDOWN(54.8,0)</f>
      </c>
      <c r="AB261" s="5">
        <v>5</v>
      </c>
      <c r="AC261" s="2" t="s">
        <v>233</v>
      </c>
      <c r="AD261" s="4"/>
      <c r="AE261" s="4"/>
      <c r="AF261" s="6">
        <v>65</v>
      </c>
      <c r="AG261" s="6">
        <v>73</v>
      </c>
      <c r="AH261" s="7">
        <v>1</v>
      </c>
      <c r="AI261" s="4"/>
      <c r="AJ261" s="4">
        <f>=ROUNDDOWN({0},0)</f>
      </c>
      <c r="AK261" s="5"/>
      <c r="AL261" s="2" t="s">
        <v>233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>
        <v>22</v>
      </c>
      <c r="BK261" s="8">
        <v>1269.07</v>
      </c>
      <c r="BL261" s="2" t="s">
        <v>1066</v>
      </c>
      <c r="BM261" s="7"/>
      <c r="BN261" s="7"/>
      <c r="BO261" s="4"/>
      <c r="BP261" s="8"/>
      <c r="BQ261" s="4"/>
      <c r="BR261" s="8"/>
      <c r="BS261" s="7"/>
      <c r="BT261" s="7"/>
      <c r="BU261" s="2" t="s">
        <v>1761</v>
      </c>
      <c r="BV261" s="2" t="s">
        <v>233</v>
      </c>
      <c r="BW261" s="2" t="s">
        <v>233</v>
      </c>
      <c r="BX261" s="2" t="s">
        <v>241</v>
      </c>
      <c r="BY261" s="2" t="s">
        <v>242</v>
      </c>
      <c r="BZ261" s="2" t="s">
        <v>230</v>
      </c>
      <c r="CA261" s="2" t="s">
        <v>243</v>
      </c>
      <c r="CB261" s="2" t="s">
        <v>1337</v>
      </c>
      <c r="CC261" s="2" t="s">
        <v>245</v>
      </c>
      <c r="CD261" s="2" t="s">
        <v>233</v>
      </c>
      <c r="CE261" s="4">
        <v>210</v>
      </c>
      <c r="CF261" s="4"/>
      <c r="CG261" s="4"/>
      <c r="CH261" s="4">
        <v>64</v>
      </c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>
        <v>280</v>
      </c>
      <c r="GD261" s="4">
        <v>276</v>
      </c>
      <c r="GE261" s="4">
        <v>271</v>
      </c>
      <c r="GF261" s="4">
        <v>266</v>
      </c>
      <c r="GG261" s="4">
        <v>255</v>
      </c>
      <c r="GH261" s="4">
        <v>248</v>
      </c>
      <c r="GI261" s="4">
        <v>241</v>
      </c>
      <c r="GJ261" s="4">
        <v>237</v>
      </c>
      <c r="GK261" s="4">
        <v>234</v>
      </c>
      <c r="GL261" s="4">
        <v>229</v>
      </c>
      <c r="GM261" s="4">
        <v>224</v>
      </c>
      <c r="GN261" s="4">
        <v>219</v>
      </c>
      <c r="GO261" s="4">
        <v>214</v>
      </c>
      <c r="GP261" s="4">
        <v>209</v>
      </c>
      <c r="GQ261" s="4">
        <v>204</v>
      </c>
      <c r="GR261" s="4">
        <v>199</v>
      </c>
      <c r="GS261" s="4">
        <v>194</v>
      </c>
      <c r="GT261" s="4">
        <v>189</v>
      </c>
      <c r="GU261" s="4">
        <v>184</v>
      </c>
      <c r="GV261" s="4">
        <v>179</v>
      </c>
      <c r="GW261" s="4">
        <v>174</v>
      </c>
      <c r="GX261" s="4">
        <v>169</v>
      </c>
      <c r="GY261" s="4">
        <v>164</v>
      </c>
      <c r="GZ261" s="4">
        <v>159</v>
      </c>
      <c r="HA261" s="4">
        <v>154</v>
      </c>
      <c r="HB261" s="4">
        <v>149</v>
      </c>
      <c r="HC261" s="19">
        <v>37.6</v>
      </c>
      <c r="HD261" s="19">
        <v>37.1</v>
      </c>
      <c r="HE261" s="19">
        <v>32.9</v>
      </c>
      <c r="HF261" s="19">
        <v>35.8</v>
      </c>
      <c r="HG261" s="19">
        <v>39.2</v>
      </c>
      <c r="HH261" s="19">
        <v>52</v>
      </c>
      <c r="HI261" s="19">
        <v>58.2</v>
      </c>
      <c r="HJ261" s="19">
        <v>49.5</v>
      </c>
      <c r="HK261" s="19">
        <v>48.8</v>
      </c>
      <c r="HL261" s="19">
        <v>47.8</v>
      </c>
      <c r="HM261" s="19">
        <v>46.8</v>
      </c>
      <c r="HN261" s="19">
        <v>45.8</v>
      </c>
      <c r="HO261" s="19">
        <v>44.8</v>
      </c>
      <c r="HP261" s="19">
        <v>43.8</v>
      </c>
      <c r="HQ261" s="19">
        <v>42.8</v>
      </c>
      <c r="HR261" s="19">
        <v>41.8</v>
      </c>
      <c r="HS261" s="19">
        <v>40.8</v>
      </c>
      <c r="HT261" s="19">
        <v>39.8</v>
      </c>
      <c r="HU261" s="19">
        <v>38.8</v>
      </c>
      <c r="HV261" s="19">
        <v>37.8</v>
      </c>
      <c r="HW261" s="19">
        <v>36.8</v>
      </c>
      <c r="HX261" s="19">
        <v>35.8</v>
      </c>
      <c r="HY261" s="19">
        <v>34.8</v>
      </c>
      <c r="HZ261" s="19">
        <v>33.8</v>
      </c>
      <c r="IA261" s="19">
        <v>32.8</v>
      </c>
      <c r="IB261" s="19">
        <v>31.8</v>
      </c>
    </row>
    <row r="262">
      <c r="A262" s="2" t="s">
        <v>1762</v>
      </c>
      <c r="B262" s="2" t="s">
        <v>811</v>
      </c>
      <c r="C262" s="2" t="s">
        <v>762</v>
      </c>
      <c r="D262" s="2" t="s">
        <v>1763</v>
      </c>
      <c r="E262" s="2" t="s">
        <v>1764</v>
      </c>
      <c r="F262" s="2" t="s">
        <v>1765</v>
      </c>
      <c r="G262" s="2" t="s">
        <v>1765</v>
      </c>
      <c r="H262" s="2" t="s">
        <v>1765</v>
      </c>
      <c r="I262" s="2" t="s">
        <v>1766</v>
      </c>
      <c r="J262" s="2" t="s">
        <v>741</v>
      </c>
      <c r="K262" s="2" t="s">
        <v>1767</v>
      </c>
      <c r="L262" s="3">
        <v>145</v>
      </c>
      <c r="M262" s="3">
        <v>152.25</v>
      </c>
      <c r="N262" s="3">
        <v>299</v>
      </c>
      <c r="O262" s="2" t="s">
        <v>230</v>
      </c>
      <c r="P262" s="2" t="s">
        <v>721</v>
      </c>
      <c r="Q262" s="2" t="s">
        <v>232</v>
      </c>
      <c r="R262" s="2" t="s">
        <v>233</v>
      </c>
      <c r="S262" s="2" t="s">
        <v>233</v>
      </c>
      <c r="T262" s="2" t="s">
        <v>233</v>
      </c>
      <c r="U262" s="2" t="s">
        <v>329</v>
      </c>
      <c r="V262" s="2" t="s">
        <v>609</v>
      </c>
      <c r="W262" s="2" t="s">
        <v>620</v>
      </c>
      <c r="X262" s="2" t="s">
        <v>877</v>
      </c>
      <c r="Y262" s="2" t="s">
        <v>1768</v>
      </c>
      <c r="Z262" s="4">
        <v>88</v>
      </c>
      <c r="AA262" s="4">
        <f>=ROUNDDOWN(88,0)</f>
      </c>
      <c r="AB262" s="5">
        <v>1</v>
      </c>
      <c r="AC262" s="2" t="s">
        <v>233</v>
      </c>
      <c r="AD262" s="4"/>
      <c r="AE262" s="4"/>
      <c r="AF262" s="6">
        <v>63</v>
      </c>
      <c r="AG262" s="6"/>
      <c r="AH262" s="7">
        <v>1</v>
      </c>
      <c r="AI262" s="4"/>
      <c r="AJ262" s="4">
        <f>=ROUNDDOWN({0},0)</f>
      </c>
      <c r="AK262" s="5"/>
      <c r="AL262" s="2" t="s">
        <v>233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/>
      <c r="BD262" s="8"/>
      <c r="BE262" s="4"/>
      <c r="BF262" s="8"/>
      <c r="BG262" s="7"/>
      <c r="BH262" s="7"/>
      <c r="BI262" s="7"/>
      <c r="BJ262" s="4"/>
      <c r="BK262" s="8"/>
      <c r="BL262" s="2" t="s">
        <v>233</v>
      </c>
      <c r="BM262" s="7"/>
      <c r="BN262" s="7"/>
      <c r="BO262" s="4"/>
      <c r="BP262" s="8"/>
      <c r="BQ262" s="4"/>
      <c r="BR262" s="8"/>
      <c r="BS262" s="7"/>
      <c r="BT262" s="7"/>
      <c r="BU262" s="2" t="s">
        <v>1769</v>
      </c>
      <c r="BV262" s="2" t="s">
        <v>233</v>
      </c>
      <c r="BW262" s="2" t="s">
        <v>233</v>
      </c>
      <c r="BX262" s="2" t="s">
        <v>241</v>
      </c>
      <c r="BY262" s="2" t="s">
        <v>242</v>
      </c>
      <c r="BZ262" s="2" t="s">
        <v>230</v>
      </c>
      <c r="CA262" s="2" t="s">
        <v>1770</v>
      </c>
      <c r="CB262" s="2" t="s">
        <v>233</v>
      </c>
      <c r="CC262" s="2" t="s">
        <v>245</v>
      </c>
      <c r="CD262" s="2" t="s">
        <v>233</v>
      </c>
      <c r="CE262" s="4"/>
      <c r="CF262" s="4">
        <v>88</v>
      </c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>
        <v>88</v>
      </c>
      <c r="GD262" s="4">
        <v>87</v>
      </c>
      <c r="GE262" s="4">
        <v>86</v>
      </c>
      <c r="GF262" s="4">
        <v>85</v>
      </c>
      <c r="GG262" s="4">
        <v>84</v>
      </c>
      <c r="GH262" s="4">
        <v>83</v>
      </c>
      <c r="GI262" s="4">
        <v>82</v>
      </c>
      <c r="GJ262" s="4">
        <v>81</v>
      </c>
      <c r="GK262" s="4">
        <v>80</v>
      </c>
      <c r="GL262" s="4">
        <v>79</v>
      </c>
      <c r="GM262" s="4">
        <v>78</v>
      </c>
      <c r="GN262" s="4">
        <v>77</v>
      </c>
      <c r="GO262" s="4">
        <v>76</v>
      </c>
      <c r="GP262" s="4">
        <v>75</v>
      </c>
      <c r="GQ262" s="4">
        <v>74</v>
      </c>
      <c r="GR262" s="4">
        <v>73</v>
      </c>
      <c r="GS262" s="4">
        <v>72</v>
      </c>
      <c r="GT262" s="4">
        <v>71</v>
      </c>
      <c r="GU262" s="4">
        <v>70</v>
      </c>
      <c r="GV262" s="4">
        <v>69</v>
      </c>
      <c r="GW262" s="4">
        <v>68</v>
      </c>
      <c r="GX262" s="4">
        <v>67</v>
      </c>
      <c r="GY262" s="4">
        <v>66</v>
      </c>
      <c r="GZ262" s="4">
        <v>65</v>
      </c>
      <c r="HA262" s="4">
        <v>64</v>
      </c>
      <c r="HB262" s="4">
        <v>63</v>
      </c>
      <c r="HC262" s="19">
        <v>88</v>
      </c>
      <c r="HD262" s="19">
        <v>87</v>
      </c>
      <c r="HE262" s="19">
        <v>86</v>
      </c>
      <c r="HF262" s="19">
        <v>85</v>
      </c>
      <c r="HG262" s="19">
        <v>84</v>
      </c>
      <c r="HH262" s="19">
        <v>83</v>
      </c>
      <c r="HI262" s="19">
        <v>82</v>
      </c>
      <c r="HJ262" s="19">
        <v>81</v>
      </c>
      <c r="HK262" s="19">
        <v>80</v>
      </c>
      <c r="HL262" s="19">
        <v>79</v>
      </c>
      <c r="HM262" s="19">
        <v>78</v>
      </c>
      <c r="HN262" s="19">
        <v>77</v>
      </c>
      <c r="HO262" s="19">
        <v>76</v>
      </c>
      <c r="HP262" s="19">
        <v>75</v>
      </c>
      <c r="HQ262" s="19">
        <v>74</v>
      </c>
      <c r="HR262" s="19">
        <v>73</v>
      </c>
      <c r="HS262" s="19">
        <v>72</v>
      </c>
      <c r="HT262" s="19">
        <v>71</v>
      </c>
      <c r="HU262" s="19">
        <v>70</v>
      </c>
      <c r="HV262" s="19">
        <v>69</v>
      </c>
      <c r="HW262" s="19">
        <v>68</v>
      </c>
      <c r="HX262" s="19">
        <v>67</v>
      </c>
      <c r="HY262" s="19">
        <v>66</v>
      </c>
      <c r="HZ262" s="19">
        <v>65</v>
      </c>
      <c r="IA262" s="19">
        <v>64</v>
      </c>
      <c r="IB262" s="19">
        <v>63</v>
      </c>
    </row>
    <row r="263">
      <c r="A263" s="2" t="s">
        <v>1771</v>
      </c>
      <c r="B263" s="2" t="s">
        <v>825</v>
      </c>
      <c r="C263" s="2" t="s">
        <v>1772</v>
      </c>
      <c r="D263" s="2" t="s">
        <v>261</v>
      </c>
      <c r="E263" s="2" t="s">
        <v>603</v>
      </c>
      <c r="F263" s="2" t="s">
        <v>1773</v>
      </c>
      <c r="G263" s="2" t="s">
        <v>1774</v>
      </c>
      <c r="H263" s="2" t="s">
        <v>1775</v>
      </c>
      <c r="I263" s="2" t="s">
        <v>1776</v>
      </c>
      <c r="J263" s="2" t="s">
        <v>265</v>
      </c>
      <c r="K263" s="2" t="s">
        <v>1777</v>
      </c>
      <c r="L263" s="3">
        <v>68.84</v>
      </c>
      <c r="M263" s="3">
        <v>72.28</v>
      </c>
      <c r="N263" s="3">
        <v>144.99</v>
      </c>
      <c r="O263" s="2" t="s">
        <v>230</v>
      </c>
      <c r="P263" s="2" t="s">
        <v>231</v>
      </c>
      <c r="Q263" s="2" t="s">
        <v>232</v>
      </c>
      <c r="R263" s="2" t="s">
        <v>233</v>
      </c>
      <c r="S263" s="2" t="s">
        <v>1778</v>
      </c>
      <c r="T263" s="2" t="s">
        <v>348</v>
      </c>
      <c r="U263" s="2" t="s">
        <v>608</v>
      </c>
      <c r="V263" s="2" t="s">
        <v>236</v>
      </c>
      <c r="W263" s="2" t="s">
        <v>1631</v>
      </c>
      <c r="X263" s="2" t="s">
        <v>1779</v>
      </c>
      <c r="Y263" s="2" t="s">
        <v>1780</v>
      </c>
      <c r="Z263" s="4">
        <v>437</v>
      </c>
      <c r="AA263" s="4">
        <f>=ROUNDDOWN(54.625,0)</f>
      </c>
      <c r="AB263" s="5">
        <v>8</v>
      </c>
      <c r="AC263" s="2" t="s">
        <v>233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233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>
        <v>40</v>
      </c>
      <c r="BK263" s="8">
        <v>2992.01</v>
      </c>
      <c r="BL263" s="2" t="s">
        <v>1781</v>
      </c>
      <c r="BM263" s="7"/>
      <c r="BN263" s="7"/>
      <c r="BO263" s="4"/>
      <c r="BP263" s="8"/>
      <c r="BQ263" s="4"/>
      <c r="BR263" s="8"/>
      <c r="BS263" s="7"/>
      <c r="BT263" s="7"/>
      <c r="BU263" s="2" t="s">
        <v>1782</v>
      </c>
      <c r="BV263" s="2" t="s">
        <v>233</v>
      </c>
      <c r="BW263" s="2" t="s">
        <v>233</v>
      </c>
      <c r="BX263" s="2" t="s">
        <v>293</v>
      </c>
      <c r="BY263" s="2" t="s">
        <v>242</v>
      </c>
      <c r="BZ263" s="2" t="s">
        <v>230</v>
      </c>
      <c r="CA263" s="2" t="s">
        <v>1485</v>
      </c>
      <c r="CB263" s="2" t="s">
        <v>1130</v>
      </c>
      <c r="CC263" s="2" t="s">
        <v>245</v>
      </c>
      <c r="CD263" s="2" t="s">
        <v>233</v>
      </c>
      <c r="CE263" s="4">
        <v>437</v>
      </c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>
        <v>443</v>
      </c>
      <c r="GD263" s="4">
        <v>407</v>
      </c>
      <c r="GE263" s="4">
        <v>392</v>
      </c>
      <c r="GF263" s="4">
        <v>380</v>
      </c>
      <c r="GG263" s="4">
        <v>356</v>
      </c>
      <c r="GH263" s="4">
        <v>338</v>
      </c>
      <c r="GI263" s="4">
        <v>322</v>
      </c>
      <c r="GJ263" s="4">
        <v>311</v>
      </c>
      <c r="GK263" s="4">
        <v>304</v>
      </c>
      <c r="GL263" s="4">
        <v>295</v>
      </c>
      <c r="GM263" s="4">
        <v>287</v>
      </c>
      <c r="GN263" s="4">
        <v>279</v>
      </c>
      <c r="GO263" s="4">
        <v>271</v>
      </c>
      <c r="GP263" s="4">
        <v>263</v>
      </c>
      <c r="GQ263" s="4">
        <v>255</v>
      </c>
      <c r="GR263" s="4">
        <v>247</v>
      </c>
      <c r="GS263" s="4">
        <v>239</v>
      </c>
      <c r="GT263" s="4">
        <v>230</v>
      </c>
      <c r="GU263" s="4">
        <v>222</v>
      </c>
      <c r="GV263" s="4">
        <v>214</v>
      </c>
      <c r="GW263" s="4">
        <v>206</v>
      </c>
      <c r="GX263" s="4">
        <v>198</v>
      </c>
      <c r="GY263" s="4">
        <v>190</v>
      </c>
      <c r="GZ263" s="4">
        <v>182</v>
      </c>
      <c r="HA263" s="4">
        <v>174</v>
      </c>
      <c r="HB263" s="4">
        <v>166</v>
      </c>
      <c r="HC263" s="19">
        <v>20.1</v>
      </c>
      <c r="HD263" s="19">
        <v>23.9</v>
      </c>
      <c r="HE263" s="19">
        <v>21.8</v>
      </c>
      <c r="HF263" s="19">
        <v>22.4</v>
      </c>
      <c r="HG263" s="19">
        <v>27.4</v>
      </c>
      <c r="HH263" s="19">
        <v>30.7</v>
      </c>
      <c r="HI263" s="19">
        <v>35.8</v>
      </c>
      <c r="HJ263" s="19">
        <v>38.9</v>
      </c>
      <c r="HK263" s="19">
        <v>38</v>
      </c>
      <c r="HL263" s="19">
        <v>36.9</v>
      </c>
      <c r="HM263" s="19">
        <v>35.9</v>
      </c>
      <c r="HN263" s="19">
        <v>34.9</v>
      </c>
      <c r="HO263" s="19">
        <v>33.9</v>
      </c>
      <c r="HP263" s="19">
        <v>32.9</v>
      </c>
      <c r="HQ263" s="19">
        <v>31.9</v>
      </c>
      <c r="HR263" s="19">
        <v>30.9</v>
      </c>
      <c r="HS263" s="19">
        <v>29.9</v>
      </c>
      <c r="HT263" s="19">
        <v>28.8</v>
      </c>
      <c r="HU263" s="19">
        <v>27.8</v>
      </c>
      <c r="HV263" s="19">
        <v>26.8</v>
      </c>
      <c r="HW263" s="19">
        <v>25.8</v>
      </c>
      <c r="HX263" s="19">
        <v>24.8</v>
      </c>
      <c r="HY263" s="19">
        <v>23.8</v>
      </c>
      <c r="HZ263" s="19">
        <v>22.8</v>
      </c>
      <c r="IA263" s="19">
        <v>21.8</v>
      </c>
      <c r="IB263" s="19">
        <v>20.8</v>
      </c>
    </row>
    <row r="264">
      <c r="A264" s="2" t="s">
        <v>1783</v>
      </c>
      <c r="B264" s="2" t="s">
        <v>872</v>
      </c>
      <c r="C264" s="2" t="s">
        <v>1398</v>
      </c>
      <c r="D264" s="2" t="s">
        <v>261</v>
      </c>
      <c r="E264" s="2" t="s">
        <v>603</v>
      </c>
      <c r="F264" s="2" t="s">
        <v>1784</v>
      </c>
      <c r="G264" s="2" t="s">
        <v>1785</v>
      </c>
      <c r="H264" s="2" t="s">
        <v>1786</v>
      </c>
      <c r="I264" s="2" t="s">
        <v>1787</v>
      </c>
      <c r="J264" s="2" t="s">
        <v>336</v>
      </c>
      <c r="K264" s="2" t="s">
        <v>1788</v>
      </c>
      <c r="L264" s="3">
        <v>33.79</v>
      </c>
      <c r="M264" s="3">
        <v>35.48</v>
      </c>
      <c r="N264" s="3">
        <v>64.99</v>
      </c>
      <c r="O264" s="2" t="s">
        <v>230</v>
      </c>
      <c r="P264" s="2" t="s">
        <v>597</v>
      </c>
      <c r="Q264" s="2" t="s">
        <v>232</v>
      </c>
      <c r="R264" s="2" t="s">
        <v>233</v>
      </c>
      <c r="S264" s="2" t="s">
        <v>1789</v>
      </c>
      <c r="T264" s="2" t="s">
        <v>469</v>
      </c>
      <c r="U264" s="2" t="s">
        <v>635</v>
      </c>
      <c r="V264" s="2" t="s">
        <v>236</v>
      </c>
      <c r="W264" s="2" t="s">
        <v>620</v>
      </c>
      <c r="X264" s="2" t="s">
        <v>233</v>
      </c>
      <c r="Y264" s="2" t="s">
        <v>1790</v>
      </c>
      <c r="Z264" s="4">
        <v>2254</v>
      </c>
      <c r="AA264" s="4">
        <f>=ROUNDDOWN(450.8,0)</f>
      </c>
      <c r="AB264" s="5">
        <v>5</v>
      </c>
      <c r="AC264" s="2" t="s">
        <v>1791</v>
      </c>
      <c r="AD264" s="4">
        <v>90</v>
      </c>
      <c r="AE264" s="4">
        <v>90</v>
      </c>
      <c r="AF264" s="6">
        <v>63</v>
      </c>
      <c r="AG264" s="6">
        <v>46</v>
      </c>
      <c r="AH264" s="7">
        <v>1</v>
      </c>
      <c r="AI264" s="4"/>
      <c r="AJ264" s="4">
        <f>=ROUNDDOWN({0},0)</f>
      </c>
      <c r="AK264" s="5"/>
      <c r="AL264" s="2" t="s">
        <v>233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 t="s">
        <v>233</v>
      </c>
      <c r="BD264" s="8" t="s">
        <v>233</v>
      </c>
      <c r="BE264" s="4" t="s">
        <v>233</v>
      </c>
      <c r="BF264" s="8" t="s">
        <v>233</v>
      </c>
      <c r="BG264" s="7" t="s">
        <v>233</v>
      </c>
      <c r="BH264" s="7" t="s">
        <v>233</v>
      </c>
      <c r="BI264" s="7"/>
      <c r="BJ264" s="4">
        <v>12</v>
      </c>
      <c r="BK264" s="8">
        <v>455.82</v>
      </c>
      <c r="BL264" s="2" t="s">
        <v>1792</v>
      </c>
      <c r="BM264" s="7"/>
      <c r="BN264" s="7"/>
      <c r="BO264" s="4"/>
      <c r="BP264" s="8"/>
      <c r="BQ264" s="4"/>
      <c r="BR264" s="8"/>
      <c r="BS264" s="7"/>
      <c r="BT264" s="7"/>
      <c r="BU264" s="2" t="s">
        <v>1793</v>
      </c>
      <c r="BV264" s="2" t="s">
        <v>233</v>
      </c>
      <c r="BW264" s="2" t="s">
        <v>233</v>
      </c>
      <c r="BX264" s="2" t="s">
        <v>241</v>
      </c>
      <c r="BY264" s="2" t="s">
        <v>242</v>
      </c>
      <c r="BZ264" s="2" t="s">
        <v>230</v>
      </c>
      <c r="CA264" s="2" t="s">
        <v>1794</v>
      </c>
      <c r="CB264" s="2" t="s">
        <v>1795</v>
      </c>
      <c r="CC264" s="2" t="s">
        <v>245</v>
      </c>
      <c r="CD264" s="2" t="s">
        <v>233</v>
      </c>
      <c r="CE264" s="4">
        <v>1649</v>
      </c>
      <c r="CF264" s="4"/>
      <c r="CG264" s="4"/>
      <c r="CH264" s="4">
        <v>605</v>
      </c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>
        <v>90</v>
      </c>
      <c r="FV264" s="4"/>
      <c r="FW264" s="4"/>
      <c r="FX264" s="4"/>
      <c r="FY264" s="4"/>
      <c r="FZ264" s="4"/>
      <c r="GA264" s="4"/>
      <c r="GB264" s="4"/>
      <c r="GC264" s="4">
        <v>2254</v>
      </c>
      <c r="GD264" s="4">
        <v>2235</v>
      </c>
      <c r="GE264" s="4">
        <v>2229</v>
      </c>
      <c r="GF264" s="4">
        <v>2220</v>
      </c>
      <c r="GG264" s="4">
        <v>2209</v>
      </c>
      <c r="GH264" s="4">
        <v>2199</v>
      </c>
      <c r="GI264" s="4">
        <v>2193</v>
      </c>
      <c r="GJ264" s="4">
        <v>2187</v>
      </c>
      <c r="GK264" s="4">
        <v>2182</v>
      </c>
      <c r="GL264" s="4">
        <v>2177</v>
      </c>
      <c r="GM264" s="4">
        <v>2172</v>
      </c>
      <c r="GN264" s="4">
        <v>2167</v>
      </c>
      <c r="GO264" s="4">
        <v>2162</v>
      </c>
      <c r="GP264" s="4">
        <v>2157</v>
      </c>
      <c r="GQ264" s="4">
        <v>2152</v>
      </c>
      <c r="GR264" s="4">
        <v>2147</v>
      </c>
      <c r="GS264" s="4">
        <v>2142</v>
      </c>
      <c r="GT264" s="4">
        <v>2227</v>
      </c>
      <c r="GU264" s="4">
        <v>2222</v>
      </c>
      <c r="GV264" s="4">
        <v>2217</v>
      </c>
      <c r="GW264" s="4">
        <v>2212</v>
      </c>
      <c r="GX264" s="4">
        <v>2207</v>
      </c>
      <c r="GY264" s="4">
        <v>2202</v>
      </c>
      <c r="GZ264" s="4">
        <v>2197</v>
      </c>
      <c r="HA264" s="4">
        <v>2192</v>
      </c>
      <c r="HB264" s="4">
        <v>2187</v>
      </c>
      <c r="HC264" s="19">
        <v>242.9</v>
      </c>
      <c r="HD264" s="19">
        <v>267.2</v>
      </c>
      <c r="HE264" s="19">
        <v>266.6</v>
      </c>
      <c r="HF264" s="19">
        <v>284.9</v>
      </c>
      <c r="HG264" s="19">
        <v>310.3</v>
      </c>
      <c r="HH264" s="19">
        <v>497.3</v>
      </c>
      <c r="HI264" s="19">
        <v>496.2</v>
      </c>
      <c r="HJ264" s="19">
        <v>495</v>
      </c>
      <c r="HK264" s="19">
        <v>494</v>
      </c>
      <c r="HL264" s="19">
        <v>493</v>
      </c>
      <c r="HM264" s="19">
        <v>492</v>
      </c>
      <c r="HN264" s="19">
        <v>491</v>
      </c>
      <c r="HO264" s="19">
        <v>490</v>
      </c>
      <c r="HP264" s="19">
        <v>489</v>
      </c>
      <c r="HQ264" s="19">
        <v>488</v>
      </c>
      <c r="HR264" s="19">
        <v>487</v>
      </c>
      <c r="HS264" s="19">
        <v>486</v>
      </c>
      <c r="HT264" s="19">
        <v>496.3</v>
      </c>
      <c r="HU264" s="19">
        <v>495.3</v>
      </c>
      <c r="HV264" s="19">
        <v>494.3</v>
      </c>
      <c r="HW264" s="19">
        <v>493.3</v>
      </c>
      <c r="HX264" s="19">
        <v>492.3</v>
      </c>
      <c r="HY264" s="19">
        <v>491.3</v>
      </c>
      <c r="HZ264" s="19">
        <v>490.3</v>
      </c>
      <c r="IA264" s="19">
        <v>489.3</v>
      </c>
      <c r="IB264" s="19">
        <v>488.3</v>
      </c>
    </row>
    <row r="265">
      <c r="A265" s="2" t="s">
        <v>1796</v>
      </c>
      <c r="B265" s="2" t="s">
        <v>872</v>
      </c>
      <c r="C265" s="2" t="s">
        <v>1398</v>
      </c>
      <c r="D265" s="2" t="s">
        <v>261</v>
      </c>
      <c r="E265" s="2" t="s">
        <v>603</v>
      </c>
      <c r="F265" s="2" t="s">
        <v>1784</v>
      </c>
      <c r="G265" s="2" t="s">
        <v>1785</v>
      </c>
      <c r="H265" s="2" t="s">
        <v>1786</v>
      </c>
      <c r="I265" s="2" t="s">
        <v>1787</v>
      </c>
      <c r="J265" s="2" t="s">
        <v>1052</v>
      </c>
      <c r="K265" s="2" t="s">
        <v>870</v>
      </c>
      <c r="L265" s="3">
        <v>28.59</v>
      </c>
      <c r="M265" s="3">
        <v>30.02</v>
      </c>
      <c r="N265" s="3">
        <v>54.99</v>
      </c>
      <c r="O265" s="2" t="s">
        <v>230</v>
      </c>
      <c r="P265" s="2" t="s">
        <v>597</v>
      </c>
      <c r="Q265" s="2" t="s">
        <v>232</v>
      </c>
      <c r="R265" s="2" t="s">
        <v>233</v>
      </c>
      <c r="S265" s="2" t="s">
        <v>1797</v>
      </c>
      <c r="T265" s="2" t="s">
        <v>469</v>
      </c>
      <c r="U265" s="2" t="s">
        <v>608</v>
      </c>
      <c r="V265" s="2" t="s">
        <v>236</v>
      </c>
      <c r="W265" s="2" t="s">
        <v>620</v>
      </c>
      <c r="X265" s="2" t="s">
        <v>233</v>
      </c>
      <c r="Y265" s="2" t="s">
        <v>1790</v>
      </c>
      <c r="Z265" s="4">
        <v>94</v>
      </c>
      <c r="AA265" s="4">
        <f>=ROUNDDOWN(18.8,0)</f>
      </c>
      <c r="AB265" s="5">
        <v>5</v>
      </c>
      <c r="AC265" s="2" t="s">
        <v>149</v>
      </c>
      <c r="AD265" s="4">
        <v>150</v>
      </c>
      <c r="AE265" s="4">
        <v>150</v>
      </c>
      <c r="AF265" s="6">
        <v>63</v>
      </c>
      <c r="AG265" s="6">
        <v>46</v>
      </c>
      <c r="AH265" s="7">
        <v>1</v>
      </c>
      <c r="AI265" s="4"/>
      <c r="AJ265" s="4">
        <f>=ROUNDDOWN({0},0)</f>
      </c>
      <c r="AK265" s="5"/>
      <c r="AL265" s="2" t="s">
        <v>233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233</v>
      </c>
      <c r="AW265" s="8" t="s">
        <v>233</v>
      </c>
      <c r="AX265" s="4" t="s">
        <v>233</v>
      </c>
      <c r="AY265" s="8" t="s">
        <v>233</v>
      </c>
      <c r="AZ265" s="7" t="s">
        <v>233</v>
      </c>
      <c r="BA265" s="7" t="s">
        <v>233</v>
      </c>
      <c r="BB265" s="7"/>
      <c r="BC265" s="4" t="s">
        <v>233</v>
      </c>
      <c r="BD265" s="8" t="s">
        <v>233</v>
      </c>
      <c r="BE265" s="4" t="s">
        <v>233</v>
      </c>
      <c r="BF265" s="8" t="s">
        <v>233</v>
      </c>
      <c r="BG265" s="7" t="s">
        <v>233</v>
      </c>
      <c r="BH265" s="7" t="s">
        <v>233</v>
      </c>
      <c r="BI265" s="7"/>
      <c r="BJ265" s="4">
        <v>6</v>
      </c>
      <c r="BK265" s="8">
        <v>178.72</v>
      </c>
      <c r="BL265" s="2" t="s">
        <v>1798</v>
      </c>
      <c r="BM265" s="7"/>
      <c r="BN265" s="7"/>
      <c r="BO265" s="4"/>
      <c r="BP265" s="8"/>
      <c r="BQ265" s="4"/>
      <c r="BR265" s="8"/>
      <c r="BS265" s="7"/>
      <c r="BT265" s="7"/>
      <c r="BU265" s="2" t="s">
        <v>1793</v>
      </c>
      <c r="BV265" s="2" t="s">
        <v>233</v>
      </c>
      <c r="BW265" s="2" t="s">
        <v>233</v>
      </c>
      <c r="BX265" s="2" t="s">
        <v>241</v>
      </c>
      <c r="BY265" s="2" t="s">
        <v>242</v>
      </c>
      <c r="BZ265" s="2" t="s">
        <v>230</v>
      </c>
      <c r="CA265" s="2" t="s">
        <v>1794</v>
      </c>
      <c r="CB265" s="2" t="s">
        <v>1799</v>
      </c>
      <c r="CC265" s="2" t="s">
        <v>245</v>
      </c>
      <c r="CD265" s="2" t="s">
        <v>233</v>
      </c>
      <c r="CE265" s="4">
        <v>1</v>
      </c>
      <c r="CF265" s="4"/>
      <c r="CG265" s="4"/>
      <c r="CH265" s="4">
        <v>93</v>
      </c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>
        <v>150</v>
      </c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>
        <v>94</v>
      </c>
      <c r="GD265" s="4">
        <v>89</v>
      </c>
      <c r="GE265" s="4">
        <v>84</v>
      </c>
      <c r="GF265" s="4">
        <v>76</v>
      </c>
      <c r="GG265" s="4">
        <v>214</v>
      </c>
      <c r="GH265" s="4">
        <v>203</v>
      </c>
      <c r="GI265" s="4">
        <v>198</v>
      </c>
      <c r="GJ265" s="4">
        <v>193</v>
      </c>
      <c r="GK265" s="4">
        <v>188</v>
      </c>
      <c r="GL265" s="4">
        <v>183</v>
      </c>
      <c r="GM265" s="4">
        <v>178</v>
      </c>
      <c r="GN265" s="4">
        <v>173</v>
      </c>
      <c r="GO265" s="4">
        <v>168</v>
      </c>
      <c r="GP265" s="4">
        <v>163</v>
      </c>
      <c r="GQ265" s="4">
        <v>158</v>
      </c>
      <c r="GR265" s="4">
        <v>153</v>
      </c>
      <c r="GS265" s="4">
        <v>148</v>
      </c>
      <c r="GT265" s="4">
        <v>143</v>
      </c>
      <c r="GU265" s="4">
        <v>138</v>
      </c>
      <c r="GV265" s="4">
        <v>133</v>
      </c>
      <c r="GW265" s="4">
        <v>128</v>
      </c>
      <c r="GX265" s="4">
        <v>123</v>
      </c>
      <c r="GY265" s="4">
        <v>118</v>
      </c>
      <c r="GZ265" s="4">
        <v>113</v>
      </c>
      <c r="HA265" s="4">
        <v>108</v>
      </c>
      <c r="HB265" s="4">
        <v>103</v>
      </c>
      <c r="HC265" s="19">
        <v>7.2</v>
      </c>
      <c r="HD265" s="19">
        <v>5</v>
      </c>
      <c r="HE265" s="19">
        <v>4.7</v>
      </c>
      <c r="HF265" s="19">
        <v>4.8</v>
      </c>
      <c r="HG265" s="19">
        <v>17.9</v>
      </c>
      <c r="HH265" s="19">
        <v>20.3</v>
      </c>
      <c r="HI265" s="19">
        <v>19.8</v>
      </c>
      <c r="HJ265" s="19">
        <v>19.3</v>
      </c>
      <c r="HK265" s="19">
        <v>18.8</v>
      </c>
      <c r="HL265" s="19">
        <v>18.3</v>
      </c>
      <c r="HM265" s="19">
        <v>17.8</v>
      </c>
      <c r="HN265" s="19">
        <v>17.3</v>
      </c>
      <c r="HO265" s="19">
        <v>16.8</v>
      </c>
      <c r="HP265" s="19">
        <v>16.3</v>
      </c>
      <c r="HQ265" s="19">
        <v>15.8</v>
      </c>
      <c r="HR265" s="19">
        <v>15.3</v>
      </c>
      <c r="HS265" s="19">
        <v>14.8</v>
      </c>
      <c r="HT265" s="19">
        <v>14.3</v>
      </c>
      <c r="HU265" s="19">
        <v>13.8</v>
      </c>
      <c r="HV265" s="19">
        <v>13.3</v>
      </c>
      <c r="HW265" s="19">
        <v>12.8</v>
      </c>
      <c r="HX265" s="19">
        <v>12.3</v>
      </c>
      <c r="HY265" s="19">
        <v>11.8</v>
      </c>
      <c r="HZ265" s="19">
        <v>11.3</v>
      </c>
      <c r="IA265" s="19">
        <v>10.8</v>
      </c>
      <c r="IB265" s="19">
        <v>10.3</v>
      </c>
    </row>
    <row r="266">
      <c r="A266" s="2" t="s">
        <v>1800</v>
      </c>
      <c r="B266" s="2" t="s">
        <v>872</v>
      </c>
      <c r="C266" s="2" t="s">
        <v>1398</v>
      </c>
      <c r="D266" s="2" t="s">
        <v>261</v>
      </c>
      <c r="E266" s="2" t="s">
        <v>603</v>
      </c>
      <c r="F266" s="2" t="s">
        <v>1784</v>
      </c>
      <c r="G266" s="2" t="s">
        <v>1785</v>
      </c>
      <c r="H266" s="2" t="s">
        <v>1786</v>
      </c>
      <c r="I266" s="2" t="s">
        <v>1787</v>
      </c>
      <c r="J266" s="2" t="s">
        <v>252</v>
      </c>
      <c r="K266" s="2" t="s">
        <v>870</v>
      </c>
      <c r="L266" s="3">
        <v>31.19</v>
      </c>
      <c r="M266" s="3">
        <v>32.75</v>
      </c>
      <c r="N266" s="3">
        <v>59.99</v>
      </c>
      <c r="O266" s="2" t="s">
        <v>230</v>
      </c>
      <c r="P266" s="2" t="s">
        <v>597</v>
      </c>
      <c r="Q266" s="2" t="s">
        <v>232</v>
      </c>
      <c r="R266" s="2" t="s">
        <v>233</v>
      </c>
      <c r="S266" s="2" t="s">
        <v>1797</v>
      </c>
      <c r="T266" s="2" t="s">
        <v>469</v>
      </c>
      <c r="U266" s="2" t="s">
        <v>635</v>
      </c>
      <c r="V266" s="2" t="s">
        <v>236</v>
      </c>
      <c r="W266" s="2" t="s">
        <v>620</v>
      </c>
      <c r="X266" s="2" t="s">
        <v>233</v>
      </c>
      <c r="Y266" s="2" t="s">
        <v>1790</v>
      </c>
      <c r="Z266" s="4">
        <v>219</v>
      </c>
      <c r="AA266" s="4">
        <f>=ROUNDDOWN(54.75,0)</f>
      </c>
      <c r="AB266" s="5">
        <v>4</v>
      </c>
      <c r="AC266" s="2" t="s">
        <v>233</v>
      </c>
      <c r="AD266" s="4"/>
      <c r="AE266" s="4"/>
      <c r="AF266" s="6">
        <v>63</v>
      </c>
      <c r="AG266" s="6">
        <v>46</v>
      </c>
      <c r="AH266" s="7">
        <v>1</v>
      </c>
      <c r="AI266" s="4"/>
      <c r="AJ266" s="4">
        <f>=ROUNDDOWN({0},0)</f>
      </c>
      <c r="AK266" s="5"/>
      <c r="AL266" s="2" t="s">
        <v>233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233</v>
      </c>
      <c r="AW266" s="8" t="s">
        <v>233</v>
      </c>
      <c r="AX266" s="4" t="s">
        <v>233</v>
      </c>
      <c r="AY266" s="8" t="s">
        <v>233</v>
      </c>
      <c r="AZ266" s="7" t="s">
        <v>233</v>
      </c>
      <c r="BA266" s="7" t="s">
        <v>233</v>
      </c>
      <c r="BB266" s="7"/>
      <c r="BC266" s="4" t="s">
        <v>233</v>
      </c>
      <c r="BD266" s="8" t="s">
        <v>233</v>
      </c>
      <c r="BE266" s="4" t="s">
        <v>233</v>
      </c>
      <c r="BF266" s="8" t="s">
        <v>233</v>
      </c>
      <c r="BG266" s="7" t="s">
        <v>233</v>
      </c>
      <c r="BH266" s="7" t="s">
        <v>233</v>
      </c>
      <c r="BI266" s="7"/>
      <c r="BJ266" s="4">
        <v>16</v>
      </c>
      <c r="BK266" s="8">
        <v>528.23</v>
      </c>
      <c r="BL266" s="2" t="s">
        <v>1801</v>
      </c>
      <c r="BM266" s="7"/>
      <c r="BN266" s="7"/>
      <c r="BO266" s="4"/>
      <c r="BP266" s="8"/>
      <c r="BQ266" s="4"/>
      <c r="BR266" s="8"/>
      <c r="BS266" s="7"/>
      <c r="BT266" s="7"/>
      <c r="BU266" s="2" t="s">
        <v>1793</v>
      </c>
      <c r="BV266" s="2" t="s">
        <v>233</v>
      </c>
      <c r="BW266" s="2" t="s">
        <v>233</v>
      </c>
      <c r="BX266" s="2" t="s">
        <v>241</v>
      </c>
      <c r="BY266" s="2" t="s">
        <v>242</v>
      </c>
      <c r="BZ266" s="2" t="s">
        <v>230</v>
      </c>
      <c r="CA266" s="2" t="s">
        <v>1794</v>
      </c>
      <c r="CB266" s="2" t="s">
        <v>233</v>
      </c>
      <c r="CC266" s="2" t="s">
        <v>245</v>
      </c>
      <c r="CD266" s="2" t="s">
        <v>233</v>
      </c>
      <c r="CE266" s="4">
        <v>64</v>
      </c>
      <c r="CF266" s="4"/>
      <c r="CG266" s="4"/>
      <c r="CH266" s="4">
        <v>155</v>
      </c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>
        <v>220</v>
      </c>
      <c r="GD266" s="4">
        <v>215</v>
      </c>
      <c r="GE266" s="4">
        <v>211</v>
      </c>
      <c r="GF266" s="4">
        <v>204</v>
      </c>
      <c r="GG266" s="4">
        <v>197</v>
      </c>
      <c r="GH266" s="4">
        <v>191</v>
      </c>
      <c r="GI266" s="4">
        <v>187</v>
      </c>
      <c r="GJ266" s="4">
        <v>180</v>
      </c>
      <c r="GK266" s="4">
        <v>177</v>
      </c>
      <c r="GL266" s="4">
        <v>174</v>
      </c>
      <c r="GM266" s="4">
        <v>171</v>
      </c>
      <c r="GN266" s="4">
        <v>168</v>
      </c>
      <c r="GO266" s="4">
        <v>165</v>
      </c>
      <c r="GP266" s="4">
        <v>162</v>
      </c>
      <c r="GQ266" s="4">
        <v>159</v>
      </c>
      <c r="GR266" s="4">
        <v>156</v>
      </c>
      <c r="GS266" s="4">
        <v>153</v>
      </c>
      <c r="GT266" s="4">
        <v>150</v>
      </c>
      <c r="GU266" s="4">
        <v>147</v>
      </c>
      <c r="GV266" s="4">
        <v>144</v>
      </c>
      <c r="GW266" s="4">
        <v>141</v>
      </c>
      <c r="GX266" s="4">
        <v>138</v>
      </c>
      <c r="GY266" s="4">
        <v>135</v>
      </c>
      <c r="GZ266" s="4">
        <v>132</v>
      </c>
      <c r="HA266" s="4">
        <v>129</v>
      </c>
      <c r="HB266" s="4">
        <v>126</v>
      </c>
      <c r="HC266" s="19">
        <v>35.7</v>
      </c>
      <c r="HD266" s="19">
        <v>34.8</v>
      </c>
      <c r="HE266" s="19">
        <v>34.2</v>
      </c>
      <c r="HF266" s="19">
        <v>33</v>
      </c>
      <c r="HG266" s="19">
        <v>37.7</v>
      </c>
      <c r="HH266" s="19">
        <v>36.5</v>
      </c>
      <c r="HI266" s="19">
        <v>46.8</v>
      </c>
      <c r="HJ266" s="19">
        <v>58</v>
      </c>
      <c r="HK266" s="19">
        <v>57</v>
      </c>
      <c r="HL266" s="19">
        <v>56</v>
      </c>
      <c r="HM266" s="19">
        <v>55</v>
      </c>
      <c r="HN266" s="19">
        <v>54</v>
      </c>
      <c r="HO266" s="19">
        <v>53</v>
      </c>
      <c r="HP266" s="19">
        <v>52</v>
      </c>
      <c r="HQ266" s="19">
        <v>51</v>
      </c>
      <c r="HR266" s="19">
        <v>50</v>
      </c>
      <c r="HS266" s="19">
        <v>49</v>
      </c>
      <c r="HT266" s="19">
        <v>48</v>
      </c>
      <c r="HU266" s="19">
        <v>47</v>
      </c>
      <c r="HV266" s="19">
        <v>46</v>
      </c>
      <c r="HW266" s="19">
        <v>45</v>
      </c>
      <c r="HX266" s="19">
        <v>44</v>
      </c>
      <c r="HY266" s="19">
        <v>43</v>
      </c>
      <c r="HZ266" s="19">
        <v>42</v>
      </c>
      <c r="IA266" s="19">
        <v>41</v>
      </c>
      <c r="IB266" s="19">
        <v>40</v>
      </c>
    </row>
    <row r="267">
      <c r="A267" s="2" t="s">
        <v>1802</v>
      </c>
      <c r="B267" s="2" t="s">
        <v>872</v>
      </c>
      <c r="C267" s="2" t="s">
        <v>1398</v>
      </c>
      <c r="D267" s="2" t="s">
        <v>261</v>
      </c>
      <c r="E267" s="2" t="s">
        <v>603</v>
      </c>
      <c r="F267" s="2" t="s">
        <v>1784</v>
      </c>
      <c r="G267" s="2" t="s">
        <v>1785</v>
      </c>
      <c r="H267" s="2" t="s">
        <v>1786</v>
      </c>
      <c r="I267" s="2" t="s">
        <v>1787</v>
      </c>
      <c r="J267" s="2" t="s">
        <v>336</v>
      </c>
      <c r="K267" s="2" t="s">
        <v>870</v>
      </c>
      <c r="L267" s="3">
        <v>33.79</v>
      </c>
      <c r="M267" s="3">
        <v>35.48</v>
      </c>
      <c r="N267" s="3">
        <v>64.99</v>
      </c>
      <c r="O267" s="2" t="s">
        <v>230</v>
      </c>
      <c r="P267" s="2" t="s">
        <v>597</v>
      </c>
      <c r="Q267" s="2" t="s">
        <v>232</v>
      </c>
      <c r="R267" s="2" t="s">
        <v>233</v>
      </c>
      <c r="S267" s="2" t="s">
        <v>1797</v>
      </c>
      <c r="T267" s="2" t="s">
        <v>469</v>
      </c>
      <c r="U267" s="2" t="s">
        <v>635</v>
      </c>
      <c r="V267" s="2" t="s">
        <v>236</v>
      </c>
      <c r="W267" s="2" t="s">
        <v>620</v>
      </c>
      <c r="X267" s="2" t="s">
        <v>233</v>
      </c>
      <c r="Y267" s="2" t="s">
        <v>1790</v>
      </c>
      <c r="Z267" s="4">
        <v>365</v>
      </c>
      <c r="AA267" s="4">
        <f>=ROUNDDOWN(60.8333333333333,0)</f>
      </c>
      <c r="AB267" s="5">
        <v>6</v>
      </c>
      <c r="AC267" s="2" t="s">
        <v>149</v>
      </c>
      <c r="AD267" s="4">
        <v>300</v>
      </c>
      <c r="AE267" s="4">
        <v>300</v>
      </c>
      <c r="AF267" s="6">
        <v>63</v>
      </c>
      <c r="AG267" s="6">
        <v>46</v>
      </c>
      <c r="AH267" s="7">
        <v>1</v>
      </c>
      <c r="AI267" s="4"/>
      <c r="AJ267" s="4">
        <f>=ROUNDDOWN({0},0)</f>
      </c>
      <c r="AK267" s="5"/>
      <c r="AL267" s="2" t="s">
        <v>233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233</v>
      </c>
      <c r="AW267" s="8" t="s">
        <v>233</v>
      </c>
      <c r="AX267" s="4" t="s">
        <v>233</v>
      </c>
      <c r="AY267" s="8" t="s">
        <v>233</v>
      </c>
      <c r="AZ267" s="7" t="s">
        <v>233</v>
      </c>
      <c r="BA267" s="7" t="s">
        <v>233</v>
      </c>
      <c r="BB267" s="7"/>
      <c r="BC267" s="4" t="s">
        <v>233</v>
      </c>
      <c r="BD267" s="8" t="s">
        <v>233</v>
      </c>
      <c r="BE267" s="4" t="s">
        <v>233</v>
      </c>
      <c r="BF267" s="8" t="s">
        <v>233</v>
      </c>
      <c r="BG267" s="7" t="s">
        <v>233</v>
      </c>
      <c r="BH267" s="7" t="s">
        <v>233</v>
      </c>
      <c r="BI267" s="7"/>
      <c r="BJ267" s="4">
        <v>9</v>
      </c>
      <c r="BK267" s="8">
        <v>328.2</v>
      </c>
      <c r="BL267" s="2" t="s">
        <v>1803</v>
      </c>
      <c r="BM267" s="7"/>
      <c r="BN267" s="7"/>
      <c r="BO267" s="4"/>
      <c r="BP267" s="8"/>
      <c r="BQ267" s="4"/>
      <c r="BR267" s="8"/>
      <c r="BS267" s="7"/>
      <c r="BT267" s="7"/>
      <c r="BU267" s="2" t="s">
        <v>1793</v>
      </c>
      <c r="BV267" s="2" t="s">
        <v>233</v>
      </c>
      <c r="BW267" s="2" t="s">
        <v>233</v>
      </c>
      <c r="BX267" s="2" t="s">
        <v>241</v>
      </c>
      <c r="BY267" s="2" t="s">
        <v>242</v>
      </c>
      <c r="BZ267" s="2" t="s">
        <v>230</v>
      </c>
      <c r="CA267" s="2" t="s">
        <v>1794</v>
      </c>
      <c r="CB267" s="2" t="s">
        <v>1804</v>
      </c>
      <c r="CC267" s="2" t="s">
        <v>245</v>
      </c>
      <c r="CD267" s="2" t="s">
        <v>233</v>
      </c>
      <c r="CE267" s="4">
        <v>167</v>
      </c>
      <c r="CF267" s="4"/>
      <c r="CG267" s="4"/>
      <c r="CH267" s="4">
        <v>198</v>
      </c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>
        <v>300</v>
      </c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>
        <v>366</v>
      </c>
      <c r="GD267" s="4">
        <v>300</v>
      </c>
      <c r="GE267" s="4">
        <v>283</v>
      </c>
      <c r="GF267" s="4">
        <v>259</v>
      </c>
      <c r="GG267" s="4">
        <v>535</v>
      </c>
      <c r="GH267" s="4">
        <v>512</v>
      </c>
      <c r="GI267" s="4">
        <v>505</v>
      </c>
      <c r="GJ267" s="4">
        <v>498</v>
      </c>
      <c r="GK267" s="4">
        <v>492</v>
      </c>
      <c r="GL267" s="4">
        <v>486</v>
      </c>
      <c r="GM267" s="4">
        <v>478</v>
      </c>
      <c r="GN267" s="4">
        <v>472</v>
      </c>
      <c r="GO267" s="4">
        <v>466</v>
      </c>
      <c r="GP267" s="4">
        <v>460</v>
      </c>
      <c r="GQ267" s="4">
        <v>454</v>
      </c>
      <c r="GR267" s="4">
        <v>448</v>
      </c>
      <c r="GS267" s="4">
        <v>442</v>
      </c>
      <c r="GT267" s="4">
        <v>437</v>
      </c>
      <c r="GU267" s="4">
        <v>432</v>
      </c>
      <c r="GV267" s="4">
        <v>427</v>
      </c>
      <c r="GW267" s="4">
        <v>422</v>
      </c>
      <c r="GX267" s="4">
        <v>417</v>
      </c>
      <c r="GY267" s="4">
        <v>412</v>
      </c>
      <c r="GZ267" s="4">
        <v>407</v>
      </c>
      <c r="HA267" s="4">
        <v>400</v>
      </c>
      <c r="HB267" s="4">
        <v>395</v>
      </c>
      <c r="HC267" s="19">
        <v>14.5</v>
      </c>
      <c r="HD267" s="19">
        <v>18.7</v>
      </c>
      <c r="HE267" s="19">
        <v>21.1</v>
      </c>
      <c r="HF267" s="19">
        <v>24.9</v>
      </c>
      <c r="HG267" s="19">
        <v>120.3</v>
      </c>
      <c r="HH267" s="19">
        <v>233.1</v>
      </c>
      <c r="HI267" s="19">
        <v>232.1</v>
      </c>
      <c r="HJ267" s="19">
        <v>231.8</v>
      </c>
      <c r="HK267" s="19">
        <v>230.8</v>
      </c>
      <c r="HL267" s="19">
        <v>229.8</v>
      </c>
      <c r="HM267" s="19">
        <v>228.2</v>
      </c>
      <c r="HN267" s="19">
        <v>227.2</v>
      </c>
      <c r="HO267" s="19">
        <v>114.4</v>
      </c>
      <c r="HP267" s="19">
        <v>76.7</v>
      </c>
      <c r="HQ267" s="19">
        <v>57.7</v>
      </c>
      <c r="HR267" s="19">
        <v>45.6</v>
      </c>
      <c r="HS267" s="19">
        <v>44.2</v>
      </c>
      <c r="HT267" s="19">
        <v>43.7</v>
      </c>
      <c r="HU267" s="19">
        <v>43.2</v>
      </c>
      <c r="HV267" s="19">
        <v>42.7</v>
      </c>
      <c r="HW267" s="19">
        <v>35.2</v>
      </c>
      <c r="HX267" s="19">
        <v>34.8</v>
      </c>
      <c r="HY267" s="19">
        <v>34.4</v>
      </c>
      <c r="HZ267" s="19">
        <v>33.9</v>
      </c>
      <c r="IA267" s="19">
        <v>40</v>
      </c>
      <c r="IB267" s="19">
        <v>39.5</v>
      </c>
    </row>
    <row r="268">
      <c r="A268" s="2" t="s">
        <v>1805</v>
      </c>
      <c r="B268" s="2" t="s">
        <v>872</v>
      </c>
      <c r="C268" s="2" t="s">
        <v>1398</v>
      </c>
      <c r="D268" s="2" t="s">
        <v>261</v>
      </c>
      <c r="E268" s="2" t="s">
        <v>603</v>
      </c>
      <c r="F268" s="2" t="s">
        <v>1784</v>
      </c>
      <c r="G268" s="2" t="s">
        <v>1785</v>
      </c>
      <c r="H268" s="2" t="s">
        <v>1786</v>
      </c>
      <c r="I268" s="2" t="s">
        <v>1787</v>
      </c>
      <c r="J268" s="2" t="s">
        <v>256</v>
      </c>
      <c r="K268" s="2" t="s">
        <v>870</v>
      </c>
      <c r="L268" s="3">
        <v>38.99</v>
      </c>
      <c r="M268" s="3">
        <v>40.94</v>
      </c>
      <c r="N268" s="3">
        <v>74.99</v>
      </c>
      <c r="O268" s="2" t="s">
        <v>230</v>
      </c>
      <c r="P268" s="2" t="s">
        <v>597</v>
      </c>
      <c r="Q268" s="2" t="s">
        <v>232</v>
      </c>
      <c r="R268" s="2" t="s">
        <v>233</v>
      </c>
      <c r="S268" s="2" t="s">
        <v>1797</v>
      </c>
      <c r="T268" s="2" t="s">
        <v>469</v>
      </c>
      <c r="U268" s="2" t="s">
        <v>635</v>
      </c>
      <c r="V268" s="2" t="s">
        <v>236</v>
      </c>
      <c r="W268" s="2" t="s">
        <v>620</v>
      </c>
      <c r="X268" s="2" t="s">
        <v>233</v>
      </c>
      <c r="Y268" s="2" t="s">
        <v>1790</v>
      </c>
      <c r="Z268" s="4">
        <v>196</v>
      </c>
      <c r="AA268" s="4">
        <f>=ROUNDDOWN(98,0)</f>
      </c>
      <c r="AB268" s="5">
        <v>2</v>
      </c>
      <c r="AC268" s="2" t="s">
        <v>149</v>
      </c>
      <c r="AD268" s="4">
        <v>60</v>
      </c>
      <c r="AE268" s="4">
        <v>60</v>
      </c>
      <c r="AF268" s="6">
        <v>63</v>
      </c>
      <c r="AG268" s="6">
        <v>46</v>
      </c>
      <c r="AH268" s="7">
        <v>1</v>
      </c>
      <c r="AI268" s="4"/>
      <c r="AJ268" s="4">
        <f>=ROUNDDOWN({0},0)</f>
      </c>
      <c r="AK268" s="5"/>
      <c r="AL268" s="2" t="s">
        <v>233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233</v>
      </c>
      <c r="AW268" s="8" t="s">
        <v>233</v>
      </c>
      <c r="AX268" s="4" t="s">
        <v>233</v>
      </c>
      <c r="AY268" s="8" t="s">
        <v>233</v>
      </c>
      <c r="AZ268" s="7" t="s">
        <v>233</v>
      </c>
      <c r="BA268" s="7" t="s">
        <v>233</v>
      </c>
      <c r="BB268" s="7"/>
      <c r="BC268" s="4" t="s">
        <v>233</v>
      </c>
      <c r="BD268" s="8" t="s">
        <v>233</v>
      </c>
      <c r="BE268" s="4" t="s">
        <v>233</v>
      </c>
      <c r="BF268" s="8" t="s">
        <v>233</v>
      </c>
      <c r="BG268" s="7" t="s">
        <v>233</v>
      </c>
      <c r="BH268" s="7" t="s">
        <v>233</v>
      </c>
      <c r="BI268" s="7"/>
      <c r="BJ268" s="4">
        <v>4</v>
      </c>
      <c r="BK268" s="8">
        <v>173.29</v>
      </c>
      <c r="BL268" s="2" t="s">
        <v>1655</v>
      </c>
      <c r="BM268" s="7"/>
      <c r="BN268" s="7"/>
      <c r="BO268" s="4"/>
      <c r="BP268" s="8"/>
      <c r="BQ268" s="4"/>
      <c r="BR268" s="8"/>
      <c r="BS268" s="7"/>
      <c r="BT268" s="7"/>
      <c r="BU268" s="2" t="s">
        <v>1793</v>
      </c>
      <c r="BV268" s="2" t="s">
        <v>233</v>
      </c>
      <c r="BW268" s="2" t="s">
        <v>233</v>
      </c>
      <c r="BX268" s="2" t="s">
        <v>241</v>
      </c>
      <c r="BY268" s="2" t="s">
        <v>242</v>
      </c>
      <c r="BZ268" s="2" t="s">
        <v>230</v>
      </c>
      <c r="CA268" s="2" t="s">
        <v>1794</v>
      </c>
      <c r="CB268" s="2" t="s">
        <v>1806</v>
      </c>
      <c r="CC268" s="2" t="s">
        <v>245</v>
      </c>
      <c r="CD268" s="2" t="s">
        <v>233</v>
      </c>
      <c r="CE268" s="4">
        <v>157</v>
      </c>
      <c r="CF268" s="4"/>
      <c r="CG268" s="4"/>
      <c r="CH268" s="4">
        <v>39</v>
      </c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>
        <v>60</v>
      </c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>
        <v>196</v>
      </c>
      <c r="GD268" s="4">
        <v>195</v>
      </c>
      <c r="GE268" s="4">
        <v>194</v>
      </c>
      <c r="GF268" s="4">
        <v>192</v>
      </c>
      <c r="GG268" s="4">
        <v>250</v>
      </c>
      <c r="GH268" s="4">
        <v>248</v>
      </c>
      <c r="GI268" s="4">
        <v>247</v>
      </c>
      <c r="GJ268" s="4">
        <v>245</v>
      </c>
      <c r="GK268" s="4">
        <v>243</v>
      </c>
      <c r="GL268" s="4">
        <v>241</v>
      </c>
      <c r="GM268" s="4">
        <v>239</v>
      </c>
      <c r="GN268" s="4">
        <v>237</v>
      </c>
      <c r="GO268" s="4">
        <v>235</v>
      </c>
      <c r="GP268" s="4">
        <v>233</v>
      </c>
      <c r="GQ268" s="4">
        <v>231</v>
      </c>
      <c r="GR268" s="4">
        <v>229</v>
      </c>
      <c r="GS268" s="4">
        <v>227</v>
      </c>
      <c r="GT268" s="4">
        <v>225</v>
      </c>
      <c r="GU268" s="4">
        <v>223</v>
      </c>
      <c r="GV268" s="4">
        <v>221</v>
      </c>
      <c r="GW268" s="4">
        <v>219</v>
      </c>
      <c r="GX268" s="4">
        <v>217</v>
      </c>
      <c r="GY268" s="4">
        <v>215</v>
      </c>
      <c r="GZ268" s="4">
        <v>213</v>
      </c>
      <c r="HA268" s="4">
        <v>211</v>
      </c>
      <c r="HB268" s="4">
        <v>209</v>
      </c>
      <c r="HC268" s="19">
        <v>39.3</v>
      </c>
      <c r="HD268" s="19">
        <v>39</v>
      </c>
      <c r="HE268" s="19">
        <v>38.8</v>
      </c>
      <c r="HF268" s="19">
        <v>38.3</v>
      </c>
      <c r="HG268" s="19">
        <v>37.8</v>
      </c>
      <c r="HH268" s="19">
        <v>37.3</v>
      </c>
      <c r="HI268" s="19">
        <v>37</v>
      </c>
      <c r="HJ268" s="19">
        <v>36.5</v>
      </c>
      <c r="HK268" s="19">
        <v>36</v>
      </c>
      <c r="HL268" s="19">
        <v>35.5</v>
      </c>
      <c r="HM268" s="19">
        <v>35</v>
      </c>
      <c r="HN268" s="19">
        <v>34.5</v>
      </c>
      <c r="HO268" s="19">
        <v>34</v>
      </c>
      <c r="HP268" s="19">
        <v>33.5</v>
      </c>
      <c r="HQ268" s="19">
        <v>33</v>
      </c>
      <c r="HR268" s="19">
        <v>32.5</v>
      </c>
      <c r="HS268" s="19">
        <v>32</v>
      </c>
      <c r="HT268" s="19">
        <v>31.5</v>
      </c>
      <c r="HU268" s="19">
        <v>31</v>
      </c>
      <c r="HV268" s="19">
        <v>30.5</v>
      </c>
      <c r="HW268" s="19">
        <v>30</v>
      </c>
      <c r="HX268" s="19">
        <v>29.5</v>
      </c>
      <c r="HY268" s="19">
        <v>29</v>
      </c>
      <c r="HZ268" s="19">
        <v>28.5</v>
      </c>
      <c r="IA268" s="19">
        <v>28</v>
      </c>
      <c r="IB268" s="19">
        <v>27.5</v>
      </c>
    </row>
    <row r="269">
      <c r="A269" s="2" t="s">
        <v>1807</v>
      </c>
      <c r="B269" s="2" t="s">
        <v>872</v>
      </c>
      <c r="C269" s="2" t="s">
        <v>1398</v>
      </c>
      <c r="D269" s="2" t="s">
        <v>261</v>
      </c>
      <c r="E269" s="2" t="s">
        <v>603</v>
      </c>
      <c r="F269" s="2" t="s">
        <v>1784</v>
      </c>
      <c r="G269" s="2" t="s">
        <v>1785</v>
      </c>
      <c r="H269" s="2" t="s">
        <v>1786</v>
      </c>
      <c r="I269" s="2" t="s">
        <v>1787</v>
      </c>
      <c r="J269" s="2" t="s">
        <v>1052</v>
      </c>
      <c r="K269" s="2" t="s">
        <v>742</v>
      </c>
      <c r="L269" s="3">
        <v>28.59</v>
      </c>
      <c r="M269" s="3">
        <v>30.02</v>
      </c>
      <c r="N269" s="3">
        <v>54.99</v>
      </c>
      <c r="O269" s="2" t="s">
        <v>230</v>
      </c>
      <c r="P269" s="2" t="s">
        <v>597</v>
      </c>
      <c r="Q269" s="2" t="s">
        <v>232</v>
      </c>
      <c r="R269" s="2" t="s">
        <v>233</v>
      </c>
      <c r="S269" s="2" t="s">
        <v>1808</v>
      </c>
      <c r="T269" s="2" t="s">
        <v>469</v>
      </c>
      <c r="U269" s="2" t="s">
        <v>608</v>
      </c>
      <c r="V269" s="2" t="s">
        <v>236</v>
      </c>
      <c r="W269" s="2" t="s">
        <v>620</v>
      </c>
      <c r="X269" s="2" t="s">
        <v>233</v>
      </c>
      <c r="Y269" s="2" t="s">
        <v>1790</v>
      </c>
      <c r="Z269" s="4">
        <v>29</v>
      </c>
      <c r="AA269" s="4">
        <f>=ROUNDDOWN(14.5,0)</f>
      </c>
      <c r="AB269" s="5">
        <v>2</v>
      </c>
      <c r="AC269" s="2" t="s">
        <v>1313</v>
      </c>
      <c r="AD269" s="4">
        <v>21</v>
      </c>
      <c r="AE269" s="4">
        <v>66</v>
      </c>
      <c r="AF269" s="6">
        <v>63</v>
      </c>
      <c r="AG269" s="6">
        <v>46</v>
      </c>
      <c r="AH269" s="7">
        <v>1</v>
      </c>
      <c r="AI269" s="4"/>
      <c r="AJ269" s="4">
        <f>=ROUNDDOWN({0},0)</f>
      </c>
      <c r="AK269" s="5"/>
      <c r="AL269" s="2" t="s">
        <v>233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233</v>
      </c>
      <c r="AW269" s="8" t="s">
        <v>233</v>
      </c>
      <c r="AX269" s="4" t="s">
        <v>233</v>
      </c>
      <c r="AY269" s="8" t="s">
        <v>233</v>
      </c>
      <c r="AZ269" s="7" t="s">
        <v>233</v>
      </c>
      <c r="BA269" s="7" t="s">
        <v>233</v>
      </c>
      <c r="BB269" s="7"/>
      <c r="BC269" s="4" t="s">
        <v>233</v>
      </c>
      <c r="BD269" s="8" t="s">
        <v>233</v>
      </c>
      <c r="BE269" s="4" t="s">
        <v>233</v>
      </c>
      <c r="BF269" s="8" t="s">
        <v>233</v>
      </c>
      <c r="BG269" s="7" t="s">
        <v>233</v>
      </c>
      <c r="BH269" s="7" t="s">
        <v>233</v>
      </c>
      <c r="BI269" s="7"/>
      <c r="BJ269" s="4">
        <v>4</v>
      </c>
      <c r="BK269" s="8">
        <v>147.6</v>
      </c>
      <c r="BL269" s="2" t="s">
        <v>1809</v>
      </c>
      <c r="BM269" s="7"/>
      <c r="BN269" s="7"/>
      <c r="BO269" s="4"/>
      <c r="BP269" s="8"/>
      <c r="BQ269" s="4"/>
      <c r="BR269" s="8"/>
      <c r="BS269" s="7"/>
      <c r="BT269" s="7"/>
      <c r="BU269" s="2" t="s">
        <v>1793</v>
      </c>
      <c r="BV269" s="2" t="s">
        <v>233</v>
      </c>
      <c r="BW269" s="2" t="s">
        <v>233</v>
      </c>
      <c r="BX269" s="2" t="s">
        <v>241</v>
      </c>
      <c r="BY269" s="2" t="s">
        <v>242</v>
      </c>
      <c r="BZ269" s="2" t="s">
        <v>230</v>
      </c>
      <c r="CA269" s="2" t="s">
        <v>1794</v>
      </c>
      <c r="CB269" s="2" t="s">
        <v>233</v>
      </c>
      <c r="CC269" s="2" t="s">
        <v>245</v>
      </c>
      <c r="CD269" s="2" t="s">
        <v>233</v>
      </c>
      <c r="CE269" s="4"/>
      <c r="CF269" s="4"/>
      <c r="CG269" s="4"/>
      <c r="CH269" s="4">
        <v>29</v>
      </c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>
        <v>21</v>
      </c>
      <c r="FN269" s="4"/>
      <c r="FO269" s="4"/>
      <c r="FP269" s="4"/>
      <c r="FQ269" s="4"/>
      <c r="FR269" s="4"/>
      <c r="FS269" s="4"/>
      <c r="FT269" s="4"/>
      <c r="FU269" s="4">
        <v>45</v>
      </c>
      <c r="FV269" s="4"/>
      <c r="FW269" s="4"/>
      <c r="FX269" s="4"/>
      <c r="FY269" s="4"/>
      <c r="FZ269" s="4"/>
      <c r="GA269" s="4"/>
      <c r="GB269" s="4"/>
      <c r="GC269" s="4">
        <v>31</v>
      </c>
      <c r="GD269" s="4">
        <v>29</v>
      </c>
      <c r="GE269" s="4">
        <v>28</v>
      </c>
      <c r="GF269" s="4">
        <v>26</v>
      </c>
      <c r="GG269" s="4">
        <v>24</v>
      </c>
      <c r="GH269" s="4">
        <v>22</v>
      </c>
      <c r="GI269" s="4">
        <v>21</v>
      </c>
      <c r="GJ269" s="4">
        <v>20</v>
      </c>
      <c r="GK269" s="4">
        <v>19</v>
      </c>
      <c r="GL269" s="4">
        <v>18</v>
      </c>
      <c r="GM269" s="4">
        <v>17</v>
      </c>
      <c r="GN269" s="4">
        <v>16</v>
      </c>
      <c r="GO269" s="4">
        <v>15</v>
      </c>
      <c r="GP269" s="4">
        <v>14</v>
      </c>
      <c r="GQ269" s="4">
        <v>13</v>
      </c>
      <c r="GR269" s="4">
        <v>33</v>
      </c>
      <c r="GS269" s="4">
        <v>32</v>
      </c>
      <c r="GT269" s="4">
        <v>76</v>
      </c>
      <c r="GU269" s="4">
        <v>75</v>
      </c>
      <c r="GV269" s="4">
        <v>74</v>
      </c>
      <c r="GW269" s="4">
        <v>73</v>
      </c>
      <c r="GX269" s="4">
        <v>72</v>
      </c>
      <c r="GY269" s="4">
        <v>71</v>
      </c>
      <c r="GZ269" s="4">
        <v>70</v>
      </c>
      <c r="HA269" s="4">
        <v>69</v>
      </c>
      <c r="HB269" s="4">
        <v>68</v>
      </c>
      <c r="HC269" s="19">
        <v>7.8</v>
      </c>
      <c r="HD269" s="19">
        <v>7.3</v>
      </c>
      <c r="HE269" s="19">
        <v>7</v>
      </c>
      <c r="HF269" s="19">
        <v>6.5</v>
      </c>
      <c r="HG269" s="19">
        <v>12</v>
      </c>
      <c r="HH269" s="19">
        <v>11</v>
      </c>
      <c r="HI269" s="19">
        <v>10.5</v>
      </c>
      <c r="HJ269" s="19">
        <v>10</v>
      </c>
      <c r="HK269" s="19">
        <v>9.5</v>
      </c>
      <c r="HL269" s="19">
        <v>9</v>
      </c>
      <c r="HM269" s="19">
        <v>8.5</v>
      </c>
      <c r="HN269" s="19">
        <v>8</v>
      </c>
      <c r="HO269" s="19">
        <v>7.5</v>
      </c>
      <c r="HP269" s="19">
        <v>7</v>
      </c>
      <c r="HQ269" s="19">
        <v>6.5</v>
      </c>
      <c r="HR269" s="20">
        <v>0</v>
      </c>
      <c r="HS269" s="20">
        <v>0</v>
      </c>
      <c r="HT269" s="19">
        <v>22.5</v>
      </c>
      <c r="HU269" s="19">
        <v>22</v>
      </c>
      <c r="HV269" s="19">
        <v>21.5</v>
      </c>
      <c r="HW269" s="19">
        <v>21</v>
      </c>
      <c r="HX269" s="19">
        <v>20.5</v>
      </c>
      <c r="HY269" s="19">
        <v>20</v>
      </c>
      <c r="HZ269" s="19">
        <v>19.5</v>
      </c>
      <c r="IA269" s="19">
        <v>19</v>
      </c>
      <c r="IB269" s="19">
        <v>18.5</v>
      </c>
    </row>
    <row r="270">
      <c r="A270" s="2" t="s">
        <v>1810</v>
      </c>
      <c r="B270" s="2" t="s">
        <v>872</v>
      </c>
      <c r="C270" s="2" t="s">
        <v>1398</v>
      </c>
      <c r="D270" s="2" t="s">
        <v>261</v>
      </c>
      <c r="E270" s="2" t="s">
        <v>603</v>
      </c>
      <c r="F270" s="2" t="s">
        <v>1784</v>
      </c>
      <c r="G270" s="2" t="s">
        <v>1785</v>
      </c>
      <c r="H270" s="2" t="s">
        <v>1786</v>
      </c>
      <c r="I270" s="2" t="s">
        <v>1787</v>
      </c>
      <c r="J270" s="2" t="s">
        <v>252</v>
      </c>
      <c r="K270" s="2" t="s">
        <v>742</v>
      </c>
      <c r="L270" s="3">
        <v>31.19</v>
      </c>
      <c r="M270" s="3">
        <v>32.75</v>
      </c>
      <c r="N270" s="3">
        <v>59.99</v>
      </c>
      <c r="O270" s="2" t="s">
        <v>230</v>
      </c>
      <c r="P270" s="2" t="s">
        <v>597</v>
      </c>
      <c r="Q270" s="2" t="s">
        <v>232</v>
      </c>
      <c r="R270" s="2" t="s">
        <v>233</v>
      </c>
      <c r="S270" s="2" t="s">
        <v>1808</v>
      </c>
      <c r="T270" s="2" t="s">
        <v>469</v>
      </c>
      <c r="U270" s="2" t="s">
        <v>635</v>
      </c>
      <c r="V270" s="2" t="s">
        <v>236</v>
      </c>
      <c r="W270" s="2" t="s">
        <v>620</v>
      </c>
      <c r="X270" s="2" t="s">
        <v>233</v>
      </c>
      <c r="Y270" s="2" t="s">
        <v>1790</v>
      </c>
      <c r="Z270" s="4">
        <v>141</v>
      </c>
      <c r="AA270" s="4">
        <f>=ROUNDDOWN(47,0)</f>
      </c>
      <c r="AB270" s="5">
        <v>3</v>
      </c>
      <c r="AC270" s="2" t="s">
        <v>1313</v>
      </c>
      <c r="AD270" s="4">
        <v>18</v>
      </c>
      <c r="AE270" s="4">
        <v>87</v>
      </c>
      <c r="AF270" s="6">
        <v>63</v>
      </c>
      <c r="AG270" s="6">
        <v>46</v>
      </c>
      <c r="AH270" s="7">
        <v>1</v>
      </c>
      <c r="AI270" s="4"/>
      <c r="AJ270" s="4">
        <f>=ROUNDDOWN({0},0)</f>
      </c>
      <c r="AK270" s="5"/>
      <c r="AL270" s="2" t="s">
        <v>233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233</v>
      </c>
      <c r="AW270" s="8" t="s">
        <v>233</v>
      </c>
      <c r="AX270" s="4" t="s">
        <v>233</v>
      </c>
      <c r="AY270" s="8" t="s">
        <v>233</v>
      </c>
      <c r="AZ270" s="7" t="s">
        <v>233</v>
      </c>
      <c r="BA270" s="7" t="s">
        <v>233</v>
      </c>
      <c r="BB270" s="7"/>
      <c r="BC270" s="4" t="s">
        <v>233</v>
      </c>
      <c r="BD270" s="8" t="s">
        <v>233</v>
      </c>
      <c r="BE270" s="4" t="s">
        <v>233</v>
      </c>
      <c r="BF270" s="8" t="s">
        <v>233</v>
      </c>
      <c r="BG270" s="7" t="s">
        <v>233</v>
      </c>
      <c r="BH270" s="7" t="s">
        <v>233</v>
      </c>
      <c r="BI270" s="7"/>
      <c r="BJ270" s="4">
        <v>26</v>
      </c>
      <c r="BK270" s="8">
        <v>825.59</v>
      </c>
      <c r="BL270" s="2" t="s">
        <v>1811</v>
      </c>
      <c r="BM270" s="7"/>
      <c r="BN270" s="7"/>
      <c r="BO270" s="4"/>
      <c r="BP270" s="8"/>
      <c r="BQ270" s="4"/>
      <c r="BR270" s="8"/>
      <c r="BS270" s="7"/>
      <c r="BT270" s="7"/>
      <c r="BU270" s="2" t="s">
        <v>1793</v>
      </c>
      <c r="BV270" s="2" t="s">
        <v>233</v>
      </c>
      <c r="BW270" s="2" t="s">
        <v>233</v>
      </c>
      <c r="BX270" s="2" t="s">
        <v>241</v>
      </c>
      <c r="BY270" s="2" t="s">
        <v>242</v>
      </c>
      <c r="BZ270" s="2" t="s">
        <v>230</v>
      </c>
      <c r="CA270" s="2" t="s">
        <v>1794</v>
      </c>
      <c r="CB270" s="2" t="s">
        <v>233</v>
      </c>
      <c r="CC270" s="2" t="s">
        <v>245</v>
      </c>
      <c r="CD270" s="2" t="s">
        <v>233</v>
      </c>
      <c r="CE270" s="4">
        <v>51</v>
      </c>
      <c r="CF270" s="4"/>
      <c r="CG270" s="4"/>
      <c r="CH270" s="4">
        <v>90</v>
      </c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>
        <v>18</v>
      </c>
      <c r="FN270" s="4"/>
      <c r="FO270" s="4"/>
      <c r="FP270" s="4"/>
      <c r="FQ270" s="4"/>
      <c r="FR270" s="4"/>
      <c r="FS270" s="4"/>
      <c r="FT270" s="4"/>
      <c r="FU270" s="4">
        <v>69</v>
      </c>
      <c r="FV270" s="4"/>
      <c r="FW270" s="4"/>
      <c r="FX270" s="4"/>
      <c r="FY270" s="4"/>
      <c r="FZ270" s="4"/>
      <c r="GA270" s="4"/>
      <c r="GB270" s="4"/>
      <c r="GC270" s="4">
        <v>147</v>
      </c>
      <c r="GD270" s="4">
        <v>142</v>
      </c>
      <c r="GE270" s="4">
        <v>140</v>
      </c>
      <c r="GF270" s="4">
        <v>136</v>
      </c>
      <c r="GG270" s="4">
        <v>132</v>
      </c>
      <c r="GH270" s="4">
        <v>128</v>
      </c>
      <c r="GI270" s="4">
        <v>126</v>
      </c>
      <c r="GJ270" s="4">
        <v>115</v>
      </c>
      <c r="GK270" s="4">
        <v>113</v>
      </c>
      <c r="GL270" s="4">
        <v>111</v>
      </c>
      <c r="GM270" s="4">
        <v>109</v>
      </c>
      <c r="GN270" s="4">
        <v>107</v>
      </c>
      <c r="GO270" s="4">
        <v>105</v>
      </c>
      <c r="GP270" s="4">
        <v>103</v>
      </c>
      <c r="GQ270" s="4">
        <v>101</v>
      </c>
      <c r="GR270" s="4">
        <v>117</v>
      </c>
      <c r="GS270" s="4">
        <v>115</v>
      </c>
      <c r="GT270" s="4">
        <v>182</v>
      </c>
      <c r="GU270" s="4">
        <v>180</v>
      </c>
      <c r="GV270" s="4">
        <v>178</v>
      </c>
      <c r="GW270" s="4">
        <v>176</v>
      </c>
      <c r="GX270" s="4">
        <v>174</v>
      </c>
      <c r="GY270" s="4">
        <v>172</v>
      </c>
      <c r="GZ270" s="4">
        <v>170</v>
      </c>
      <c r="HA270" s="4">
        <v>168</v>
      </c>
      <c r="HB270" s="4">
        <v>166</v>
      </c>
      <c r="HC270" s="19">
        <v>36.8</v>
      </c>
      <c r="HD270" s="19">
        <v>35.5</v>
      </c>
      <c r="HE270" s="19">
        <v>35</v>
      </c>
      <c r="HF270" s="19">
        <v>30</v>
      </c>
      <c r="HG270" s="19">
        <v>29.2</v>
      </c>
      <c r="HH270" s="19">
        <v>32</v>
      </c>
      <c r="HI270" s="9"/>
      <c r="HJ270" s="19">
        <v>57.5</v>
      </c>
      <c r="HK270" s="19">
        <v>56.5</v>
      </c>
      <c r="HL270" s="19">
        <v>55.5</v>
      </c>
      <c r="HM270" s="19">
        <v>54.5</v>
      </c>
      <c r="HN270" s="19">
        <v>53.5</v>
      </c>
      <c r="HO270" s="19">
        <v>52.5</v>
      </c>
      <c r="HP270" s="19">
        <v>51.5</v>
      </c>
      <c r="HQ270" s="19">
        <v>50.5</v>
      </c>
      <c r="HR270" s="19">
        <v>58.5</v>
      </c>
      <c r="HS270" s="19">
        <v>57.5</v>
      </c>
      <c r="HT270" s="19">
        <v>91</v>
      </c>
      <c r="HU270" s="19">
        <v>90</v>
      </c>
      <c r="HV270" s="19">
        <v>89</v>
      </c>
      <c r="HW270" s="19">
        <v>88</v>
      </c>
      <c r="HX270" s="19">
        <v>87</v>
      </c>
      <c r="HY270" s="19">
        <v>86</v>
      </c>
      <c r="HZ270" s="19">
        <v>85</v>
      </c>
      <c r="IA270" s="19">
        <v>84</v>
      </c>
      <c r="IB270" s="19">
        <v>83</v>
      </c>
    </row>
    <row r="271">
      <c r="A271" s="2" t="s">
        <v>1812</v>
      </c>
      <c r="B271" s="2" t="s">
        <v>872</v>
      </c>
      <c r="C271" s="2" t="s">
        <v>1398</v>
      </c>
      <c r="D271" s="2" t="s">
        <v>261</v>
      </c>
      <c r="E271" s="2" t="s">
        <v>603</v>
      </c>
      <c r="F271" s="2" t="s">
        <v>1784</v>
      </c>
      <c r="G271" s="2" t="s">
        <v>1785</v>
      </c>
      <c r="H271" s="2" t="s">
        <v>1786</v>
      </c>
      <c r="I271" s="2" t="s">
        <v>1787</v>
      </c>
      <c r="J271" s="2" t="s">
        <v>336</v>
      </c>
      <c r="K271" s="2" t="s">
        <v>742</v>
      </c>
      <c r="L271" s="3">
        <v>33.79</v>
      </c>
      <c r="M271" s="3">
        <v>35.48</v>
      </c>
      <c r="N271" s="3">
        <v>64.99</v>
      </c>
      <c r="O271" s="2" t="s">
        <v>230</v>
      </c>
      <c r="P271" s="2" t="s">
        <v>597</v>
      </c>
      <c r="Q271" s="2" t="s">
        <v>232</v>
      </c>
      <c r="R271" s="2" t="s">
        <v>233</v>
      </c>
      <c r="S271" s="2" t="s">
        <v>1808</v>
      </c>
      <c r="T271" s="2" t="s">
        <v>469</v>
      </c>
      <c r="U271" s="2" t="s">
        <v>635</v>
      </c>
      <c r="V271" s="2" t="s">
        <v>236</v>
      </c>
      <c r="W271" s="2" t="s">
        <v>620</v>
      </c>
      <c r="X271" s="2" t="s">
        <v>233</v>
      </c>
      <c r="Y271" s="2" t="s">
        <v>1790</v>
      </c>
      <c r="Z271" s="4">
        <v>421</v>
      </c>
      <c r="AA271" s="4">
        <f>=ROUNDDOWN(46.7777777777778,0)</f>
      </c>
      <c r="AB271" s="5">
        <v>9</v>
      </c>
      <c r="AC271" s="2" t="s">
        <v>1313</v>
      </c>
      <c r="AD271" s="4">
        <v>72</v>
      </c>
      <c r="AE271" s="4">
        <v>279</v>
      </c>
      <c r="AF271" s="6">
        <v>63</v>
      </c>
      <c r="AG271" s="6">
        <v>46</v>
      </c>
      <c r="AH271" s="7">
        <v>1</v>
      </c>
      <c r="AI271" s="4"/>
      <c r="AJ271" s="4">
        <f>=ROUNDDOWN({0},0)</f>
      </c>
      <c r="AK271" s="5"/>
      <c r="AL271" s="2" t="s">
        <v>233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233</v>
      </c>
      <c r="AW271" s="8" t="s">
        <v>233</v>
      </c>
      <c r="AX271" s="4" t="s">
        <v>233</v>
      </c>
      <c r="AY271" s="8" t="s">
        <v>233</v>
      </c>
      <c r="AZ271" s="7" t="s">
        <v>233</v>
      </c>
      <c r="BA271" s="7" t="s">
        <v>233</v>
      </c>
      <c r="BB271" s="7"/>
      <c r="BC271" s="4" t="s">
        <v>233</v>
      </c>
      <c r="BD271" s="8" t="s">
        <v>233</v>
      </c>
      <c r="BE271" s="4" t="s">
        <v>233</v>
      </c>
      <c r="BF271" s="8" t="s">
        <v>233</v>
      </c>
      <c r="BG271" s="7" t="s">
        <v>233</v>
      </c>
      <c r="BH271" s="7" t="s">
        <v>233</v>
      </c>
      <c r="BI271" s="7"/>
      <c r="BJ271" s="4">
        <v>80</v>
      </c>
      <c r="BK271" s="8">
        <v>2695.21</v>
      </c>
      <c r="BL271" s="2" t="s">
        <v>1813</v>
      </c>
      <c r="BM271" s="7"/>
      <c r="BN271" s="7"/>
      <c r="BO271" s="4"/>
      <c r="BP271" s="8"/>
      <c r="BQ271" s="4"/>
      <c r="BR271" s="8"/>
      <c r="BS271" s="7"/>
      <c r="BT271" s="7"/>
      <c r="BU271" s="2" t="s">
        <v>1793</v>
      </c>
      <c r="BV271" s="2" t="s">
        <v>233</v>
      </c>
      <c r="BW271" s="2" t="s">
        <v>233</v>
      </c>
      <c r="BX271" s="2" t="s">
        <v>241</v>
      </c>
      <c r="BY271" s="2" t="s">
        <v>242</v>
      </c>
      <c r="BZ271" s="2" t="s">
        <v>230</v>
      </c>
      <c r="CA271" s="2" t="s">
        <v>1794</v>
      </c>
      <c r="CB271" s="2" t="s">
        <v>1806</v>
      </c>
      <c r="CC271" s="2" t="s">
        <v>245</v>
      </c>
      <c r="CD271" s="2" t="s">
        <v>233</v>
      </c>
      <c r="CE271" s="4">
        <v>264</v>
      </c>
      <c r="CF271" s="4"/>
      <c r="CG271" s="4"/>
      <c r="CH271" s="4">
        <v>157</v>
      </c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>
        <v>72</v>
      </c>
      <c r="FN271" s="4"/>
      <c r="FO271" s="4"/>
      <c r="FP271" s="4"/>
      <c r="FQ271" s="4"/>
      <c r="FR271" s="4"/>
      <c r="FS271" s="4"/>
      <c r="FT271" s="4"/>
      <c r="FU271" s="4">
        <v>207</v>
      </c>
      <c r="FV271" s="4"/>
      <c r="FW271" s="4"/>
      <c r="FX271" s="4"/>
      <c r="FY271" s="4"/>
      <c r="FZ271" s="4"/>
      <c r="GA271" s="4"/>
      <c r="GB271" s="4"/>
      <c r="GC271" s="4">
        <v>427</v>
      </c>
      <c r="GD271" s="4">
        <v>415</v>
      </c>
      <c r="GE271" s="4">
        <v>406</v>
      </c>
      <c r="GF271" s="4">
        <v>390</v>
      </c>
      <c r="GG271" s="4">
        <v>374</v>
      </c>
      <c r="GH271" s="4">
        <v>360</v>
      </c>
      <c r="GI271" s="4">
        <v>351</v>
      </c>
      <c r="GJ271" s="4">
        <v>342</v>
      </c>
      <c r="GK271" s="4">
        <v>334</v>
      </c>
      <c r="GL271" s="4">
        <v>327</v>
      </c>
      <c r="GM271" s="4">
        <v>320</v>
      </c>
      <c r="GN271" s="4">
        <v>313</v>
      </c>
      <c r="GO271" s="4">
        <v>306</v>
      </c>
      <c r="GP271" s="4">
        <v>299</v>
      </c>
      <c r="GQ271" s="4">
        <v>292</v>
      </c>
      <c r="GR271" s="4">
        <v>357</v>
      </c>
      <c r="GS271" s="4">
        <v>350</v>
      </c>
      <c r="GT271" s="4">
        <v>549</v>
      </c>
      <c r="GU271" s="4">
        <v>542</v>
      </c>
      <c r="GV271" s="4">
        <v>535</v>
      </c>
      <c r="GW271" s="4">
        <v>526</v>
      </c>
      <c r="GX271" s="4">
        <v>517</v>
      </c>
      <c r="GY271" s="4">
        <v>508</v>
      </c>
      <c r="GZ271" s="4">
        <v>499</v>
      </c>
      <c r="HA271" s="4">
        <v>490</v>
      </c>
      <c r="HB271" s="4">
        <v>481</v>
      </c>
      <c r="HC271" s="19">
        <v>52.4</v>
      </c>
      <c r="HD271" s="19">
        <v>50.2</v>
      </c>
      <c r="HE271" s="19">
        <v>49.7</v>
      </c>
      <c r="HF271" s="19">
        <v>50.5</v>
      </c>
      <c r="HG271" s="19">
        <v>88.8</v>
      </c>
      <c r="HH271" s="19">
        <v>90.5</v>
      </c>
      <c r="HI271" s="19">
        <v>89.4</v>
      </c>
      <c r="HJ271" s="19">
        <v>90.6</v>
      </c>
      <c r="HK271" s="19">
        <v>89.5</v>
      </c>
      <c r="HL271" s="19">
        <v>88.5</v>
      </c>
      <c r="HM271" s="19">
        <v>87.5</v>
      </c>
      <c r="HN271" s="19">
        <v>86.5</v>
      </c>
      <c r="HO271" s="19">
        <v>85.5</v>
      </c>
      <c r="HP271" s="19">
        <v>84.5</v>
      </c>
      <c r="HQ271" s="19">
        <v>83.5</v>
      </c>
      <c r="HR271" s="19">
        <v>118.5</v>
      </c>
      <c r="HS271" s="19">
        <v>117.5</v>
      </c>
      <c r="HT271" s="19">
        <v>80.9</v>
      </c>
      <c r="HU271" s="19">
        <v>76.2</v>
      </c>
      <c r="HV271" s="19">
        <v>75.6</v>
      </c>
      <c r="HW271" s="19">
        <v>74.6</v>
      </c>
      <c r="HX271" s="19">
        <v>73.6</v>
      </c>
      <c r="HY271" s="19">
        <v>72.6</v>
      </c>
      <c r="HZ271" s="19">
        <v>71.6</v>
      </c>
      <c r="IA271" s="19">
        <v>70.6</v>
      </c>
      <c r="IB271" s="19">
        <v>69.6</v>
      </c>
    </row>
    <row r="272">
      <c r="A272" s="2" t="s">
        <v>1814</v>
      </c>
      <c r="B272" s="2" t="s">
        <v>872</v>
      </c>
      <c r="C272" s="2" t="s">
        <v>762</v>
      </c>
      <c r="D272" s="2" t="s">
        <v>1815</v>
      </c>
      <c r="E272" s="2" t="s">
        <v>1816</v>
      </c>
      <c r="F272" s="2" t="s">
        <v>1817</v>
      </c>
      <c r="G272" s="2" t="s">
        <v>1817</v>
      </c>
      <c r="H272" s="2" t="s">
        <v>1817</v>
      </c>
      <c r="I272" s="2" t="s">
        <v>1818</v>
      </c>
      <c r="J272" s="2" t="s">
        <v>1819</v>
      </c>
      <c r="K272" s="2" t="s">
        <v>266</v>
      </c>
      <c r="L272" s="3">
        <v>14.85</v>
      </c>
      <c r="M272" s="3">
        <v>15.59</v>
      </c>
      <c r="N272" s="3">
        <v>32.99</v>
      </c>
      <c r="O272" s="2" t="s">
        <v>230</v>
      </c>
      <c r="P272" s="2" t="s">
        <v>597</v>
      </c>
      <c r="Q272" s="2" t="s">
        <v>232</v>
      </c>
      <c r="R272" s="2" t="s">
        <v>233</v>
      </c>
      <c r="S272" s="2" t="s">
        <v>1820</v>
      </c>
      <c r="T272" s="2" t="s">
        <v>233</v>
      </c>
      <c r="U272" s="2" t="s">
        <v>233</v>
      </c>
      <c r="V272" s="2" t="s">
        <v>236</v>
      </c>
      <c r="W272" s="2" t="s">
        <v>288</v>
      </c>
      <c r="X272" s="2" t="s">
        <v>233</v>
      </c>
      <c r="Y272" s="2" t="s">
        <v>238</v>
      </c>
      <c r="Z272" s="4">
        <v>1026</v>
      </c>
      <c r="AA272" s="4">
        <f>=ROUNDDOWN(36.6428571428571,0)</f>
      </c>
      <c r="AB272" s="5">
        <v>28</v>
      </c>
      <c r="AC272" s="2" t="s">
        <v>233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233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/>
      <c r="BD272" s="8"/>
      <c r="BE272" s="4"/>
      <c r="BF272" s="8"/>
      <c r="BG272" s="7"/>
      <c r="BH272" s="7"/>
      <c r="BI272" s="7"/>
      <c r="BJ272" s="4">
        <v>102</v>
      </c>
      <c r="BK272" s="8">
        <v>1583.6</v>
      </c>
      <c r="BL272" s="2" t="s">
        <v>1821</v>
      </c>
      <c r="BM272" s="7"/>
      <c r="BN272" s="7"/>
      <c r="BO272" s="4"/>
      <c r="BP272" s="8"/>
      <c r="BQ272" s="4"/>
      <c r="BR272" s="8"/>
      <c r="BS272" s="7"/>
      <c r="BT272" s="7"/>
      <c r="BU272" s="2" t="s">
        <v>1822</v>
      </c>
      <c r="BV272" s="2" t="s">
        <v>233</v>
      </c>
      <c r="BW272" s="2" t="s">
        <v>233</v>
      </c>
      <c r="BX272" s="2" t="s">
        <v>241</v>
      </c>
      <c r="BY272" s="2" t="s">
        <v>242</v>
      </c>
      <c r="BZ272" s="2" t="s">
        <v>230</v>
      </c>
      <c r="CA272" s="2" t="s">
        <v>243</v>
      </c>
      <c r="CB272" s="2" t="s">
        <v>1823</v>
      </c>
      <c r="CC272" s="2" t="s">
        <v>245</v>
      </c>
      <c r="CD272" s="2" t="s">
        <v>233</v>
      </c>
      <c r="CE272" s="4">
        <v>1026</v>
      </c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>
        <v>1065</v>
      </c>
      <c r="GD272" s="4">
        <v>1031</v>
      </c>
      <c r="GE272" s="4">
        <v>1001</v>
      </c>
      <c r="GF272" s="4">
        <v>970</v>
      </c>
      <c r="GG272" s="4">
        <v>936</v>
      </c>
      <c r="GH272" s="4">
        <v>908</v>
      </c>
      <c r="GI272" s="4">
        <v>880</v>
      </c>
      <c r="GJ272" s="4">
        <v>852</v>
      </c>
      <c r="GK272" s="4">
        <v>824</v>
      </c>
      <c r="GL272" s="4">
        <v>796</v>
      </c>
      <c r="GM272" s="4">
        <v>765</v>
      </c>
      <c r="GN272" s="4">
        <v>737</v>
      </c>
      <c r="GO272" s="4">
        <v>709</v>
      </c>
      <c r="GP272" s="4">
        <v>681</v>
      </c>
      <c r="GQ272" s="4">
        <v>653</v>
      </c>
      <c r="GR272" s="4">
        <v>625</v>
      </c>
      <c r="GS272" s="4">
        <v>597</v>
      </c>
      <c r="GT272" s="4">
        <v>566</v>
      </c>
      <c r="GU272" s="4">
        <v>538</v>
      </c>
      <c r="GV272" s="4">
        <v>510</v>
      </c>
      <c r="GW272" s="4">
        <v>482</v>
      </c>
      <c r="GX272" s="4">
        <v>454</v>
      </c>
      <c r="GY272" s="4">
        <v>426</v>
      </c>
      <c r="GZ272" s="4">
        <v>398</v>
      </c>
      <c r="HA272" s="4">
        <v>367</v>
      </c>
      <c r="HB272" s="4">
        <v>339</v>
      </c>
      <c r="HC272" s="19">
        <v>33.3</v>
      </c>
      <c r="HD272" s="19">
        <v>33.3</v>
      </c>
      <c r="HE272" s="19">
        <v>33.4</v>
      </c>
      <c r="HF272" s="19">
        <v>32.3</v>
      </c>
      <c r="HG272" s="19">
        <v>33.4</v>
      </c>
      <c r="HH272" s="19">
        <v>32.4</v>
      </c>
      <c r="HI272" s="19">
        <v>30.3</v>
      </c>
      <c r="HJ272" s="19">
        <v>29.4</v>
      </c>
      <c r="HK272" s="19">
        <v>28.4</v>
      </c>
      <c r="HL272" s="19">
        <v>27.4</v>
      </c>
      <c r="HM272" s="19">
        <v>27.3</v>
      </c>
      <c r="HN272" s="19">
        <v>26.3</v>
      </c>
      <c r="HO272" s="19">
        <v>25.3</v>
      </c>
      <c r="HP272" s="19">
        <v>23.5</v>
      </c>
      <c r="HQ272" s="19">
        <v>22.5</v>
      </c>
      <c r="HR272" s="19">
        <v>21.6</v>
      </c>
      <c r="HS272" s="19">
        <v>20.6</v>
      </c>
      <c r="HT272" s="19">
        <v>20.2</v>
      </c>
      <c r="HU272" s="19">
        <v>19.2</v>
      </c>
      <c r="HV272" s="19">
        <v>18.2</v>
      </c>
      <c r="HW272" s="19">
        <v>16.6</v>
      </c>
      <c r="HX272" s="19">
        <v>15.7</v>
      </c>
      <c r="HY272" s="19">
        <v>14.7</v>
      </c>
      <c r="HZ272" s="19">
        <v>13.7</v>
      </c>
      <c r="IA272" s="19">
        <v>13.1</v>
      </c>
      <c r="IB272" s="19">
        <v>11.7</v>
      </c>
    </row>
    <row r="273">
      <c r="A273" s="2" t="s">
        <v>1824</v>
      </c>
      <c r="B273" s="2" t="s">
        <v>825</v>
      </c>
      <c r="C273" s="2" t="s">
        <v>826</v>
      </c>
      <c r="D273" s="2" t="s">
        <v>261</v>
      </c>
      <c r="E273" s="2" t="s">
        <v>603</v>
      </c>
      <c r="F273" s="2" t="s">
        <v>1825</v>
      </c>
      <c r="G273" s="2" t="s">
        <v>1826</v>
      </c>
      <c r="H273" s="2" t="s">
        <v>1827</v>
      </c>
      <c r="I273" s="2" t="s">
        <v>839</v>
      </c>
      <c r="J273" s="2" t="s">
        <v>265</v>
      </c>
      <c r="K273" s="2" t="s">
        <v>1706</v>
      </c>
      <c r="L273" s="3">
        <v>31.5</v>
      </c>
      <c r="M273" s="3">
        <v>33.08</v>
      </c>
      <c r="N273" s="3">
        <v>69.99</v>
      </c>
      <c r="O273" s="2" t="s">
        <v>230</v>
      </c>
      <c r="P273" s="2" t="s">
        <v>597</v>
      </c>
      <c r="Q273" s="2" t="s">
        <v>232</v>
      </c>
      <c r="R273" s="2" t="s">
        <v>233</v>
      </c>
      <c r="S273" s="2" t="s">
        <v>1828</v>
      </c>
      <c r="T273" s="2" t="s">
        <v>469</v>
      </c>
      <c r="U273" s="2" t="s">
        <v>287</v>
      </c>
      <c r="V273" s="2" t="s">
        <v>834</v>
      </c>
      <c r="W273" s="2" t="s">
        <v>237</v>
      </c>
      <c r="X273" s="2" t="s">
        <v>233</v>
      </c>
      <c r="Y273" s="2" t="s">
        <v>1633</v>
      </c>
      <c r="Z273" s="4">
        <v>452</v>
      </c>
      <c r="AA273" s="4">
        <f>=ROUNDDOWN(19.6521739130435,0)</f>
      </c>
      <c r="AB273" s="5">
        <v>23</v>
      </c>
      <c r="AC273" s="2" t="s">
        <v>153</v>
      </c>
      <c r="AD273" s="4">
        <v>250</v>
      </c>
      <c r="AE273" s="4">
        <v>500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233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/>
      <c r="BD273" s="8"/>
      <c r="BE273" s="4"/>
      <c r="BF273" s="8"/>
      <c r="BG273" s="7"/>
      <c r="BH273" s="7"/>
      <c r="BI273" s="7"/>
      <c r="BJ273" s="4">
        <v>124</v>
      </c>
      <c r="BK273" s="8">
        <v>4328.22</v>
      </c>
      <c r="BL273" s="2" t="s">
        <v>1829</v>
      </c>
      <c r="BM273" s="7"/>
      <c r="BN273" s="7"/>
      <c r="BO273" s="4"/>
      <c r="BP273" s="8"/>
      <c r="BQ273" s="4"/>
      <c r="BR273" s="8"/>
      <c r="BS273" s="7"/>
      <c r="BT273" s="7"/>
      <c r="BU273" s="2" t="s">
        <v>1830</v>
      </c>
      <c r="BV273" s="2" t="s">
        <v>233</v>
      </c>
      <c r="BW273" s="2" t="s">
        <v>233</v>
      </c>
      <c r="BX273" s="2" t="s">
        <v>241</v>
      </c>
      <c r="BY273" s="2" t="s">
        <v>242</v>
      </c>
      <c r="BZ273" s="2" t="s">
        <v>230</v>
      </c>
      <c r="CA273" s="2" t="s">
        <v>1831</v>
      </c>
      <c r="CB273" s="2" t="s">
        <v>1832</v>
      </c>
      <c r="CC273" s="2" t="s">
        <v>245</v>
      </c>
      <c r="CD273" s="2" t="s">
        <v>233</v>
      </c>
      <c r="CE273" s="4">
        <v>452</v>
      </c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>
        <v>250</v>
      </c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>
        <v>250</v>
      </c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>
        <v>545</v>
      </c>
      <c r="GD273" s="4">
        <v>445</v>
      </c>
      <c r="GE273" s="4">
        <v>424</v>
      </c>
      <c r="GF273" s="4">
        <v>401</v>
      </c>
      <c r="GG273" s="4">
        <v>616</v>
      </c>
      <c r="GH273" s="4">
        <v>586</v>
      </c>
      <c r="GI273" s="4">
        <v>549</v>
      </c>
      <c r="GJ273" s="4">
        <v>518</v>
      </c>
      <c r="GK273" s="4">
        <v>500</v>
      </c>
      <c r="GL273" s="4">
        <v>477</v>
      </c>
      <c r="GM273" s="4">
        <v>703</v>
      </c>
      <c r="GN273" s="4">
        <v>680</v>
      </c>
      <c r="GO273" s="4">
        <v>654</v>
      </c>
      <c r="GP273" s="4">
        <v>628</v>
      </c>
      <c r="GQ273" s="4">
        <v>602</v>
      </c>
      <c r="GR273" s="4">
        <v>576</v>
      </c>
      <c r="GS273" s="4">
        <v>553</v>
      </c>
      <c r="GT273" s="4">
        <v>529</v>
      </c>
      <c r="GU273" s="4">
        <v>506</v>
      </c>
      <c r="GV273" s="4">
        <v>479</v>
      </c>
      <c r="GW273" s="4">
        <v>454</v>
      </c>
      <c r="GX273" s="4">
        <v>429</v>
      </c>
      <c r="GY273" s="4">
        <v>404</v>
      </c>
      <c r="GZ273" s="4">
        <v>383</v>
      </c>
      <c r="HA273" s="4">
        <v>361</v>
      </c>
      <c r="HB273" s="4">
        <v>339</v>
      </c>
      <c r="HC273" s="19">
        <v>12.1</v>
      </c>
      <c r="HD273" s="19">
        <v>16.5</v>
      </c>
      <c r="HE273" s="19">
        <v>13.7</v>
      </c>
      <c r="HF273" s="19">
        <v>12.2</v>
      </c>
      <c r="HG273" s="19">
        <v>21.2</v>
      </c>
      <c r="HH273" s="19">
        <v>21.7</v>
      </c>
      <c r="HI273" s="19">
        <v>22.9</v>
      </c>
      <c r="HJ273" s="19">
        <v>23.5</v>
      </c>
      <c r="HK273" s="19">
        <v>20.8</v>
      </c>
      <c r="HL273" s="19">
        <v>19.1</v>
      </c>
      <c r="HM273" s="19">
        <v>28.1</v>
      </c>
      <c r="HN273" s="19">
        <v>26.2</v>
      </c>
      <c r="HO273" s="19">
        <v>26.2</v>
      </c>
      <c r="HP273" s="19">
        <v>25.1</v>
      </c>
      <c r="HQ273" s="19">
        <v>25.1</v>
      </c>
      <c r="HR273" s="19">
        <v>24</v>
      </c>
      <c r="HS273" s="19">
        <v>22.1</v>
      </c>
      <c r="HT273" s="19">
        <v>21.2</v>
      </c>
      <c r="HU273" s="19">
        <v>19.5</v>
      </c>
      <c r="HV273" s="19">
        <v>20</v>
      </c>
      <c r="HW273" s="19">
        <v>19.7</v>
      </c>
      <c r="HX273" s="19">
        <v>19.5</v>
      </c>
      <c r="HY273" s="19">
        <v>18.4</v>
      </c>
      <c r="HZ273" s="19">
        <v>18.2</v>
      </c>
      <c r="IA273" s="19">
        <v>18.1</v>
      </c>
      <c r="IB273" s="19">
        <v>16.1</v>
      </c>
    </row>
    <row r="274">
      <c r="A274" s="2" t="s">
        <v>1833</v>
      </c>
      <c r="B274" s="2" t="s">
        <v>761</v>
      </c>
      <c r="C274" s="2" t="s">
        <v>280</v>
      </c>
      <c r="D274" s="2" t="s">
        <v>1834</v>
      </c>
      <c r="E274" s="2" t="s">
        <v>1835</v>
      </c>
      <c r="F274" s="2" t="s">
        <v>1836</v>
      </c>
      <c r="G274" s="2" t="s">
        <v>1837</v>
      </c>
      <c r="H274" s="2" t="s">
        <v>1838</v>
      </c>
      <c r="I274" s="2" t="s">
        <v>1839</v>
      </c>
      <c r="J274" s="2" t="s">
        <v>741</v>
      </c>
      <c r="K274" s="2" t="s">
        <v>1157</v>
      </c>
      <c r="L274" s="3">
        <v>226.1</v>
      </c>
      <c r="M274" s="3">
        <v>237.4</v>
      </c>
      <c r="N274" s="3">
        <v>479</v>
      </c>
      <c r="O274" s="2" t="s">
        <v>230</v>
      </c>
      <c r="P274" s="2" t="s">
        <v>231</v>
      </c>
      <c r="Q274" s="2" t="s">
        <v>232</v>
      </c>
      <c r="R274" s="2" t="s">
        <v>233</v>
      </c>
      <c r="S274" s="2" t="s">
        <v>233</v>
      </c>
      <c r="T274" s="2" t="s">
        <v>233</v>
      </c>
      <c r="U274" s="2" t="s">
        <v>711</v>
      </c>
      <c r="V274" s="2" t="s">
        <v>236</v>
      </c>
      <c r="W274" s="2" t="s">
        <v>712</v>
      </c>
      <c r="X274" s="2" t="s">
        <v>233</v>
      </c>
      <c r="Y274" s="2" t="s">
        <v>1840</v>
      </c>
      <c r="Z274" s="4">
        <v>221</v>
      </c>
      <c r="AA274" s="4">
        <f>=ROUNDDOWN(36.8333333333333,0)</f>
      </c>
      <c r="AB274" s="5">
        <v>6</v>
      </c>
      <c r="AC274" s="2" t="s">
        <v>233</v>
      </c>
      <c r="AD274" s="4"/>
      <c r="AE274" s="4"/>
      <c r="AF274" s="6">
        <v>69</v>
      </c>
      <c r="AG274" s="6">
        <v>52</v>
      </c>
      <c r="AH274" s="7">
        <v>1</v>
      </c>
      <c r="AI274" s="4"/>
      <c r="AJ274" s="4">
        <f>=ROUNDDOWN({0},0)</f>
      </c>
      <c r="AK274" s="5"/>
      <c r="AL274" s="2" t="s">
        <v>233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/>
      <c r="BD274" s="8"/>
      <c r="BE274" s="4"/>
      <c r="BF274" s="8"/>
      <c r="BG274" s="7"/>
      <c r="BH274" s="7"/>
      <c r="BI274" s="7"/>
      <c r="BJ274" s="4">
        <v>5</v>
      </c>
      <c r="BK274" s="8">
        <v>1182.63</v>
      </c>
      <c r="BL274" s="2" t="s">
        <v>1841</v>
      </c>
      <c r="BM274" s="7"/>
      <c r="BN274" s="7"/>
      <c r="BO274" s="4"/>
      <c r="BP274" s="8"/>
      <c r="BQ274" s="4"/>
      <c r="BR274" s="8"/>
      <c r="BS274" s="7"/>
      <c r="BT274" s="7"/>
      <c r="BU274" s="2" t="s">
        <v>1842</v>
      </c>
      <c r="BV274" s="2" t="s">
        <v>233</v>
      </c>
      <c r="BW274" s="2" t="s">
        <v>233</v>
      </c>
      <c r="BX274" s="2" t="s">
        <v>241</v>
      </c>
      <c r="BY274" s="2" t="s">
        <v>242</v>
      </c>
      <c r="BZ274" s="2" t="s">
        <v>230</v>
      </c>
      <c r="CA274" s="2" t="s">
        <v>319</v>
      </c>
      <c r="CB274" s="2" t="s">
        <v>1843</v>
      </c>
      <c r="CC274" s="2" t="s">
        <v>245</v>
      </c>
      <c r="CD274" s="2" t="s">
        <v>233</v>
      </c>
      <c r="CE274" s="4"/>
      <c r="CF274" s="4">
        <v>200</v>
      </c>
      <c r="CG274" s="4"/>
      <c r="CH274" s="4">
        <v>21</v>
      </c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>
        <v>225</v>
      </c>
      <c r="GD274" s="4">
        <v>214</v>
      </c>
      <c r="GE274" s="4">
        <v>206</v>
      </c>
      <c r="GF274" s="4">
        <v>200</v>
      </c>
      <c r="GG274" s="4">
        <v>187</v>
      </c>
      <c r="GH274" s="4">
        <v>179</v>
      </c>
      <c r="GI274" s="4">
        <v>173</v>
      </c>
      <c r="GJ274" s="4">
        <v>167</v>
      </c>
      <c r="GK274" s="4">
        <v>163</v>
      </c>
      <c r="GL274" s="4">
        <v>157</v>
      </c>
      <c r="GM274" s="4">
        <v>152</v>
      </c>
      <c r="GN274" s="4">
        <v>146</v>
      </c>
      <c r="GO274" s="4">
        <v>141</v>
      </c>
      <c r="GP274" s="4">
        <v>136</v>
      </c>
      <c r="GQ274" s="4">
        <v>129</v>
      </c>
      <c r="GR274" s="4">
        <v>122</v>
      </c>
      <c r="GS274" s="4">
        <v>115</v>
      </c>
      <c r="GT274" s="4">
        <v>108</v>
      </c>
      <c r="GU274" s="4">
        <v>103</v>
      </c>
      <c r="GV274" s="4">
        <v>97</v>
      </c>
      <c r="GW274" s="4">
        <v>91</v>
      </c>
      <c r="GX274" s="4">
        <v>85</v>
      </c>
      <c r="GY274" s="4">
        <v>79</v>
      </c>
      <c r="GZ274" s="4">
        <v>73</v>
      </c>
      <c r="HA274" s="4">
        <v>67</v>
      </c>
      <c r="HB274" s="4">
        <v>61</v>
      </c>
      <c r="HC274" s="19">
        <v>23.3</v>
      </c>
      <c r="HD274" s="19">
        <v>22.2</v>
      </c>
      <c r="HE274" s="19">
        <v>22.9</v>
      </c>
      <c r="HF274" s="19">
        <v>22</v>
      </c>
      <c r="HG274" s="19">
        <v>25.1</v>
      </c>
      <c r="HH274" s="19">
        <v>28</v>
      </c>
      <c r="HI274" s="19">
        <v>26.9</v>
      </c>
      <c r="HJ274" s="19">
        <v>25.8</v>
      </c>
      <c r="HK274" s="19">
        <v>24.9</v>
      </c>
      <c r="HL274" s="19">
        <v>23.8</v>
      </c>
      <c r="HM274" s="19">
        <v>19.2</v>
      </c>
      <c r="HN274" s="19">
        <v>18.2</v>
      </c>
      <c r="HO274" s="19">
        <v>15.1</v>
      </c>
      <c r="HP274" s="19">
        <v>14.3</v>
      </c>
      <c r="HQ274" s="19">
        <v>13.3</v>
      </c>
      <c r="HR274" s="19">
        <v>14.2</v>
      </c>
      <c r="HS274" s="19">
        <v>13.1</v>
      </c>
      <c r="HT274" s="19">
        <v>12</v>
      </c>
      <c r="HU274" s="19">
        <v>8.4</v>
      </c>
      <c r="HV274" s="19">
        <v>8</v>
      </c>
      <c r="HW274" s="19">
        <v>7.6</v>
      </c>
      <c r="HX274" s="19">
        <v>7.1</v>
      </c>
      <c r="HY274" s="19">
        <v>6.6</v>
      </c>
      <c r="HZ274" s="19">
        <v>6.1</v>
      </c>
      <c r="IA274" s="19">
        <v>5.6</v>
      </c>
      <c r="IB274" s="19">
        <v>5.1</v>
      </c>
    </row>
    <row r="275">
      <c r="A275" s="2" t="s">
        <v>1844</v>
      </c>
      <c r="B275" s="2" t="s">
        <v>872</v>
      </c>
      <c r="C275" s="2" t="s">
        <v>280</v>
      </c>
      <c r="D275" s="2" t="s">
        <v>261</v>
      </c>
      <c r="E275" s="2" t="s">
        <v>603</v>
      </c>
      <c r="F275" s="2" t="s">
        <v>1845</v>
      </c>
      <c r="G275" s="2" t="s">
        <v>1846</v>
      </c>
      <c r="H275" s="2" t="s">
        <v>1847</v>
      </c>
      <c r="I275" s="2" t="s">
        <v>1848</v>
      </c>
      <c r="J275" s="2" t="s">
        <v>275</v>
      </c>
      <c r="K275" s="2" t="s">
        <v>1500</v>
      </c>
      <c r="L275" s="3">
        <v>42.85</v>
      </c>
      <c r="M275" s="3">
        <v>44.99</v>
      </c>
      <c r="N275" s="3">
        <v>89.99</v>
      </c>
      <c r="O275" s="2" t="s">
        <v>230</v>
      </c>
      <c r="P275" s="2" t="s">
        <v>231</v>
      </c>
      <c r="Q275" s="2" t="s">
        <v>232</v>
      </c>
      <c r="R275" s="2" t="s">
        <v>233</v>
      </c>
      <c r="S275" s="2" t="s">
        <v>1849</v>
      </c>
      <c r="T275" s="2" t="s">
        <v>469</v>
      </c>
      <c r="U275" s="2" t="s">
        <v>608</v>
      </c>
      <c r="V275" s="2" t="s">
        <v>834</v>
      </c>
      <c r="W275" s="2" t="s">
        <v>1631</v>
      </c>
      <c r="X275" s="2" t="s">
        <v>1141</v>
      </c>
      <c r="Y275" s="2" t="s">
        <v>1850</v>
      </c>
      <c r="Z275" s="4">
        <v>568</v>
      </c>
      <c r="AA275" s="4">
        <f>=ROUNDDOWN(81.1428571428571,0)</f>
      </c>
      <c r="AB275" s="5">
        <v>7</v>
      </c>
      <c r="AC275" s="2" t="s">
        <v>1851</v>
      </c>
      <c r="AD275" s="4">
        <v>180</v>
      </c>
      <c r="AE275" s="4">
        <v>180</v>
      </c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233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>
        <v>29</v>
      </c>
      <c r="BK275" s="8">
        <v>1433.59</v>
      </c>
      <c r="BL275" s="2" t="s">
        <v>1852</v>
      </c>
      <c r="BM275" s="7"/>
      <c r="BN275" s="7"/>
      <c r="BO275" s="4"/>
      <c r="BP275" s="8"/>
      <c r="BQ275" s="4"/>
      <c r="BR275" s="8"/>
      <c r="BS275" s="7"/>
      <c r="BT275" s="7"/>
      <c r="BU275" s="2" t="s">
        <v>1853</v>
      </c>
      <c r="BV275" s="2" t="s">
        <v>233</v>
      </c>
      <c r="BW275" s="2" t="s">
        <v>233</v>
      </c>
      <c r="BX275" s="2" t="s">
        <v>241</v>
      </c>
      <c r="BY275" s="2" t="s">
        <v>242</v>
      </c>
      <c r="BZ275" s="2" t="s">
        <v>230</v>
      </c>
      <c r="CA275" s="2" t="s">
        <v>1854</v>
      </c>
      <c r="CB275" s="2" t="s">
        <v>1855</v>
      </c>
      <c r="CC275" s="2" t="s">
        <v>245</v>
      </c>
      <c r="CD275" s="2" t="s">
        <v>233</v>
      </c>
      <c r="CE275" s="4">
        <v>488</v>
      </c>
      <c r="CF275" s="4"/>
      <c r="CG275" s="4"/>
      <c r="CH275" s="4"/>
      <c r="CI275" s="4"/>
      <c r="CJ275" s="4"/>
      <c r="CK275" s="4"/>
      <c r="CL275" s="4">
        <v>80</v>
      </c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>
        <v>180</v>
      </c>
      <c r="FW275" s="4"/>
      <c r="FX275" s="4"/>
      <c r="FY275" s="4"/>
      <c r="FZ275" s="4"/>
      <c r="GA275" s="4"/>
      <c r="GB275" s="4"/>
      <c r="GC275" s="4">
        <v>568</v>
      </c>
      <c r="GD275" s="4">
        <v>540</v>
      </c>
      <c r="GE275" s="4">
        <v>531</v>
      </c>
      <c r="GF275" s="4">
        <v>521</v>
      </c>
      <c r="GG275" s="4">
        <v>505</v>
      </c>
      <c r="GH275" s="4">
        <v>495</v>
      </c>
      <c r="GI275" s="4">
        <v>486</v>
      </c>
      <c r="GJ275" s="4">
        <v>479</v>
      </c>
      <c r="GK275" s="4">
        <v>473</v>
      </c>
      <c r="GL275" s="4">
        <v>466</v>
      </c>
      <c r="GM275" s="4">
        <v>459</v>
      </c>
      <c r="GN275" s="4">
        <v>452</v>
      </c>
      <c r="GO275" s="4">
        <v>445</v>
      </c>
      <c r="GP275" s="4">
        <v>438</v>
      </c>
      <c r="GQ275" s="4">
        <v>431</v>
      </c>
      <c r="GR275" s="4">
        <v>424</v>
      </c>
      <c r="GS275" s="4">
        <v>417</v>
      </c>
      <c r="GT275" s="4">
        <v>410</v>
      </c>
      <c r="GU275" s="4">
        <v>583</v>
      </c>
      <c r="GV275" s="4">
        <v>576</v>
      </c>
      <c r="GW275" s="4">
        <v>569</v>
      </c>
      <c r="GX275" s="4">
        <v>562</v>
      </c>
      <c r="GY275" s="4">
        <v>555</v>
      </c>
      <c r="GZ275" s="4">
        <v>548</v>
      </c>
      <c r="HA275" s="4">
        <v>541</v>
      </c>
      <c r="HB275" s="4">
        <v>534</v>
      </c>
      <c r="HC275" s="19">
        <v>35.5</v>
      </c>
      <c r="HD275" s="19">
        <v>49.1</v>
      </c>
      <c r="HE275" s="19">
        <v>48.3</v>
      </c>
      <c r="HF275" s="19">
        <v>52.1</v>
      </c>
      <c r="HG275" s="19">
        <v>63.1</v>
      </c>
      <c r="HH275" s="19">
        <v>70.7</v>
      </c>
      <c r="HI275" s="19">
        <v>69.4</v>
      </c>
      <c r="HJ275" s="19">
        <v>68.4</v>
      </c>
      <c r="HK275" s="19">
        <v>67.6</v>
      </c>
      <c r="HL275" s="19">
        <v>66.6</v>
      </c>
      <c r="HM275" s="19">
        <v>65.6</v>
      </c>
      <c r="HN275" s="19">
        <v>64.6</v>
      </c>
      <c r="HO275" s="19">
        <v>63.6</v>
      </c>
      <c r="HP275" s="19">
        <v>62.6</v>
      </c>
      <c r="HQ275" s="19">
        <v>61.6</v>
      </c>
      <c r="HR275" s="19">
        <v>60.6</v>
      </c>
      <c r="HS275" s="19">
        <v>59.6</v>
      </c>
      <c r="HT275" s="19">
        <v>58.6</v>
      </c>
      <c r="HU275" s="19">
        <v>83.3</v>
      </c>
      <c r="HV275" s="19">
        <v>82.3</v>
      </c>
      <c r="HW275" s="19">
        <v>81.3</v>
      </c>
      <c r="HX275" s="19">
        <v>80.3</v>
      </c>
      <c r="HY275" s="19">
        <v>79.3</v>
      </c>
      <c r="HZ275" s="19">
        <v>78.3</v>
      </c>
      <c r="IA275" s="19">
        <v>77.3</v>
      </c>
      <c r="IB275" s="19">
        <v>76.3</v>
      </c>
    </row>
    <row r="276">
      <c r="A276" s="2" t="s">
        <v>1856</v>
      </c>
      <c r="B276" s="2" t="s">
        <v>773</v>
      </c>
      <c r="C276" s="2" t="s">
        <v>280</v>
      </c>
      <c r="D276" s="2" t="s">
        <v>1573</v>
      </c>
      <c r="E276" s="2" t="s">
        <v>1574</v>
      </c>
      <c r="F276" s="2" t="s">
        <v>1857</v>
      </c>
      <c r="G276" s="2" t="s">
        <v>1857</v>
      </c>
      <c r="H276" s="2" t="s">
        <v>1857</v>
      </c>
      <c r="I276" s="2" t="s">
        <v>1574</v>
      </c>
      <c r="J276" s="2" t="s">
        <v>228</v>
      </c>
      <c r="K276" s="2" t="s">
        <v>229</v>
      </c>
      <c r="L276" s="3">
        <v>12.85</v>
      </c>
      <c r="M276" s="3">
        <v>13.49</v>
      </c>
      <c r="N276" s="3">
        <v>29.99</v>
      </c>
      <c r="O276" s="2" t="s">
        <v>230</v>
      </c>
      <c r="P276" s="2" t="s">
        <v>231</v>
      </c>
      <c r="Q276" s="2" t="s">
        <v>232</v>
      </c>
      <c r="R276" s="2" t="s">
        <v>233</v>
      </c>
      <c r="S276" s="2" t="s">
        <v>1858</v>
      </c>
      <c r="T276" s="2" t="s">
        <v>1859</v>
      </c>
      <c r="U276" s="2" t="s">
        <v>329</v>
      </c>
      <c r="V276" s="2" t="s">
        <v>782</v>
      </c>
      <c r="W276" s="2" t="s">
        <v>818</v>
      </c>
      <c r="X276" s="2" t="s">
        <v>712</v>
      </c>
      <c r="Y276" s="2" t="s">
        <v>1860</v>
      </c>
      <c r="Z276" s="4">
        <v>231</v>
      </c>
      <c r="AA276" s="4">
        <f>=ROUNDDOWN(25.6666666666667,0)</f>
      </c>
      <c r="AB276" s="5">
        <v>9</v>
      </c>
      <c r="AC276" s="2" t="s">
        <v>746</v>
      </c>
      <c r="AD276" s="4">
        <v>150</v>
      </c>
      <c r="AE276" s="4">
        <v>270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233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233</v>
      </c>
      <c r="AW276" s="8" t="s">
        <v>233</v>
      </c>
      <c r="AX276" s="4" t="s">
        <v>233</v>
      </c>
      <c r="AY276" s="8" t="s">
        <v>233</v>
      </c>
      <c r="AZ276" s="7" t="s">
        <v>233</v>
      </c>
      <c r="BA276" s="7" t="s">
        <v>233</v>
      </c>
      <c r="BB276" s="7"/>
      <c r="BC276" s="4" t="s">
        <v>233</v>
      </c>
      <c r="BD276" s="8" t="s">
        <v>233</v>
      </c>
      <c r="BE276" s="4" t="s">
        <v>233</v>
      </c>
      <c r="BF276" s="8" t="s">
        <v>233</v>
      </c>
      <c r="BG276" s="7" t="s">
        <v>233</v>
      </c>
      <c r="BH276" s="7" t="s">
        <v>233</v>
      </c>
      <c r="BI276" s="7"/>
      <c r="BJ276" s="4">
        <v>21</v>
      </c>
      <c r="BK276" s="8">
        <v>302.77</v>
      </c>
      <c r="BL276" s="2" t="s">
        <v>674</v>
      </c>
      <c r="BM276" s="7"/>
      <c r="BN276" s="7"/>
      <c r="BO276" s="4"/>
      <c r="BP276" s="8"/>
      <c r="BQ276" s="4"/>
      <c r="BR276" s="8"/>
      <c r="BS276" s="7"/>
      <c r="BT276" s="7"/>
      <c r="BU276" s="2" t="s">
        <v>1861</v>
      </c>
      <c r="BV276" s="2" t="s">
        <v>233</v>
      </c>
      <c r="BW276" s="2" t="s">
        <v>233</v>
      </c>
      <c r="BX276" s="2" t="s">
        <v>241</v>
      </c>
      <c r="BY276" s="2" t="s">
        <v>242</v>
      </c>
      <c r="BZ276" s="2" t="s">
        <v>230</v>
      </c>
      <c r="CA276" s="2" t="s">
        <v>1862</v>
      </c>
      <c r="CB276" s="2" t="s">
        <v>233</v>
      </c>
      <c r="CC276" s="2" t="s">
        <v>245</v>
      </c>
      <c r="CD276" s="2" t="s">
        <v>233</v>
      </c>
      <c r="CE276" s="4">
        <v>231</v>
      </c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>
        <v>150</v>
      </c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>
        <v>120</v>
      </c>
      <c r="GB276" s="4"/>
      <c r="GC276" s="4">
        <v>234</v>
      </c>
      <c r="GD276" s="4">
        <v>217</v>
      </c>
      <c r="GE276" s="4">
        <v>194</v>
      </c>
      <c r="GF276" s="4">
        <v>176</v>
      </c>
      <c r="GG276" s="4">
        <v>139</v>
      </c>
      <c r="GH276" s="4">
        <v>269</v>
      </c>
      <c r="GI276" s="4">
        <v>246</v>
      </c>
      <c r="GJ276" s="4">
        <v>239</v>
      </c>
      <c r="GK276" s="4">
        <v>234</v>
      </c>
      <c r="GL276" s="4">
        <v>226</v>
      </c>
      <c r="GM276" s="4">
        <v>219</v>
      </c>
      <c r="GN276" s="4">
        <v>212</v>
      </c>
      <c r="GO276" s="4">
        <v>205</v>
      </c>
      <c r="GP276" s="4">
        <v>198</v>
      </c>
      <c r="GQ276" s="4">
        <v>191</v>
      </c>
      <c r="GR276" s="4">
        <v>183</v>
      </c>
      <c r="GS276" s="4">
        <v>175</v>
      </c>
      <c r="GT276" s="4">
        <v>166</v>
      </c>
      <c r="GU276" s="4">
        <v>158</v>
      </c>
      <c r="GV276" s="4">
        <v>150</v>
      </c>
      <c r="GW276" s="4">
        <v>262</v>
      </c>
      <c r="GX276" s="4">
        <v>254</v>
      </c>
      <c r="GY276" s="4">
        <v>246</v>
      </c>
      <c r="GZ276" s="4">
        <v>236</v>
      </c>
      <c r="HA276" s="4">
        <v>226</v>
      </c>
      <c r="HB276" s="4">
        <v>216</v>
      </c>
      <c r="HC276" s="19">
        <v>9.8</v>
      </c>
      <c r="HD276" s="19">
        <v>9</v>
      </c>
      <c r="HE276" s="19">
        <v>8.1</v>
      </c>
      <c r="HF276" s="19">
        <v>8</v>
      </c>
      <c r="HG276" s="19">
        <v>9.9</v>
      </c>
      <c r="HH276" s="19">
        <v>24.5</v>
      </c>
      <c r="HI276" s="19">
        <v>35.1</v>
      </c>
      <c r="HJ276" s="19">
        <v>34.1</v>
      </c>
      <c r="HK276" s="19">
        <v>33.4</v>
      </c>
      <c r="HL276" s="19">
        <v>32.3</v>
      </c>
      <c r="HM276" s="19">
        <v>31.3</v>
      </c>
      <c r="HN276" s="19">
        <v>30.3</v>
      </c>
      <c r="HO276" s="19">
        <v>25.6</v>
      </c>
      <c r="HP276" s="19">
        <v>24.8</v>
      </c>
      <c r="HQ276" s="19">
        <v>23.9</v>
      </c>
      <c r="HR276" s="19">
        <v>22.9</v>
      </c>
      <c r="HS276" s="19">
        <v>21.9</v>
      </c>
      <c r="HT276" s="19">
        <v>20.8</v>
      </c>
      <c r="HU276" s="19">
        <v>19.8</v>
      </c>
      <c r="HV276" s="19">
        <v>18.8</v>
      </c>
      <c r="HW276" s="19">
        <v>29.1</v>
      </c>
      <c r="HX276" s="19">
        <v>25.4</v>
      </c>
      <c r="HY276" s="19">
        <v>24.6</v>
      </c>
      <c r="HZ276" s="19">
        <v>23.6</v>
      </c>
      <c r="IA276" s="19">
        <v>22.6</v>
      </c>
      <c r="IB276" s="19">
        <v>24</v>
      </c>
    </row>
    <row r="277">
      <c r="A277" s="2" t="s">
        <v>1863</v>
      </c>
      <c r="B277" s="2" t="s">
        <v>773</v>
      </c>
      <c r="C277" s="2" t="s">
        <v>280</v>
      </c>
      <c r="D277" s="2" t="s">
        <v>1573</v>
      </c>
      <c r="E277" s="2" t="s">
        <v>1574</v>
      </c>
      <c r="F277" s="2" t="s">
        <v>1857</v>
      </c>
      <c r="G277" s="2" t="s">
        <v>1857</v>
      </c>
      <c r="H277" s="2" t="s">
        <v>1857</v>
      </c>
      <c r="I277" s="2" t="s">
        <v>1574</v>
      </c>
      <c r="J277" s="2" t="s">
        <v>265</v>
      </c>
      <c r="K277" s="2" t="s">
        <v>229</v>
      </c>
      <c r="L277" s="3">
        <v>16</v>
      </c>
      <c r="M277" s="3">
        <v>16.8</v>
      </c>
      <c r="N277" s="3">
        <v>34.99</v>
      </c>
      <c r="O277" s="2" t="s">
        <v>230</v>
      </c>
      <c r="P277" s="2" t="s">
        <v>231</v>
      </c>
      <c r="Q277" s="2" t="s">
        <v>232</v>
      </c>
      <c r="R277" s="2" t="s">
        <v>233</v>
      </c>
      <c r="S277" s="2" t="s">
        <v>1858</v>
      </c>
      <c r="T277" s="2" t="s">
        <v>1859</v>
      </c>
      <c r="U277" s="2" t="s">
        <v>329</v>
      </c>
      <c r="V277" s="2" t="s">
        <v>782</v>
      </c>
      <c r="W277" s="2" t="s">
        <v>818</v>
      </c>
      <c r="X277" s="2" t="s">
        <v>712</v>
      </c>
      <c r="Y277" s="2" t="s">
        <v>1864</v>
      </c>
      <c r="Z277" s="4">
        <v>493</v>
      </c>
      <c r="AA277" s="4">
        <f>=ROUNDDOWN(37.9230769230769,0)</f>
      </c>
      <c r="AB277" s="5">
        <v>13</v>
      </c>
      <c r="AC277" s="2" t="s">
        <v>746</v>
      </c>
      <c r="AD277" s="4">
        <v>200</v>
      </c>
      <c r="AE277" s="4">
        <v>400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233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233</v>
      </c>
      <c r="AW277" s="8" t="s">
        <v>233</v>
      </c>
      <c r="AX277" s="4" t="s">
        <v>233</v>
      </c>
      <c r="AY277" s="8" t="s">
        <v>233</v>
      </c>
      <c r="AZ277" s="7" t="s">
        <v>233</v>
      </c>
      <c r="BA277" s="7" t="s">
        <v>233</v>
      </c>
      <c r="BB277" s="7"/>
      <c r="BC277" s="4" t="s">
        <v>233</v>
      </c>
      <c r="BD277" s="8" t="s">
        <v>233</v>
      </c>
      <c r="BE277" s="4" t="s">
        <v>233</v>
      </c>
      <c r="BF277" s="8" t="s">
        <v>233</v>
      </c>
      <c r="BG277" s="7" t="s">
        <v>233</v>
      </c>
      <c r="BH277" s="7" t="s">
        <v>233</v>
      </c>
      <c r="BI277" s="7"/>
      <c r="BJ277" s="4">
        <v>30</v>
      </c>
      <c r="BK277" s="8">
        <v>542.46</v>
      </c>
      <c r="BL277" s="2" t="s">
        <v>356</v>
      </c>
      <c r="BM277" s="7"/>
      <c r="BN277" s="7"/>
      <c r="BO277" s="4"/>
      <c r="BP277" s="8"/>
      <c r="BQ277" s="4"/>
      <c r="BR277" s="8"/>
      <c r="BS277" s="7"/>
      <c r="BT277" s="7"/>
      <c r="BU277" s="2" t="s">
        <v>1861</v>
      </c>
      <c r="BV277" s="2" t="s">
        <v>233</v>
      </c>
      <c r="BW277" s="2" t="s">
        <v>233</v>
      </c>
      <c r="BX277" s="2" t="s">
        <v>241</v>
      </c>
      <c r="BY277" s="2" t="s">
        <v>242</v>
      </c>
      <c r="BZ277" s="2" t="s">
        <v>230</v>
      </c>
      <c r="CA277" s="2" t="s">
        <v>1862</v>
      </c>
      <c r="CB277" s="2" t="s">
        <v>233</v>
      </c>
      <c r="CC277" s="2" t="s">
        <v>245</v>
      </c>
      <c r="CD277" s="2" t="s">
        <v>233</v>
      </c>
      <c r="CE277" s="4">
        <v>493</v>
      </c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>
        <v>200</v>
      </c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>
        <v>200</v>
      </c>
      <c r="GB277" s="4"/>
      <c r="GC277" s="4">
        <v>499</v>
      </c>
      <c r="GD277" s="4">
        <v>475</v>
      </c>
      <c r="GE277" s="4">
        <v>442</v>
      </c>
      <c r="GF277" s="4">
        <v>417</v>
      </c>
      <c r="GG277" s="4">
        <v>356</v>
      </c>
      <c r="GH277" s="4">
        <v>528</v>
      </c>
      <c r="GI277" s="4">
        <v>487</v>
      </c>
      <c r="GJ277" s="4">
        <v>467</v>
      </c>
      <c r="GK277" s="4">
        <v>459</v>
      </c>
      <c r="GL277" s="4">
        <v>446</v>
      </c>
      <c r="GM277" s="4">
        <v>434</v>
      </c>
      <c r="GN277" s="4">
        <v>422</v>
      </c>
      <c r="GO277" s="4">
        <v>410</v>
      </c>
      <c r="GP277" s="4">
        <v>398</v>
      </c>
      <c r="GQ277" s="4">
        <v>386</v>
      </c>
      <c r="GR277" s="4">
        <v>375</v>
      </c>
      <c r="GS277" s="4">
        <v>364</v>
      </c>
      <c r="GT277" s="4">
        <v>352</v>
      </c>
      <c r="GU277" s="4">
        <v>341</v>
      </c>
      <c r="GV277" s="4">
        <v>326</v>
      </c>
      <c r="GW277" s="4">
        <v>511</v>
      </c>
      <c r="GX277" s="4">
        <v>496</v>
      </c>
      <c r="GY277" s="4">
        <v>481</v>
      </c>
      <c r="GZ277" s="4">
        <v>463</v>
      </c>
      <c r="HA277" s="4">
        <v>446</v>
      </c>
      <c r="HB277" s="4">
        <v>428</v>
      </c>
      <c r="HC277" s="19">
        <v>13.9</v>
      </c>
      <c r="HD277" s="19">
        <v>12.8</v>
      </c>
      <c r="HE277" s="19">
        <v>11.3</v>
      </c>
      <c r="HF277" s="19">
        <v>11</v>
      </c>
      <c r="HG277" s="19">
        <v>14.8</v>
      </c>
      <c r="HH277" s="19">
        <v>26.4</v>
      </c>
      <c r="HI277" s="19">
        <v>37.5</v>
      </c>
      <c r="HJ277" s="19">
        <v>42.5</v>
      </c>
      <c r="HK277" s="19">
        <v>38.3</v>
      </c>
      <c r="HL277" s="19">
        <v>37.2</v>
      </c>
      <c r="HM277" s="19">
        <v>36.2</v>
      </c>
      <c r="HN277" s="19">
        <v>35.2</v>
      </c>
      <c r="HO277" s="19">
        <v>34.2</v>
      </c>
      <c r="HP277" s="19">
        <v>33.2</v>
      </c>
      <c r="HQ277" s="19">
        <v>35.1</v>
      </c>
      <c r="HR277" s="19">
        <v>31.3</v>
      </c>
      <c r="HS277" s="19">
        <v>28</v>
      </c>
      <c r="HT277" s="19">
        <v>25.1</v>
      </c>
      <c r="HU277" s="19">
        <v>22.7</v>
      </c>
      <c r="HV277" s="19">
        <v>20.4</v>
      </c>
      <c r="HW277" s="19">
        <v>31.9</v>
      </c>
      <c r="HX277" s="19">
        <v>29.2</v>
      </c>
      <c r="HY277" s="19">
        <v>28.3</v>
      </c>
      <c r="HZ277" s="19">
        <v>28.9</v>
      </c>
      <c r="IA277" s="19">
        <v>29.7</v>
      </c>
      <c r="IB277" s="19">
        <v>30.6</v>
      </c>
    </row>
    <row r="278">
      <c r="A278" s="2" t="s">
        <v>1865</v>
      </c>
      <c r="B278" s="2" t="s">
        <v>773</v>
      </c>
      <c r="C278" s="2" t="s">
        <v>280</v>
      </c>
      <c r="D278" s="2" t="s">
        <v>1573</v>
      </c>
      <c r="E278" s="2" t="s">
        <v>1574</v>
      </c>
      <c r="F278" s="2" t="s">
        <v>1857</v>
      </c>
      <c r="G278" s="2" t="s">
        <v>1857</v>
      </c>
      <c r="H278" s="2" t="s">
        <v>1857</v>
      </c>
      <c r="I278" s="2" t="s">
        <v>1574</v>
      </c>
      <c r="J278" s="2" t="s">
        <v>256</v>
      </c>
      <c r="K278" s="2" t="s">
        <v>229</v>
      </c>
      <c r="L278" s="3">
        <v>18.28</v>
      </c>
      <c r="M278" s="3">
        <v>19.19</v>
      </c>
      <c r="N278" s="3">
        <v>39.99</v>
      </c>
      <c r="O278" s="2" t="s">
        <v>230</v>
      </c>
      <c r="P278" s="2" t="s">
        <v>231</v>
      </c>
      <c r="Q278" s="2" t="s">
        <v>232</v>
      </c>
      <c r="R278" s="2" t="s">
        <v>233</v>
      </c>
      <c r="S278" s="2" t="s">
        <v>1858</v>
      </c>
      <c r="T278" s="2" t="s">
        <v>1859</v>
      </c>
      <c r="U278" s="2" t="s">
        <v>329</v>
      </c>
      <c r="V278" s="2" t="s">
        <v>782</v>
      </c>
      <c r="W278" s="2" t="s">
        <v>818</v>
      </c>
      <c r="X278" s="2" t="s">
        <v>712</v>
      </c>
      <c r="Y278" s="2" t="s">
        <v>1860</v>
      </c>
      <c r="Z278" s="4">
        <v>349</v>
      </c>
      <c r="AA278" s="4">
        <f>=ROUNDDOWN(38.7777777777778,0)</f>
      </c>
      <c r="AB278" s="5">
        <v>9</v>
      </c>
      <c r="AC278" s="2" t="s">
        <v>746</v>
      </c>
      <c r="AD278" s="4">
        <v>40</v>
      </c>
      <c r="AE278" s="4">
        <v>130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233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233</v>
      </c>
      <c r="AW278" s="8" t="s">
        <v>233</v>
      </c>
      <c r="AX278" s="4" t="s">
        <v>233</v>
      </c>
      <c r="AY278" s="8" t="s">
        <v>233</v>
      </c>
      <c r="AZ278" s="7" t="s">
        <v>233</v>
      </c>
      <c r="BA278" s="7" t="s">
        <v>233</v>
      </c>
      <c r="BB278" s="7"/>
      <c r="BC278" s="4" t="s">
        <v>233</v>
      </c>
      <c r="BD278" s="8" t="s">
        <v>233</v>
      </c>
      <c r="BE278" s="4" t="s">
        <v>233</v>
      </c>
      <c r="BF278" s="8" t="s">
        <v>233</v>
      </c>
      <c r="BG278" s="7" t="s">
        <v>233</v>
      </c>
      <c r="BH278" s="7" t="s">
        <v>233</v>
      </c>
      <c r="BI278" s="7"/>
      <c r="BJ278" s="4">
        <v>37</v>
      </c>
      <c r="BK278" s="8">
        <v>764.98</v>
      </c>
      <c r="BL278" s="2" t="s">
        <v>356</v>
      </c>
      <c r="BM278" s="7"/>
      <c r="BN278" s="7"/>
      <c r="BO278" s="4"/>
      <c r="BP278" s="8"/>
      <c r="BQ278" s="4"/>
      <c r="BR278" s="8"/>
      <c r="BS278" s="7"/>
      <c r="BT278" s="7"/>
      <c r="BU278" s="2" t="s">
        <v>1861</v>
      </c>
      <c r="BV278" s="2" t="s">
        <v>233</v>
      </c>
      <c r="BW278" s="2" t="s">
        <v>233</v>
      </c>
      <c r="BX278" s="2" t="s">
        <v>241</v>
      </c>
      <c r="BY278" s="2" t="s">
        <v>242</v>
      </c>
      <c r="BZ278" s="2" t="s">
        <v>230</v>
      </c>
      <c r="CA278" s="2" t="s">
        <v>1862</v>
      </c>
      <c r="CB278" s="2" t="s">
        <v>233</v>
      </c>
      <c r="CC278" s="2" t="s">
        <v>245</v>
      </c>
      <c r="CD278" s="2" t="s">
        <v>233</v>
      </c>
      <c r="CE278" s="4">
        <v>349</v>
      </c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>
        <v>40</v>
      </c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>
        <v>90</v>
      </c>
      <c r="GB278" s="4"/>
      <c r="GC278" s="4">
        <v>353</v>
      </c>
      <c r="GD278" s="4">
        <v>334</v>
      </c>
      <c r="GE278" s="4">
        <v>310</v>
      </c>
      <c r="GF278" s="4">
        <v>285</v>
      </c>
      <c r="GG278" s="4">
        <v>239</v>
      </c>
      <c r="GH278" s="4">
        <v>256</v>
      </c>
      <c r="GI278" s="4">
        <v>229</v>
      </c>
      <c r="GJ278" s="4">
        <v>220</v>
      </c>
      <c r="GK278" s="4">
        <v>217</v>
      </c>
      <c r="GL278" s="4">
        <v>209</v>
      </c>
      <c r="GM278" s="4">
        <v>202</v>
      </c>
      <c r="GN278" s="4">
        <v>195</v>
      </c>
      <c r="GO278" s="4">
        <v>188</v>
      </c>
      <c r="GP278" s="4">
        <v>181</v>
      </c>
      <c r="GQ278" s="4">
        <v>174</v>
      </c>
      <c r="GR278" s="4">
        <v>166</v>
      </c>
      <c r="GS278" s="4">
        <v>158</v>
      </c>
      <c r="GT278" s="4">
        <v>149</v>
      </c>
      <c r="GU278" s="4">
        <v>141</v>
      </c>
      <c r="GV278" s="4">
        <v>132</v>
      </c>
      <c r="GW278" s="4">
        <v>213</v>
      </c>
      <c r="GX278" s="4">
        <v>204</v>
      </c>
      <c r="GY278" s="4">
        <v>195</v>
      </c>
      <c r="GZ278" s="4">
        <v>184</v>
      </c>
      <c r="HA278" s="4">
        <v>173</v>
      </c>
      <c r="HB278" s="4">
        <v>162</v>
      </c>
      <c r="HC278" s="19">
        <v>12.6</v>
      </c>
      <c r="HD278" s="19">
        <v>11.1</v>
      </c>
      <c r="HE278" s="19">
        <v>10.3</v>
      </c>
      <c r="HF278" s="19">
        <v>11</v>
      </c>
      <c r="HG278" s="19">
        <v>14.9</v>
      </c>
      <c r="HH278" s="19">
        <v>21.3</v>
      </c>
      <c r="HI278" s="19">
        <v>32.7</v>
      </c>
      <c r="HJ278" s="19">
        <v>36.7</v>
      </c>
      <c r="HK278" s="19">
        <v>31</v>
      </c>
      <c r="HL278" s="19">
        <v>29.9</v>
      </c>
      <c r="HM278" s="19">
        <v>28.9</v>
      </c>
      <c r="HN278" s="19">
        <v>27.9</v>
      </c>
      <c r="HO278" s="19">
        <v>23.5</v>
      </c>
      <c r="HP278" s="19">
        <v>22.6</v>
      </c>
      <c r="HQ278" s="19">
        <v>21.8</v>
      </c>
      <c r="HR278" s="19">
        <v>20.8</v>
      </c>
      <c r="HS278" s="19">
        <v>17.6</v>
      </c>
      <c r="HT278" s="19">
        <v>16.6</v>
      </c>
      <c r="HU278" s="19">
        <v>15.7</v>
      </c>
      <c r="HV278" s="19">
        <v>13.2</v>
      </c>
      <c r="HW278" s="19">
        <v>21.3</v>
      </c>
      <c r="HX278" s="19">
        <v>20.4</v>
      </c>
      <c r="HY278" s="19">
        <v>17.7</v>
      </c>
      <c r="HZ278" s="19">
        <v>16.7</v>
      </c>
      <c r="IA278" s="19">
        <v>15.7</v>
      </c>
      <c r="IB278" s="19">
        <v>14.7</v>
      </c>
    </row>
    <row r="279">
      <c r="A279" s="2" t="s">
        <v>1866</v>
      </c>
      <c r="B279" s="2" t="s">
        <v>773</v>
      </c>
      <c r="C279" s="2" t="s">
        <v>280</v>
      </c>
      <c r="D279" s="2" t="s">
        <v>1573</v>
      </c>
      <c r="E279" s="2" t="s">
        <v>1574</v>
      </c>
      <c r="F279" s="2" t="s">
        <v>1857</v>
      </c>
      <c r="G279" s="2" t="s">
        <v>1857</v>
      </c>
      <c r="H279" s="2" t="s">
        <v>1857</v>
      </c>
      <c r="I279" s="2" t="s">
        <v>1574</v>
      </c>
      <c r="J279" s="2" t="s">
        <v>228</v>
      </c>
      <c r="K279" s="2" t="s">
        <v>1525</v>
      </c>
      <c r="L279" s="3">
        <v>12.85</v>
      </c>
      <c r="M279" s="3">
        <v>13.49</v>
      </c>
      <c r="N279" s="3">
        <v>29.99</v>
      </c>
      <c r="O279" s="2" t="s">
        <v>230</v>
      </c>
      <c r="P279" s="2" t="s">
        <v>231</v>
      </c>
      <c r="Q279" s="2" t="s">
        <v>232</v>
      </c>
      <c r="R279" s="2" t="s">
        <v>233</v>
      </c>
      <c r="S279" s="2" t="s">
        <v>1867</v>
      </c>
      <c r="T279" s="2" t="s">
        <v>1859</v>
      </c>
      <c r="U279" s="2" t="s">
        <v>329</v>
      </c>
      <c r="V279" s="2" t="s">
        <v>782</v>
      </c>
      <c r="W279" s="2" t="s">
        <v>818</v>
      </c>
      <c r="X279" s="2" t="s">
        <v>712</v>
      </c>
      <c r="Y279" s="2" t="s">
        <v>1864</v>
      </c>
      <c r="Z279" s="4">
        <v>306</v>
      </c>
      <c r="AA279" s="4">
        <f>=ROUNDDOWN(51,0)</f>
      </c>
      <c r="AB279" s="5">
        <v>6</v>
      </c>
      <c r="AC279" s="2" t="s">
        <v>490</v>
      </c>
      <c r="AD279" s="4">
        <v>90</v>
      </c>
      <c r="AE279" s="4">
        <v>90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233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233</v>
      </c>
      <c r="AW279" s="8" t="s">
        <v>233</v>
      </c>
      <c r="AX279" s="4" t="s">
        <v>233</v>
      </c>
      <c r="AY279" s="8" t="s">
        <v>233</v>
      </c>
      <c r="AZ279" s="7" t="s">
        <v>233</v>
      </c>
      <c r="BA279" s="7" t="s">
        <v>233</v>
      </c>
      <c r="BB279" s="7"/>
      <c r="BC279" s="4" t="s">
        <v>233</v>
      </c>
      <c r="BD279" s="8" t="s">
        <v>233</v>
      </c>
      <c r="BE279" s="4" t="s">
        <v>233</v>
      </c>
      <c r="BF279" s="8" t="s">
        <v>233</v>
      </c>
      <c r="BG279" s="7" t="s">
        <v>233</v>
      </c>
      <c r="BH279" s="7" t="s">
        <v>233</v>
      </c>
      <c r="BI279" s="7"/>
      <c r="BJ279" s="4">
        <v>10</v>
      </c>
      <c r="BK279" s="8">
        <v>143.7</v>
      </c>
      <c r="BL279" s="2" t="s">
        <v>507</v>
      </c>
      <c r="BM279" s="7"/>
      <c r="BN279" s="7"/>
      <c r="BO279" s="4"/>
      <c r="BP279" s="8"/>
      <c r="BQ279" s="4"/>
      <c r="BR279" s="8"/>
      <c r="BS279" s="7"/>
      <c r="BT279" s="7"/>
      <c r="BU279" s="2" t="s">
        <v>1861</v>
      </c>
      <c r="BV279" s="2" t="s">
        <v>233</v>
      </c>
      <c r="BW279" s="2" t="s">
        <v>233</v>
      </c>
      <c r="BX279" s="2" t="s">
        <v>241</v>
      </c>
      <c r="BY279" s="2" t="s">
        <v>242</v>
      </c>
      <c r="BZ279" s="2" t="s">
        <v>230</v>
      </c>
      <c r="CA279" s="2" t="s">
        <v>1862</v>
      </c>
      <c r="CB279" s="2" t="s">
        <v>233</v>
      </c>
      <c r="CC279" s="2" t="s">
        <v>245</v>
      </c>
      <c r="CD279" s="2" t="s">
        <v>233</v>
      </c>
      <c r="CE279" s="4">
        <v>306</v>
      </c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>
        <v>90</v>
      </c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>
        <v>307</v>
      </c>
      <c r="GD279" s="4">
        <v>297</v>
      </c>
      <c r="GE279" s="4">
        <v>282</v>
      </c>
      <c r="GF279" s="4">
        <v>270</v>
      </c>
      <c r="GG279" s="4">
        <v>245</v>
      </c>
      <c r="GH279" s="4">
        <v>232</v>
      </c>
      <c r="GI279" s="4">
        <v>306</v>
      </c>
      <c r="GJ279" s="4">
        <v>301</v>
      </c>
      <c r="GK279" s="4">
        <v>298</v>
      </c>
      <c r="GL279" s="4">
        <v>293</v>
      </c>
      <c r="GM279" s="4">
        <v>288</v>
      </c>
      <c r="GN279" s="4">
        <v>283</v>
      </c>
      <c r="GO279" s="4">
        <v>278</v>
      </c>
      <c r="GP279" s="4">
        <v>273</v>
      </c>
      <c r="GQ279" s="4">
        <v>268</v>
      </c>
      <c r="GR279" s="4">
        <v>263</v>
      </c>
      <c r="GS279" s="4">
        <v>258</v>
      </c>
      <c r="GT279" s="4">
        <v>252</v>
      </c>
      <c r="GU279" s="4">
        <v>247</v>
      </c>
      <c r="GV279" s="4">
        <v>242</v>
      </c>
      <c r="GW279" s="4">
        <v>237</v>
      </c>
      <c r="GX279" s="4">
        <v>232</v>
      </c>
      <c r="GY279" s="4">
        <v>227</v>
      </c>
      <c r="GZ279" s="4">
        <v>220</v>
      </c>
      <c r="HA279" s="4">
        <v>213</v>
      </c>
      <c r="HB279" s="4">
        <v>206</v>
      </c>
      <c r="HC279" s="19">
        <v>19.2</v>
      </c>
      <c r="HD279" s="19">
        <v>18.6</v>
      </c>
      <c r="HE279" s="19">
        <v>17.6</v>
      </c>
      <c r="HF279" s="19">
        <v>18</v>
      </c>
      <c r="HG279" s="19">
        <v>27.2</v>
      </c>
      <c r="HH279" s="19">
        <v>33.1</v>
      </c>
      <c r="HI279" s="19">
        <v>76.5</v>
      </c>
      <c r="HJ279" s="19">
        <v>75.3</v>
      </c>
      <c r="HK279" s="19">
        <v>59.6</v>
      </c>
      <c r="HL279" s="19">
        <v>58.6</v>
      </c>
      <c r="HM279" s="19">
        <v>57.6</v>
      </c>
      <c r="HN279" s="19">
        <v>56.6</v>
      </c>
      <c r="HO279" s="19">
        <v>55.6</v>
      </c>
      <c r="HP279" s="19">
        <v>54.6</v>
      </c>
      <c r="HQ279" s="19">
        <v>53.6</v>
      </c>
      <c r="HR279" s="19">
        <v>52.6</v>
      </c>
      <c r="HS279" s="19">
        <v>51.6</v>
      </c>
      <c r="HT279" s="19">
        <v>50.4</v>
      </c>
      <c r="HU279" s="19">
        <v>49.4</v>
      </c>
      <c r="HV279" s="19">
        <v>40.3</v>
      </c>
      <c r="HW279" s="19">
        <v>39.5</v>
      </c>
      <c r="HX279" s="19">
        <v>38.7</v>
      </c>
      <c r="HY279" s="19">
        <v>32.4</v>
      </c>
      <c r="HZ279" s="19">
        <v>31.4</v>
      </c>
      <c r="IA279" s="19">
        <v>35.5</v>
      </c>
      <c r="IB279" s="19">
        <v>34.3</v>
      </c>
    </row>
    <row r="280">
      <c r="A280" s="2" t="s">
        <v>1868</v>
      </c>
      <c r="B280" s="2" t="s">
        <v>773</v>
      </c>
      <c r="C280" s="2" t="s">
        <v>280</v>
      </c>
      <c r="D280" s="2" t="s">
        <v>1573</v>
      </c>
      <c r="E280" s="2" t="s">
        <v>1574</v>
      </c>
      <c r="F280" s="2" t="s">
        <v>1857</v>
      </c>
      <c r="G280" s="2" t="s">
        <v>1857</v>
      </c>
      <c r="H280" s="2" t="s">
        <v>1857</v>
      </c>
      <c r="I280" s="2" t="s">
        <v>1574</v>
      </c>
      <c r="J280" s="2" t="s">
        <v>265</v>
      </c>
      <c r="K280" s="2" t="s">
        <v>1525</v>
      </c>
      <c r="L280" s="3">
        <v>16</v>
      </c>
      <c r="M280" s="3">
        <v>16.8</v>
      </c>
      <c r="N280" s="3">
        <v>34.99</v>
      </c>
      <c r="O280" s="2" t="s">
        <v>230</v>
      </c>
      <c r="P280" s="2" t="s">
        <v>231</v>
      </c>
      <c r="Q280" s="2" t="s">
        <v>232</v>
      </c>
      <c r="R280" s="2" t="s">
        <v>233</v>
      </c>
      <c r="S280" s="2" t="s">
        <v>1867</v>
      </c>
      <c r="T280" s="2" t="s">
        <v>1859</v>
      </c>
      <c r="U280" s="2" t="s">
        <v>329</v>
      </c>
      <c r="V280" s="2" t="s">
        <v>782</v>
      </c>
      <c r="W280" s="2" t="s">
        <v>818</v>
      </c>
      <c r="X280" s="2" t="s">
        <v>712</v>
      </c>
      <c r="Y280" s="2" t="s">
        <v>1860</v>
      </c>
      <c r="Z280" s="4">
        <v>344</v>
      </c>
      <c r="AA280" s="4">
        <f>=ROUNDDOWN(38.2222222222222,0)</f>
      </c>
      <c r="AB280" s="5">
        <v>9</v>
      </c>
      <c r="AC280" s="2" t="s">
        <v>490</v>
      </c>
      <c r="AD280" s="4">
        <v>210</v>
      </c>
      <c r="AE280" s="4">
        <v>210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233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233</v>
      </c>
      <c r="AW280" s="8" t="s">
        <v>233</v>
      </c>
      <c r="AX280" s="4" t="s">
        <v>233</v>
      </c>
      <c r="AY280" s="8" t="s">
        <v>233</v>
      </c>
      <c r="AZ280" s="7" t="s">
        <v>233</v>
      </c>
      <c r="BA280" s="7" t="s">
        <v>233</v>
      </c>
      <c r="BB280" s="7"/>
      <c r="BC280" s="4" t="s">
        <v>233</v>
      </c>
      <c r="BD280" s="8" t="s">
        <v>233</v>
      </c>
      <c r="BE280" s="4" t="s">
        <v>233</v>
      </c>
      <c r="BF280" s="8" t="s">
        <v>233</v>
      </c>
      <c r="BG280" s="7" t="s">
        <v>233</v>
      </c>
      <c r="BH280" s="7" t="s">
        <v>233</v>
      </c>
      <c r="BI280" s="7"/>
      <c r="BJ280" s="4">
        <v>30</v>
      </c>
      <c r="BK280" s="8">
        <v>540.7</v>
      </c>
      <c r="BL280" s="2" t="s">
        <v>674</v>
      </c>
      <c r="BM280" s="7"/>
      <c r="BN280" s="7"/>
      <c r="BO280" s="4"/>
      <c r="BP280" s="8"/>
      <c r="BQ280" s="4"/>
      <c r="BR280" s="8"/>
      <c r="BS280" s="7"/>
      <c r="BT280" s="7"/>
      <c r="BU280" s="2" t="s">
        <v>1861</v>
      </c>
      <c r="BV280" s="2" t="s">
        <v>233</v>
      </c>
      <c r="BW280" s="2" t="s">
        <v>233</v>
      </c>
      <c r="BX280" s="2" t="s">
        <v>241</v>
      </c>
      <c r="BY280" s="2" t="s">
        <v>242</v>
      </c>
      <c r="BZ280" s="2" t="s">
        <v>230</v>
      </c>
      <c r="CA280" s="2" t="s">
        <v>1862</v>
      </c>
      <c r="CB280" s="2" t="s">
        <v>233</v>
      </c>
      <c r="CC280" s="2" t="s">
        <v>245</v>
      </c>
      <c r="CD280" s="2" t="s">
        <v>233</v>
      </c>
      <c r="CE280" s="4">
        <v>344</v>
      </c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>
        <v>210</v>
      </c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>
        <v>346</v>
      </c>
      <c r="GD280" s="4">
        <v>324</v>
      </c>
      <c r="GE280" s="4">
        <v>297</v>
      </c>
      <c r="GF280" s="4">
        <v>276</v>
      </c>
      <c r="GG280" s="4">
        <v>226</v>
      </c>
      <c r="GH280" s="4">
        <v>204</v>
      </c>
      <c r="GI280" s="4">
        <v>383</v>
      </c>
      <c r="GJ280" s="4">
        <v>368</v>
      </c>
      <c r="GK280" s="4">
        <v>363</v>
      </c>
      <c r="GL280" s="4">
        <v>354</v>
      </c>
      <c r="GM280" s="4">
        <v>346</v>
      </c>
      <c r="GN280" s="4">
        <v>338</v>
      </c>
      <c r="GO280" s="4">
        <v>330</v>
      </c>
      <c r="GP280" s="4">
        <v>322</v>
      </c>
      <c r="GQ280" s="4">
        <v>314</v>
      </c>
      <c r="GR280" s="4">
        <v>307</v>
      </c>
      <c r="GS280" s="4">
        <v>300</v>
      </c>
      <c r="GT280" s="4">
        <v>292</v>
      </c>
      <c r="GU280" s="4">
        <v>285</v>
      </c>
      <c r="GV280" s="4">
        <v>275</v>
      </c>
      <c r="GW280" s="4">
        <v>265</v>
      </c>
      <c r="GX280" s="4">
        <v>255</v>
      </c>
      <c r="GY280" s="4">
        <v>245</v>
      </c>
      <c r="GZ280" s="4">
        <v>233</v>
      </c>
      <c r="HA280" s="4">
        <v>221</v>
      </c>
      <c r="HB280" s="4">
        <v>209</v>
      </c>
      <c r="HC280" s="19">
        <v>11.5</v>
      </c>
      <c r="HD280" s="19">
        <v>10.8</v>
      </c>
      <c r="HE280" s="19">
        <v>9.6</v>
      </c>
      <c r="HF280" s="19">
        <v>9.2</v>
      </c>
      <c r="HG280" s="19">
        <v>12.6</v>
      </c>
      <c r="HH280" s="19">
        <v>13.6</v>
      </c>
      <c r="HI280" s="19">
        <v>42.6</v>
      </c>
      <c r="HJ280" s="19">
        <v>46</v>
      </c>
      <c r="HK280" s="19">
        <v>45.4</v>
      </c>
      <c r="HL280" s="19">
        <v>44.3</v>
      </c>
      <c r="HM280" s="19">
        <v>43.3</v>
      </c>
      <c r="HN280" s="19">
        <v>42.3</v>
      </c>
      <c r="HO280" s="19">
        <v>41.3</v>
      </c>
      <c r="HP280" s="19">
        <v>40.3</v>
      </c>
      <c r="HQ280" s="19">
        <v>44.9</v>
      </c>
      <c r="HR280" s="19">
        <v>38.4</v>
      </c>
      <c r="HS280" s="19">
        <v>33.3</v>
      </c>
      <c r="HT280" s="19">
        <v>32.4</v>
      </c>
      <c r="HU280" s="19">
        <v>28.5</v>
      </c>
      <c r="HV280" s="19">
        <v>27.5</v>
      </c>
      <c r="HW280" s="19">
        <v>24.1</v>
      </c>
      <c r="HX280" s="19">
        <v>21.3</v>
      </c>
      <c r="HY280" s="19">
        <v>20.4</v>
      </c>
      <c r="HZ280" s="19">
        <v>21.2</v>
      </c>
      <c r="IA280" s="19">
        <v>20.1</v>
      </c>
      <c r="IB280" s="19">
        <v>20.9</v>
      </c>
    </row>
    <row r="281">
      <c r="A281" s="2" t="s">
        <v>1869</v>
      </c>
      <c r="B281" s="2" t="s">
        <v>773</v>
      </c>
      <c r="C281" s="2" t="s">
        <v>280</v>
      </c>
      <c r="D281" s="2" t="s">
        <v>1573</v>
      </c>
      <c r="E281" s="2" t="s">
        <v>1574</v>
      </c>
      <c r="F281" s="2" t="s">
        <v>1857</v>
      </c>
      <c r="G281" s="2" t="s">
        <v>1857</v>
      </c>
      <c r="H281" s="2" t="s">
        <v>1857</v>
      </c>
      <c r="I281" s="2" t="s">
        <v>1574</v>
      </c>
      <c r="J281" s="2" t="s">
        <v>256</v>
      </c>
      <c r="K281" s="2" t="s">
        <v>1525</v>
      </c>
      <c r="L281" s="3">
        <v>18.28</v>
      </c>
      <c r="M281" s="3">
        <v>19.19</v>
      </c>
      <c r="N281" s="3">
        <v>39.99</v>
      </c>
      <c r="O281" s="2" t="s">
        <v>230</v>
      </c>
      <c r="P281" s="2" t="s">
        <v>231</v>
      </c>
      <c r="Q281" s="2" t="s">
        <v>232</v>
      </c>
      <c r="R281" s="2" t="s">
        <v>233</v>
      </c>
      <c r="S281" s="2" t="s">
        <v>1867</v>
      </c>
      <c r="T281" s="2" t="s">
        <v>1859</v>
      </c>
      <c r="U281" s="2" t="s">
        <v>329</v>
      </c>
      <c r="V281" s="2" t="s">
        <v>782</v>
      </c>
      <c r="W281" s="2" t="s">
        <v>818</v>
      </c>
      <c r="X281" s="2" t="s">
        <v>712</v>
      </c>
      <c r="Y281" s="2" t="s">
        <v>1864</v>
      </c>
      <c r="Z281" s="4">
        <v>262</v>
      </c>
      <c r="AA281" s="4">
        <f>=ROUNDDOWN(43.6666666666667,0)</f>
      </c>
      <c r="AB281" s="5">
        <v>6</v>
      </c>
      <c r="AC281" s="2" t="s">
        <v>490</v>
      </c>
      <c r="AD281" s="4">
        <v>144</v>
      </c>
      <c r="AE281" s="4">
        <v>144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233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233</v>
      </c>
      <c r="AW281" s="8" t="s">
        <v>233</v>
      </c>
      <c r="AX281" s="4" t="s">
        <v>233</v>
      </c>
      <c r="AY281" s="8" t="s">
        <v>233</v>
      </c>
      <c r="AZ281" s="7" t="s">
        <v>233</v>
      </c>
      <c r="BA281" s="7" t="s">
        <v>233</v>
      </c>
      <c r="BB281" s="7"/>
      <c r="BC281" s="4" t="s">
        <v>233</v>
      </c>
      <c r="BD281" s="8" t="s">
        <v>233</v>
      </c>
      <c r="BE281" s="4" t="s">
        <v>233</v>
      </c>
      <c r="BF281" s="8" t="s">
        <v>233</v>
      </c>
      <c r="BG281" s="7" t="s">
        <v>233</v>
      </c>
      <c r="BH281" s="7" t="s">
        <v>233</v>
      </c>
      <c r="BI281" s="7"/>
      <c r="BJ281" s="4">
        <v>16</v>
      </c>
      <c r="BK281" s="8">
        <v>329.36</v>
      </c>
      <c r="BL281" s="2" t="s">
        <v>1870</v>
      </c>
      <c r="BM281" s="7"/>
      <c r="BN281" s="7"/>
      <c r="BO281" s="4"/>
      <c r="BP281" s="8"/>
      <c r="BQ281" s="4"/>
      <c r="BR281" s="8"/>
      <c r="BS281" s="7"/>
      <c r="BT281" s="7"/>
      <c r="BU281" s="2" t="s">
        <v>1861</v>
      </c>
      <c r="BV281" s="2" t="s">
        <v>233</v>
      </c>
      <c r="BW281" s="2" t="s">
        <v>233</v>
      </c>
      <c r="BX281" s="2" t="s">
        <v>241</v>
      </c>
      <c r="BY281" s="2" t="s">
        <v>242</v>
      </c>
      <c r="BZ281" s="2" t="s">
        <v>230</v>
      </c>
      <c r="CA281" s="2" t="s">
        <v>1862</v>
      </c>
      <c r="CB281" s="2" t="s">
        <v>233</v>
      </c>
      <c r="CC281" s="2" t="s">
        <v>245</v>
      </c>
      <c r="CD281" s="2" t="s">
        <v>233</v>
      </c>
      <c r="CE281" s="4">
        <v>262</v>
      </c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>
        <v>144</v>
      </c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>
        <v>264</v>
      </c>
      <c r="GD281" s="4">
        <v>253</v>
      </c>
      <c r="GE281" s="4">
        <v>237</v>
      </c>
      <c r="GF281" s="4">
        <v>220</v>
      </c>
      <c r="GG281" s="4">
        <v>189</v>
      </c>
      <c r="GH281" s="4">
        <v>173</v>
      </c>
      <c r="GI281" s="4">
        <v>299</v>
      </c>
      <c r="GJ281" s="4">
        <v>293</v>
      </c>
      <c r="GK281" s="4">
        <v>291</v>
      </c>
      <c r="GL281" s="4">
        <v>286</v>
      </c>
      <c r="GM281" s="4">
        <v>281</v>
      </c>
      <c r="GN281" s="4">
        <v>276</v>
      </c>
      <c r="GO281" s="4">
        <v>271</v>
      </c>
      <c r="GP281" s="4">
        <v>266</v>
      </c>
      <c r="GQ281" s="4">
        <v>261</v>
      </c>
      <c r="GR281" s="4">
        <v>256</v>
      </c>
      <c r="GS281" s="4">
        <v>251</v>
      </c>
      <c r="GT281" s="4">
        <v>245</v>
      </c>
      <c r="GU281" s="4">
        <v>240</v>
      </c>
      <c r="GV281" s="4">
        <v>234</v>
      </c>
      <c r="GW281" s="4">
        <v>228</v>
      </c>
      <c r="GX281" s="4">
        <v>222</v>
      </c>
      <c r="GY281" s="4">
        <v>216</v>
      </c>
      <c r="GZ281" s="4">
        <v>209</v>
      </c>
      <c r="HA281" s="4">
        <v>202</v>
      </c>
      <c r="HB281" s="4">
        <v>195</v>
      </c>
      <c r="HC281" s="19">
        <v>13.9</v>
      </c>
      <c r="HD281" s="19">
        <v>12.7</v>
      </c>
      <c r="HE281" s="19">
        <v>11.9</v>
      </c>
      <c r="HF281" s="19">
        <v>12.2</v>
      </c>
      <c r="HG281" s="19">
        <v>18.9</v>
      </c>
      <c r="HH281" s="19">
        <v>21.6</v>
      </c>
      <c r="HI281" s="19">
        <v>74.8</v>
      </c>
      <c r="HJ281" s="19">
        <v>73.3</v>
      </c>
      <c r="HK281" s="19">
        <v>58.2</v>
      </c>
      <c r="HL281" s="19">
        <v>57.2</v>
      </c>
      <c r="HM281" s="19">
        <v>56.2</v>
      </c>
      <c r="HN281" s="19">
        <v>55.2</v>
      </c>
      <c r="HO281" s="19">
        <v>54.2</v>
      </c>
      <c r="HP281" s="19">
        <v>53.2</v>
      </c>
      <c r="HQ281" s="19">
        <v>52.2</v>
      </c>
      <c r="HR281" s="19">
        <v>42.7</v>
      </c>
      <c r="HS281" s="19">
        <v>41.8</v>
      </c>
      <c r="HT281" s="19">
        <v>40.8</v>
      </c>
      <c r="HU281" s="19">
        <v>40</v>
      </c>
      <c r="HV281" s="19">
        <v>39</v>
      </c>
      <c r="HW281" s="19">
        <v>38</v>
      </c>
      <c r="HX281" s="19">
        <v>31.7</v>
      </c>
      <c r="HY281" s="19">
        <v>30.9</v>
      </c>
      <c r="HZ281" s="19">
        <v>29.9</v>
      </c>
      <c r="IA281" s="19">
        <v>28.9</v>
      </c>
      <c r="IB281" s="19">
        <v>27.9</v>
      </c>
    </row>
    <row r="282">
      <c r="A282" s="2" t="s">
        <v>1871</v>
      </c>
      <c r="B282" s="2" t="s">
        <v>773</v>
      </c>
      <c r="C282" s="2" t="s">
        <v>280</v>
      </c>
      <c r="D282" s="2" t="s">
        <v>1573</v>
      </c>
      <c r="E282" s="2" t="s">
        <v>1574</v>
      </c>
      <c r="F282" s="2" t="s">
        <v>1857</v>
      </c>
      <c r="G282" s="2" t="s">
        <v>1857</v>
      </c>
      <c r="H282" s="2" t="s">
        <v>1857</v>
      </c>
      <c r="I282" s="2" t="s">
        <v>1574</v>
      </c>
      <c r="J282" s="2" t="s">
        <v>228</v>
      </c>
      <c r="K282" s="2" t="s">
        <v>1500</v>
      </c>
      <c r="L282" s="3">
        <v>12.85</v>
      </c>
      <c r="M282" s="3">
        <v>13.49</v>
      </c>
      <c r="N282" s="3">
        <v>29.99</v>
      </c>
      <c r="O282" s="2" t="s">
        <v>230</v>
      </c>
      <c r="P282" s="2" t="s">
        <v>231</v>
      </c>
      <c r="Q282" s="2" t="s">
        <v>232</v>
      </c>
      <c r="R282" s="2" t="s">
        <v>233</v>
      </c>
      <c r="S282" s="2" t="s">
        <v>1872</v>
      </c>
      <c r="T282" s="2" t="s">
        <v>1859</v>
      </c>
      <c r="U282" s="2" t="s">
        <v>329</v>
      </c>
      <c r="V282" s="2" t="s">
        <v>782</v>
      </c>
      <c r="W282" s="2" t="s">
        <v>818</v>
      </c>
      <c r="X282" s="2" t="s">
        <v>712</v>
      </c>
      <c r="Y282" s="2" t="s">
        <v>1860</v>
      </c>
      <c r="Z282" s="4">
        <v>339</v>
      </c>
      <c r="AA282" s="4">
        <f>=ROUNDDOWN(67.8,0)</f>
      </c>
      <c r="AB282" s="5">
        <v>5</v>
      </c>
      <c r="AC282" s="2" t="s">
        <v>233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233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233</v>
      </c>
      <c r="AW282" s="8" t="s">
        <v>233</v>
      </c>
      <c r="AX282" s="4" t="s">
        <v>233</v>
      </c>
      <c r="AY282" s="8" t="s">
        <v>233</v>
      </c>
      <c r="AZ282" s="7" t="s">
        <v>233</v>
      </c>
      <c r="BA282" s="7" t="s">
        <v>233</v>
      </c>
      <c r="BB282" s="7"/>
      <c r="BC282" s="4" t="s">
        <v>233</v>
      </c>
      <c r="BD282" s="8" t="s">
        <v>233</v>
      </c>
      <c r="BE282" s="4" t="s">
        <v>233</v>
      </c>
      <c r="BF282" s="8" t="s">
        <v>233</v>
      </c>
      <c r="BG282" s="7" t="s">
        <v>233</v>
      </c>
      <c r="BH282" s="7" t="s">
        <v>233</v>
      </c>
      <c r="BI282" s="7"/>
      <c r="BJ282" s="4">
        <v>3</v>
      </c>
      <c r="BK282" s="8">
        <v>43.71</v>
      </c>
      <c r="BL282" s="2" t="s">
        <v>324</v>
      </c>
      <c r="BM282" s="7"/>
      <c r="BN282" s="7"/>
      <c r="BO282" s="4"/>
      <c r="BP282" s="8"/>
      <c r="BQ282" s="4"/>
      <c r="BR282" s="8"/>
      <c r="BS282" s="7"/>
      <c r="BT282" s="7"/>
      <c r="BU282" s="2" t="s">
        <v>1861</v>
      </c>
      <c r="BV282" s="2" t="s">
        <v>233</v>
      </c>
      <c r="BW282" s="2" t="s">
        <v>233</v>
      </c>
      <c r="BX282" s="2" t="s">
        <v>241</v>
      </c>
      <c r="BY282" s="2" t="s">
        <v>242</v>
      </c>
      <c r="BZ282" s="2" t="s">
        <v>230</v>
      </c>
      <c r="CA282" s="2" t="s">
        <v>1862</v>
      </c>
      <c r="CB282" s="2" t="s">
        <v>233</v>
      </c>
      <c r="CC282" s="2" t="s">
        <v>245</v>
      </c>
      <c r="CD282" s="2" t="s">
        <v>233</v>
      </c>
      <c r="CE282" s="4">
        <v>339</v>
      </c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>
        <v>339</v>
      </c>
      <c r="GD282" s="4">
        <v>331</v>
      </c>
      <c r="GE282" s="4">
        <v>318</v>
      </c>
      <c r="GF282" s="4">
        <v>308</v>
      </c>
      <c r="GG282" s="4">
        <v>287</v>
      </c>
      <c r="GH282" s="4">
        <v>276</v>
      </c>
      <c r="GI282" s="4">
        <v>263</v>
      </c>
      <c r="GJ282" s="4">
        <v>259</v>
      </c>
      <c r="GK282" s="4">
        <v>256</v>
      </c>
      <c r="GL282" s="4">
        <v>251</v>
      </c>
      <c r="GM282" s="4">
        <v>247</v>
      </c>
      <c r="GN282" s="4">
        <v>243</v>
      </c>
      <c r="GO282" s="4">
        <v>239</v>
      </c>
      <c r="GP282" s="4">
        <v>235</v>
      </c>
      <c r="GQ282" s="4">
        <v>231</v>
      </c>
      <c r="GR282" s="4">
        <v>226</v>
      </c>
      <c r="GS282" s="4">
        <v>221</v>
      </c>
      <c r="GT282" s="4">
        <v>216</v>
      </c>
      <c r="GU282" s="4">
        <v>211</v>
      </c>
      <c r="GV282" s="4">
        <v>206</v>
      </c>
      <c r="GW282" s="4">
        <v>201</v>
      </c>
      <c r="GX282" s="4">
        <v>196</v>
      </c>
      <c r="GY282" s="4">
        <v>191</v>
      </c>
      <c r="GZ282" s="4">
        <v>185</v>
      </c>
      <c r="HA282" s="4">
        <v>179</v>
      </c>
      <c r="HB282" s="4">
        <v>173</v>
      </c>
      <c r="HC282" s="19">
        <v>26.1</v>
      </c>
      <c r="HD282" s="19">
        <v>23.6</v>
      </c>
      <c r="HE282" s="19">
        <v>22.7</v>
      </c>
      <c r="HF282" s="19">
        <v>25.7</v>
      </c>
      <c r="HG282" s="19">
        <v>35.9</v>
      </c>
      <c r="HH282" s="19">
        <v>46</v>
      </c>
      <c r="HI282" s="19">
        <v>65.8</v>
      </c>
      <c r="HJ282" s="19">
        <v>64.8</v>
      </c>
      <c r="HK282" s="19">
        <v>64</v>
      </c>
      <c r="HL282" s="19">
        <v>62.8</v>
      </c>
      <c r="HM282" s="19">
        <v>61.8</v>
      </c>
      <c r="HN282" s="19">
        <v>60.8</v>
      </c>
      <c r="HO282" s="19">
        <v>59.8</v>
      </c>
      <c r="HP282" s="19">
        <v>47</v>
      </c>
      <c r="HQ282" s="19">
        <v>46.2</v>
      </c>
      <c r="HR282" s="19">
        <v>45.2</v>
      </c>
      <c r="HS282" s="19">
        <v>44.2</v>
      </c>
      <c r="HT282" s="19">
        <v>43.2</v>
      </c>
      <c r="HU282" s="19">
        <v>42.2</v>
      </c>
      <c r="HV282" s="19">
        <v>41.2</v>
      </c>
      <c r="HW282" s="19">
        <v>33.5</v>
      </c>
      <c r="HX282" s="19">
        <v>32.7</v>
      </c>
      <c r="HY282" s="19">
        <v>31.8</v>
      </c>
      <c r="HZ282" s="19">
        <v>30.8</v>
      </c>
      <c r="IA282" s="19">
        <v>29.8</v>
      </c>
      <c r="IB282" s="19">
        <v>34.6</v>
      </c>
    </row>
    <row r="283">
      <c r="A283" s="2" t="s">
        <v>1873</v>
      </c>
      <c r="B283" s="2" t="s">
        <v>773</v>
      </c>
      <c r="C283" s="2" t="s">
        <v>280</v>
      </c>
      <c r="D283" s="2" t="s">
        <v>1573</v>
      </c>
      <c r="E283" s="2" t="s">
        <v>1574</v>
      </c>
      <c r="F283" s="2" t="s">
        <v>1857</v>
      </c>
      <c r="G283" s="2" t="s">
        <v>1857</v>
      </c>
      <c r="H283" s="2" t="s">
        <v>1857</v>
      </c>
      <c r="I283" s="2" t="s">
        <v>1574</v>
      </c>
      <c r="J283" s="2" t="s">
        <v>256</v>
      </c>
      <c r="K283" s="2" t="s">
        <v>1500</v>
      </c>
      <c r="L283" s="3">
        <v>18.28</v>
      </c>
      <c r="M283" s="3">
        <v>19.19</v>
      </c>
      <c r="N283" s="3">
        <v>39.99</v>
      </c>
      <c r="O283" s="2" t="s">
        <v>230</v>
      </c>
      <c r="P283" s="2" t="s">
        <v>231</v>
      </c>
      <c r="Q283" s="2" t="s">
        <v>232</v>
      </c>
      <c r="R283" s="2" t="s">
        <v>233</v>
      </c>
      <c r="S283" s="2" t="s">
        <v>1872</v>
      </c>
      <c r="T283" s="2" t="s">
        <v>1859</v>
      </c>
      <c r="U283" s="2" t="s">
        <v>329</v>
      </c>
      <c r="V283" s="2" t="s">
        <v>782</v>
      </c>
      <c r="W283" s="2" t="s">
        <v>818</v>
      </c>
      <c r="X283" s="2" t="s">
        <v>712</v>
      </c>
      <c r="Y283" s="2" t="s">
        <v>1864</v>
      </c>
      <c r="Z283" s="4">
        <v>277</v>
      </c>
      <c r="AA283" s="4">
        <f>=ROUNDDOWN(36.9333333333333,0)</f>
      </c>
      <c r="AB283" s="5">
        <v>7.5</v>
      </c>
      <c r="AC283" s="2" t="s">
        <v>934</v>
      </c>
      <c r="AD283" s="4">
        <v>85</v>
      </c>
      <c r="AE283" s="4">
        <v>85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233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233</v>
      </c>
      <c r="AW283" s="8" t="s">
        <v>233</v>
      </c>
      <c r="AX283" s="4" t="s">
        <v>233</v>
      </c>
      <c r="AY283" s="8" t="s">
        <v>233</v>
      </c>
      <c r="AZ283" s="7" t="s">
        <v>233</v>
      </c>
      <c r="BA283" s="7" t="s">
        <v>233</v>
      </c>
      <c r="BB283" s="7"/>
      <c r="BC283" s="4" t="s">
        <v>233</v>
      </c>
      <c r="BD283" s="8" t="s">
        <v>233</v>
      </c>
      <c r="BE283" s="4" t="s">
        <v>233</v>
      </c>
      <c r="BF283" s="8" t="s">
        <v>233</v>
      </c>
      <c r="BG283" s="7" t="s">
        <v>233</v>
      </c>
      <c r="BH283" s="7" t="s">
        <v>233</v>
      </c>
      <c r="BI283" s="7"/>
      <c r="BJ283" s="4">
        <v>63</v>
      </c>
      <c r="BK283" s="8">
        <v>1300.77</v>
      </c>
      <c r="BL283" s="2" t="s">
        <v>1874</v>
      </c>
      <c r="BM283" s="7"/>
      <c r="BN283" s="7"/>
      <c r="BO283" s="4"/>
      <c r="BP283" s="8"/>
      <c r="BQ283" s="4"/>
      <c r="BR283" s="8"/>
      <c r="BS283" s="7"/>
      <c r="BT283" s="7"/>
      <c r="BU283" s="2" t="s">
        <v>1861</v>
      </c>
      <c r="BV283" s="2" t="s">
        <v>233</v>
      </c>
      <c r="BW283" s="2" t="s">
        <v>233</v>
      </c>
      <c r="BX283" s="2" t="s">
        <v>241</v>
      </c>
      <c r="BY283" s="2" t="s">
        <v>242</v>
      </c>
      <c r="BZ283" s="2" t="s">
        <v>230</v>
      </c>
      <c r="CA283" s="2" t="s">
        <v>1862</v>
      </c>
      <c r="CB283" s="2" t="s">
        <v>1605</v>
      </c>
      <c r="CC283" s="2" t="s">
        <v>245</v>
      </c>
      <c r="CD283" s="2" t="s">
        <v>233</v>
      </c>
      <c r="CE283" s="4">
        <v>277</v>
      </c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>
        <v>85</v>
      </c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>
        <v>280</v>
      </c>
      <c r="GD283" s="4">
        <v>268</v>
      </c>
      <c r="GE283" s="4">
        <v>252</v>
      </c>
      <c r="GF283" s="4">
        <v>235</v>
      </c>
      <c r="GG283" s="4">
        <v>204</v>
      </c>
      <c r="GH283" s="4">
        <v>188</v>
      </c>
      <c r="GI283" s="4">
        <v>169</v>
      </c>
      <c r="GJ283" s="4">
        <v>162</v>
      </c>
      <c r="GK283" s="4">
        <v>159</v>
      </c>
      <c r="GL283" s="4">
        <v>238</v>
      </c>
      <c r="GM283" s="4">
        <v>232</v>
      </c>
      <c r="GN283" s="4">
        <v>226</v>
      </c>
      <c r="GO283" s="4">
        <v>220</v>
      </c>
      <c r="GP283" s="4">
        <v>214</v>
      </c>
      <c r="GQ283" s="4">
        <v>208</v>
      </c>
      <c r="GR283" s="4">
        <v>202</v>
      </c>
      <c r="GS283" s="4">
        <v>196</v>
      </c>
      <c r="GT283" s="4">
        <v>189</v>
      </c>
      <c r="GU283" s="4">
        <v>183</v>
      </c>
      <c r="GV283" s="4">
        <v>175</v>
      </c>
      <c r="GW283" s="4">
        <v>167</v>
      </c>
      <c r="GX283" s="4">
        <v>159</v>
      </c>
      <c r="GY283" s="4">
        <v>151</v>
      </c>
      <c r="GZ283" s="4">
        <v>142</v>
      </c>
      <c r="HA283" s="4">
        <v>133</v>
      </c>
      <c r="HB283" s="4">
        <v>124</v>
      </c>
      <c r="HC283" s="19">
        <v>14.7</v>
      </c>
      <c r="HD283" s="19">
        <v>13.4</v>
      </c>
      <c r="HE283" s="19">
        <v>12</v>
      </c>
      <c r="HF283" s="19">
        <v>13.1</v>
      </c>
      <c r="HG283" s="19">
        <v>18.5</v>
      </c>
      <c r="HH283" s="19">
        <v>20.9</v>
      </c>
      <c r="HI283" s="19">
        <v>28.2</v>
      </c>
      <c r="HJ283" s="19">
        <v>32.4</v>
      </c>
      <c r="HK283" s="19">
        <v>26.5</v>
      </c>
      <c r="HL283" s="19">
        <v>39.7</v>
      </c>
      <c r="HM283" s="19">
        <v>38.7</v>
      </c>
      <c r="HN283" s="19">
        <v>37.7</v>
      </c>
      <c r="HO283" s="19">
        <v>36.7</v>
      </c>
      <c r="HP283" s="19">
        <v>35.7</v>
      </c>
      <c r="HQ283" s="19">
        <v>34.7</v>
      </c>
      <c r="HR283" s="19">
        <v>28.9</v>
      </c>
      <c r="HS283" s="19">
        <v>28</v>
      </c>
      <c r="HT283" s="19">
        <v>23.6</v>
      </c>
      <c r="HU283" s="19">
        <v>22.9</v>
      </c>
      <c r="HV283" s="19">
        <v>21.9</v>
      </c>
      <c r="HW283" s="19">
        <v>20.9</v>
      </c>
      <c r="HX283" s="19">
        <v>17.7</v>
      </c>
      <c r="HY283" s="19">
        <v>16.8</v>
      </c>
      <c r="HZ283" s="19">
        <v>17.8</v>
      </c>
      <c r="IA283" s="19">
        <v>16.6</v>
      </c>
      <c r="IB283" s="19">
        <v>15.5</v>
      </c>
    </row>
    <row r="284">
      <c r="A284" s="2" t="s">
        <v>1875</v>
      </c>
      <c r="B284" s="2" t="s">
        <v>773</v>
      </c>
      <c r="C284" s="2" t="s">
        <v>280</v>
      </c>
      <c r="D284" s="2" t="s">
        <v>1573</v>
      </c>
      <c r="E284" s="2" t="s">
        <v>1574</v>
      </c>
      <c r="F284" s="2" t="s">
        <v>1857</v>
      </c>
      <c r="G284" s="2" t="s">
        <v>1857</v>
      </c>
      <c r="H284" s="2" t="s">
        <v>1857</v>
      </c>
      <c r="I284" s="2" t="s">
        <v>1574</v>
      </c>
      <c r="J284" s="2" t="s">
        <v>228</v>
      </c>
      <c r="K284" s="2" t="s">
        <v>300</v>
      </c>
      <c r="L284" s="3">
        <v>12.85</v>
      </c>
      <c r="M284" s="3">
        <v>13.49</v>
      </c>
      <c r="N284" s="3">
        <v>29.99</v>
      </c>
      <c r="O284" s="2" t="s">
        <v>230</v>
      </c>
      <c r="P284" s="2" t="s">
        <v>231</v>
      </c>
      <c r="Q284" s="2" t="s">
        <v>232</v>
      </c>
      <c r="R284" s="2" t="s">
        <v>233</v>
      </c>
      <c r="S284" s="2" t="s">
        <v>1876</v>
      </c>
      <c r="T284" s="2" t="s">
        <v>1859</v>
      </c>
      <c r="U284" s="2" t="s">
        <v>329</v>
      </c>
      <c r="V284" s="2" t="s">
        <v>782</v>
      </c>
      <c r="W284" s="2" t="s">
        <v>818</v>
      </c>
      <c r="X284" s="2" t="s">
        <v>712</v>
      </c>
      <c r="Y284" s="2" t="s">
        <v>1860</v>
      </c>
      <c r="Z284" s="4">
        <v>186</v>
      </c>
      <c r="AA284" s="4">
        <f>=ROUNDDOWN(31,0)</f>
      </c>
      <c r="AB284" s="5">
        <v>6</v>
      </c>
      <c r="AC284" s="2" t="s">
        <v>5</v>
      </c>
      <c r="AD284" s="4">
        <v>100</v>
      </c>
      <c r="AE284" s="4">
        <v>130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233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233</v>
      </c>
      <c r="AW284" s="8" t="s">
        <v>233</v>
      </c>
      <c r="AX284" s="4" t="s">
        <v>233</v>
      </c>
      <c r="AY284" s="8" t="s">
        <v>233</v>
      </c>
      <c r="AZ284" s="7" t="s">
        <v>233</v>
      </c>
      <c r="BA284" s="7" t="s">
        <v>233</v>
      </c>
      <c r="BB284" s="7"/>
      <c r="BC284" s="4" t="s">
        <v>233</v>
      </c>
      <c r="BD284" s="8" t="s">
        <v>233</v>
      </c>
      <c r="BE284" s="4" t="s">
        <v>233</v>
      </c>
      <c r="BF284" s="8" t="s">
        <v>233</v>
      </c>
      <c r="BG284" s="7" t="s">
        <v>233</v>
      </c>
      <c r="BH284" s="7" t="s">
        <v>233</v>
      </c>
      <c r="BI284" s="7"/>
      <c r="BJ284" s="4">
        <v>12</v>
      </c>
      <c r="BK284" s="8">
        <v>173.05</v>
      </c>
      <c r="BL284" s="2" t="s">
        <v>1870</v>
      </c>
      <c r="BM284" s="7"/>
      <c r="BN284" s="7"/>
      <c r="BO284" s="4"/>
      <c r="BP284" s="8"/>
      <c r="BQ284" s="4"/>
      <c r="BR284" s="8"/>
      <c r="BS284" s="7"/>
      <c r="BT284" s="7"/>
      <c r="BU284" s="2" t="s">
        <v>1861</v>
      </c>
      <c r="BV284" s="2" t="s">
        <v>233</v>
      </c>
      <c r="BW284" s="2" t="s">
        <v>233</v>
      </c>
      <c r="BX284" s="2" t="s">
        <v>241</v>
      </c>
      <c r="BY284" s="2" t="s">
        <v>242</v>
      </c>
      <c r="BZ284" s="2" t="s">
        <v>230</v>
      </c>
      <c r="CA284" s="2" t="s">
        <v>1862</v>
      </c>
      <c r="CB284" s="2" t="s">
        <v>1877</v>
      </c>
      <c r="CC284" s="2" t="s">
        <v>245</v>
      </c>
      <c r="CD284" s="2" t="s">
        <v>233</v>
      </c>
      <c r="CE284" s="4">
        <v>186</v>
      </c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>
        <v>100</v>
      </c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>
        <v>30</v>
      </c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>
        <v>188</v>
      </c>
      <c r="GD284" s="4">
        <v>277</v>
      </c>
      <c r="GE284" s="4">
        <v>262</v>
      </c>
      <c r="GF284" s="4">
        <v>250</v>
      </c>
      <c r="GG284" s="4">
        <v>225</v>
      </c>
      <c r="GH284" s="4">
        <v>212</v>
      </c>
      <c r="GI284" s="4">
        <v>196</v>
      </c>
      <c r="GJ284" s="4">
        <v>191</v>
      </c>
      <c r="GK284" s="4">
        <v>188</v>
      </c>
      <c r="GL284" s="4">
        <v>183</v>
      </c>
      <c r="GM284" s="4">
        <v>178</v>
      </c>
      <c r="GN284" s="4">
        <v>173</v>
      </c>
      <c r="GO284" s="4">
        <v>168</v>
      </c>
      <c r="GP284" s="4">
        <v>163</v>
      </c>
      <c r="GQ284" s="4">
        <v>188</v>
      </c>
      <c r="GR284" s="4">
        <v>183</v>
      </c>
      <c r="GS284" s="4">
        <v>178</v>
      </c>
      <c r="GT284" s="4">
        <v>172</v>
      </c>
      <c r="GU284" s="4">
        <v>167</v>
      </c>
      <c r="GV284" s="4">
        <v>162</v>
      </c>
      <c r="GW284" s="4">
        <v>157</v>
      </c>
      <c r="GX284" s="4">
        <v>152</v>
      </c>
      <c r="GY284" s="4">
        <v>147</v>
      </c>
      <c r="GZ284" s="4">
        <v>140</v>
      </c>
      <c r="HA284" s="4">
        <v>133</v>
      </c>
      <c r="HB284" s="4">
        <v>126</v>
      </c>
      <c r="HC284" s="19">
        <v>11.8</v>
      </c>
      <c r="HD284" s="19">
        <v>17.3</v>
      </c>
      <c r="HE284" s="19">
        <v>16.4</v>
      </c>
      <c r="HF284" s="19">
        <v>16.7</v>
      </c>
      <c r="HG284" s="19">
        <v>25</v>
      </c>
      <c r="HH284" s="19">
        <v>30.3</v>
      </c>
      <c r="HI284" s="19">
        <v>49</v>
      </c>
      <c r="HJ284" s="19">
        <v>47.8</v>
      </c>
      <c r="HK284" s="19">
        <v>37.6</v>
      </c>
      <c r="HL284" s="19">
        <v>36.6</v>
      </c>
      <c r="HM284" s="19">
        <v>35.6</v>
      </c>
      <c r="HN284" s="19">
        <v>34.6</v>
      </c>
      <c r="HO284" s="19">
        <v>33.6</v>
      </c>
      <c r="HP284" s="19">
        <v>32.6</v>
      </c>
      <c r="HQ284" s="19">
        <v>37.6</v>
      </c>
      <c r="HR284" s="19">
        <v>36.6</v>
      </c>
      <c r="HS284" s="19">
        <v>35.6</v>
      </c>
      <c r="HT284" s="19">
        <v>34.4</v>
      </c>
      <c r="HU284" s="19">
        <v>33.4</v>
      </c>
      <c r="HV284" s="19">
        <v>27</v>
      </c>
      <c r="HW284" s="19">
        <v>26.2</v>
      </c>
      <c r="HX284" s="19">
        <v>25.3</v>
      </c>
      <c r="HY284" s="19">
        <v>21</v>
      </c>
      <c r="HZ284" s="19">
        <v>20</v>
      </c>
      <c r="IA284" s="19">
        <v>22.2</v>
      </c>
      <c r="IB284" s="19">
        <v>21</v>
      </c>
    </row>
    <row r="285">
      <c r="A285" s="2" t="s">
        <v>1878</v>
      </c>
      <c r="B285" s="2" t="s">
        <v>773</v>
      </c>
      <c r="C285" s="2" t="s">
        <v>280</v>
      </c>
      <c r="D285" s="2" t="s">
        <v>1573</v>
      </c>
      <c r="E285" s="2" t="s">
        <v>1574</v>
      </c>
      <c r="F285" s="2" t="s">
        <v>1857</v>
      </c>
      <c r="G285" s="2" t="s">
        <v>1857</v>
      </c>
      <c r="H285" s="2" t="s">
        <v>1857</v>
      </c>
      <c r="I285" s="2" t="s">
        <v>1574</v>
      </c>
      <c r="J285" s="2" t="s">
        <v>256</v>
      </c>
      <c r="K285" s="2" t="s">
        <v>300</v>
      </c>
      <c r="L285" s="3">
        <v>18.28</v>
      </c>
      <c r="M285" s="3">
        <v>19.19</v>
      </c>
      <c r="N285" s="3">
        <v>39.99</v>
      </c>
      <c r="O285" s="2" t="s">
        <v>230</v>
      </c>
      <c r="P285" s="2" t="s">
        <v>231</v>
      </c>
      <c r="Q285" s="2" t="s">
        <v>232</v>
      </c>
      <c r="R285" s="2" t="s">
        <v>233</v>
      </c>
      <c r="S285" s="2" t="s">
        <v>1876</v>
      </c>
      <c r="T285" s="2" t="s">
        <v>1859</v>
      </c>
      <c r="U285" s="2" t="s">
        <v>329</v>
      </c>
      <c r="V285" s="2" t="s">
        <v>782</v>
      </c>
      <c r="W285" s="2" t="s">
        <v>818</v>
      </c>
      <c r="X285" s="2" t="s">
        <v>712</v>
      </c>
      <c r="Y285" s="2" t="s">
        <v>1864</v>
      </c>
      <c r="Z285" s="4">
        <v>265</v>
      </c>
      <c r="AA285" s="4">
        <f>=ROUNDDOWN(22.0833333333333,0)</f>
      </c>
      <c r="AB285" s="5">
        <v>12</v>
      </c>
      <c r="AC285" s="2" t="s">
        <v>5</v>
      </c>
      <c r="AD285" s="4">
        <v>100</v>
      </c>
      <c r="AE285" s="4">
        <v>334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233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233</v>
      </c>
      <c r="AW285" s="8" t="s">
        <v>233</v>
      </c>
      <c r="AX285" s="4" t="s">
        <v>233</v>
      </c>
      <c r="AY285" s="8" t="s">
        <v>233</v>
      </c>
      <c r="AZ285" s="7" t="s">
        <v>233</v>
      </c>
      <c r="BA285" s="7" t="s">
        <v>233</v>
      </c>
      <c r="BB285" s="7"/>
      <c r="BC285" s="4" t="s">
        <v>233</v>
      </c>
      <c r="BD285" s="8" t="s">
        <v>233</v>
      </c>
      <c r="BE285" s="4" t="s">
        <v>233</v>
      </c>
      <c r="BF285" s="8" t="s">
        <v>233</v>
      </c>
      <c r="BG285" s="7" t="s">
        <v>233</v>
      </c>
      <c r="BH285" s="7" t="s">
        <v>233</v>
      </c>
      <c r="BI285" s="7"/>
      <c r="BJ285" s="4">
        <v>100</v>
      </c>
      <c r="BK285" s="8">
        <v>2064.88</v>
      </c>
      <c r="BL285" s="2" t="s">
        <v>1870</v>
      </c>
      <c r="BM285" s="7"/>
      <c r="BN285" s="7"/>
      <c r="BO285" s="4"/>
      <c r="BP285" s="8"/>
      <c r="BQ285" s="4"/>
      <c r="BR285" s="8"/>
      <c r="BS285" s="7"/>
      <c r="BT285" s="7"/>
      <c r="BU285" s="2" t="s">
        <v>1861</v>
      </c>
      <c r="BV285" s="2" t="s">
        <v>233</v>
      </c>
      <c r="BW285" s="2" t="s">
        <v>233</v>
      </c>
      <c r="BX285" s="2" t="s">
        <v>241</v>
      </c>
      <c r="BY285" s="2" t="s">
        <v>242</v>
      </c>
      <c r="BZ285" s="2" t="s">
        <v>230</v>
      </c>
      <c r="CA285" s="2" t="s">
        <v>1862</v>
      </c>
      <c r="CB285" s="2" t="s">
        <v>1879</v>
      </c>
      <c r="CC285" s="2" t="s">
        <v>245</v>
      </c>
      <c r="CD285" s="2" t="s">
        <v>233</v>
      </c>
      <c r="CE285" s="4">
        <v>265</v>
      </c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>
        <v>100</v>
      </c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>
        <v>234</v>
      </c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>
        <v>275</v>
      </c>
      <c r="GD285" s="4">
        <v>353</v>
      </c>
      <c r="GE285" s="4">
        <v>326</v>
      </c>
      <c r="GF285" s="4">
        <v>298</v>
      </c>
      <c r="GG285" s="4">
        <v>245</v>
      </c>
      <c r="GH285" s="4">
        <v>217</v>
      </c>
      <c r="GI285" s="4">
        <v>185</v>
      </c>
      <c r="GJ285" s="4">
        <v>173</v>
      </c>
      <c r="GK285" s="4">
        <v>168</v>
      </c>
      <c r="GL285" s="4">
        <v>157</v>
      </c>
      <c r="GM285" s="4">
        <v>147</v>
      </c>
      <c r="GN285" s="4">
        <v>137</v>
      </c>
      <c r="GO285" s="4">
        <v>127</v>
      </c>
      <c r="GP285" s="4">
        <v>117</v>
      </c>
      <c r="GQ285" s="4">
        <v>341</v>
      </c>
      <c r="GR285" s="4">
        <v>330</v>
      </c>
      <c r="GS285" s="4">
        <v>319</v>
      </c>
      <c r="GT285" s="4">
        <v>307</v>
      </c>
      <c r="GU285" s="4">
        <v>296</v>
      </c>
      <c r="GV285" s="4">
        <v>283</v>
      </c>
      <c r="GW285" s="4">
        <v>270</v>
      </c>
      <c r="GX285" s="4">
        <v>257</v>
      </c>
      <c r="GY285" s="4">
        <v>244</v>
      </c>
      <c r="GZ285" s="4">
        <v>228</v>
      </c>
      <c r="HA285" s="4">
        <v>213</v>
      </c>
      <c r="HB285" s="4">
        <v>197</v>
      </c>
      <c r="HC285" s="19">
        <v>8.6</v>
      </c>
      <c r="HD285" s="19">
        <v>10.4</v>
      </c>
      <c r="HE285" s="19">
        <v>9.3</v>
      </c>
      <c r="HF285" s="19">
        <v>9.6</v>
      </c>
      <c r="HG285" s="19">
        <v>12.9</v>
      </c>
      <c r="HH285" s="19">
        <v>14.5</v>
      </c>
      <c r="HI285" s="19">
        <v>18.5</v>
      </c>
      <c r="HJ285" s="19">
        <v>19.2</v>
      </c>
      <c r="HK285" s="19">
        <v>16.8</v>
      </c>
      <c r="HL285" s="19">
        <v>15.7</v>
      </c>
      <c r="HM285" s="19">
        <v>14.7</v>
      </c>
      <c r="HN285" s="19">
        <v>13.7</v>
      </c>
      <c r="HO285" s="19">
        <v>12.7</v>
      </c>
      <c r="HP285" s="19">
        <v>10.6</v>
      </c>
      <c r="HQ285" s="19">
        <v>31</v>
      </c>
      <c r="HR285" s="19">
        <v>27.5</v>
      </c>
      <c r="HS285" s="19">
        <v>26.6</v>
      </c>
      <c r="HT285" s="19">
        <v>25.6</v>
      </c>
      <c r="HU285" s="19">
        <v>22.8</v>
      </c>
      <c r="HV285" s="19">
        <v>20.2</v>
      </c>
      <c r="HW285" s="19">
        <v>19.3</v>
      </c>
      <c r="HX285" s="19">
        <v>17.1</v>
      </c>
      <c r="HY285" s="19">
        <v>16.3</v>
      </c>
      <c r="HZ285" s="19">
        <v>15.2</v>
      </c>
      <c r="IA285" s="19">
        <v>15.2</v>
      </c>
      <c r="IB285" s="19">
        <v>14.1</v>
      </c>
    </row>
    <row r="286">
      <c r="A286" s="2" t="s">
        <v>1880</v>
      </c>
      <c r="B286" s="2" t="s">
        <v>773</v>
      </c>
      <c r="C286" s="2" t="s">
        <v>280</v>
      </c>
      <c r="D286" s="2" t="s">
        <v>1573</v>
      </c>
      <c r="E286" s="2" t="s">
        <v>1574</v>
      </c>
      <c r="F286" s="2" t="s">
        <v>1857</v>
      </c>
      <c r="G286" s="2" t="s">
        <v>1857</v>
      </c>
      <c r="H286" s="2" t="s">
        <v>1857</v>
      </c>
      <c r="I286" s="2" t="s">
        <v>1574</v>
      </c>
      <c r="J286" s="2" t="s">
        <v>228</v>
      </c>
      <c r="K286" s="2" t="s">
        <v>1121</v>
      </c>
      <c r="L286" s="3">
        <v>12.85</v>
      </c>
      <c r="M286" s="3">
        <v>13.49</v>
      </c>
      <c r="N286" s="3">
        <v>29.99</v>
      </c>
      <c r="O286" s="2" t="s">
        <v>230</v>
      </c>
      <c r="P286" s="2" t="s">
        <v>231</v>
      </c>
      <c r="Q286" s="2" t="s">
        <v>232</v>
      </c>
      <c r="R286" s="2" t="s">
        <v>233</v>
      </c>
      <c r="S286" s="2" t="s">
        <v>1881</v>
      </c>
      <c r="T286" s="2" t="s">
        <v>1859</v>
      </c>
      <c r="U286" s="2" t="s">
        <v>329</v>
      </c>
      <c r="V286" s="2" t="s">
        <v>782</v>
      </c>
      <c r="W286" s="2" t="s">
        <v>818</v>
      </c>
      <c r="X286" s="2" t="s">
        <v>712</v>
      </c>
      <c r="Y286" s="2" t="s">
        <v>1860</v>
      </c>
      <c r="Z286" s="4">
        <v>283</v>
      </c>
      <c r="AA286" s="4">
        <f>=ROUNDDOWN(94.3333333333333,0)</f>
      </c>
      <c r="AB286" s="5">
        <v>3</v>
      </c>
      <c r="AC286" s="2" t="s">
        <v>1882</v>
      </c>
      <c r="AD286" s="4">
        <v>170</v>
      </c>
      <c r="AE286" s="4">
        <v>170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233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233</v>
      </c>
      <c r="AW286" s="8" t="s">
        <v>233</v>
      </c>
      <c r="AX286" s="4" t="s">
        <v>233</v>
      </c>
      <c r="AY286" s="8" t="s">
        <v>233</v>
      </c>
      <c r="AZ286" s="7" t="s">
        <v>233</v>
      </c>
      <c r="BA286" s="7" t="s">
        <v>233</v>
      </c>
      <c r="BB286" s="7"/>
      <c r="BC286" s="4" t="s">
        <v>233</v>
      </c>
      <c r="BD286" s="8" t="s">
        <v>233</v>
      </c>
      <c r="BE286" s="4" t="s">
        <v>233</v>
      </c>
      <c r="BF286" s="8" t="s">
        <v>233</v>
      </c>
      <c r="BG286" s="7" t="s">
        <v>233</v>
      </c>
      <c r="BH286" s="7" t="s">
        <v>233</v>
      </c>
      <c r="BI286" s="7"/>
      <c r="BJ286" s="4">
        <v>5</v>
      </c>
      <c r="BK286" s="8">
        <v>72.45</v>
      </c>
      <c r="BL286" s="2" t="s">
        <v>1803</v>
      </c>
      <c r="BM286" s="7"/>
      <c r="BN286" s="7"/>
      <c r="BO286" s="4"/>
      <c r="BP286" s="8"/>
      <c r="BQ286" s="4"/>
      <c r="BR286" s="8"/>
      <c r="BS286" s="7"/>
      <c r="BT286" s="7"/>
      <c r="BU286" s="2" t="s">
        <v>1861</v>
      </c>
      <c r="BV286" s="2" t="s">
        <v>233</v>
      </c>
      <c r="BW286" s="2" t="s">
        <v>233</v>
      </c>
      <c r="BX286" s="2" t="s">
        <v>241</v>
      </c>
      <c r="BY286" s="2" t="s">
        <v>242</v>
      </c>
      <c r="BZ286" s="2" t="s">
        <v>230</v>
      </c>
      <c r="CA286" s="2" t="s">
        <v>1862</v>
      </c>
      <c r="CB286" s="2" t="s">
        <v>233</v>
      </c>
      <c r="CC286" s="2" t="s">
        <v>245</v>
      </c>
      <c r="CD286" s="2" t="s">
        <v>233</v>
      </c>
      <c r="CE286" s="4">
        <v>283</v>
      </c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>
        <v>170</v>
      </c>
      <c r="GB286" s="4"/>
      <c r="GC286" s="4">
        <v>283</v>
      </c>
      <c r="GD286" s="4">
        <v>278</v>
      </c>
      <c r="GE286" s="4">
        <v>270</v>
      </c>
      <c r="GF286" s="4">
        <v>264</v>
      </c>
      <c r="GG286" s="4">
        <v>252</v>
      </c>
      <c r="GH286" s="4">
        <v>245</v>
      </c>
      <c r="GI286" s="4">
        <v>237</v>
      </c>
      <c r="GJ286" s="4">
        <v>235</v>
      </c>
      <c r="GK286" s="4">
        <v>233</v>
      </c>
      <c r="GL286" s="4">
        <v>230</v>
      </c>
      <c r="GM286" s="4">
        <v>228</v>
      </c>
      <c r="GN286" s="4">
        <v>226</v>
      </c>
      <c r="GO286" s="4">
        <v>224</v>
      </c>
      <c r="GP286" s="4">
        <v>222</v>
      </c>
      <c r="GQ286" s="4">
        <v>220</v>
      </c>
      <c r="GR286" s="4">
        <v>217</v>
      </c>
      <c r="GS286" s="4">
        <v>214</v>
      </c>
      <c r="GT286" s="4">
        <v>211</v>
      </c>
      <c r="GU286" s="4">
        <v>208</v>
      </c>
      <c r="GV286" s="4">
        <v>205</v>
      </c>
      <c r="GW286" s="4">
        <v>372</v>
      </c>
      <c r="GX286" s="4">
        <v>369</v>
      </c>
      <c r="GY286" s="4">
        <v>366</v>
      </c>
      <c r="GZ286" s="4">
        <v>363</v>
      </c>
      <c r="HA286" s="4">
        <v>360</v>
      </c>
      <c r="HB286" s="4">
        <v>357</v>
      </c>
      <c r="HC286" s="19">
        <v>35.4</v>
      </c>
      <c r="HD286" s="19">
        <v>34.8</v>
      </c>
      <c r="HE286" s="19">
        <v>33.8</v>
      </c>
      <c r="HF286" s="19">
        <v>37.7</v>
      </c>
      <c r="HG286" s="19">
        <v>50.4</v>
      </c>
      <c r="HH286" s="19">
        <v>61.3</v>
      </c>
      <c r="HI286" s="19">
        <v>118.5</v>
      </c>
      <c r="HJ286" s="19">
        <v>117.5</v>
      </c>
      <c r="HK286" s="19">
        <v>116.5</v>
      </c>
      <c r="HL286" s="19">
        <v>115</v>
      </c>
      <c r="HM286" s="19">
        <v>114</v>
      </c>
      <c r="HN286" s="19">
        <v>113</v>
      </c>
      <c r="HO286" s="19">
        <v>112</v>
      </c>
      <c r="HP286" s="19">
        <v>74</v>
      </c>
      <c r="HQ286" s="19">
        <v>73.3</v>
      </c>
      <c r="HR286" s="19">
        <v>72.3</v>
      </c>
      <c r="HS286" s="19">
        <v>71.3</v>
      </c>
      <c r="HT286" s="19">
        <v>70.3</v>
      </c>
      <c r="HU286" s="19">
        <v>69.3</v>
      </c>
      <c r="HV286" s="19">
        <v>68.3</v>
      </c>
      <c r="HW286" s="19">
        <v>124</v>
      </c>
      <c r="HX286" s="19">
        <v>123</v>
      </c>
      <c r="HY286" s="19">
        <v>122</v>
      </c>
      <c r="HZ286" s="19">
        <v>121</v>
      </c>
      <c r="IA286" s="19">
        <v>120</v>
      </c>
      <c r="IB286" s="19">
        <v>119</v>
      </c>
    </row>
    <row r="287">
      <c r="A287" s="2" t="s">
        <v>1883</v>
      </c>
      <c r="B287" s="2" t="s">
        <v>773</v>
      </c>
      <c r="C287" s="2" t="s">
        <v>280</v>
      </c>
      <c r="D287" s="2" t="s">
        <v>1573</v>
      </c>
      <c r="E287" s="2" t="s">
        <v>1574</v>
      </c>
      <c r="F287" s="2" t="s">
        <v>1857</v>
      </c>
      <c r="G287" s="2" t="s">
        <v>1857</v>
      </c>
      <c r="H287" s="2" t="s">
        <v>1857</v>
      </c>
      <c r="I287" s="2" t="s">
        <v>1574</v>
      </c>
      <c r="J287" s="2" t="s">
        <v>265</v>
      </c>
      <c r="K287" s="2" t="s">
        <v>1121</v>
      </c>
      <c r="L287" s="3">
        <v>16</v>
      </c>
      <c r="M287" s="3">
        <v>16.8</v>
      </c>
      <c r="N287" s="3">
        <v>34.99</v>
      </c>
      <c r="O287" s="2" t="s">
        <v>230</v>
      </c>
      <c r="P287" s="2" t="s">
        <v>231</v>
      </c>
      <c r="Q287" s="2" t="s">
        <v>232</v>
      </c>
      <c r="R287" s="2" t="s">
        <v>233</v>
      </c>
      <c r="S287" s="2" t="s">
        <v>1881</v>
      </c>
      <c r="T287" s="2" t="s">
        <v>1859</v>
      </c>
      <c r="U287" s="2" t="s">
        <v>329</v>
      </c>
      <c r="V287" s="2" t="s">
        <v>782</v>
      </c>
      <c r="W287" s="2" t="s">
        <v>818</v>
      </c>
      <c r="X287" s="2" t="s">
        <v>712</v>
      </c>
      <c r="Y287" s="2" t="s">
        <v>1864</v>
      </c>
      <c r="Z287" s="4">
        <v>306</v>
      </c>
      <c r="AA287" s="4">
        <f>=ROUNDDOWN(76.5,0)</f>
      </c>
      <c r="AB287" s="5">
        <v>4</v>
      </c>
      <c r="AC287" s="2" t="s">
        <v>1882</v>
      </c>
      <c r="AD287" s="4">
        <v>190</v>
      </c>
      <c r="AE287" s="4">
        <v>190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233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233</v>
      </c>
      <c r="AW287" s="8" t="s">
        <v>233</v>
      </c>
      <c r="AX287" s="4" t="s">
        <v>233</v>
      </c>
      <c r="AY287" s="8" t="s">
        <v>233</v>
      </c>
      <c r="AZ287" s="7" t="s">
        <v>233</v>
      </c>
      <c r="BA287" s="7" t="s">
        <v>233</v>
      </c>
      <c r="BB287" s="7"/>
      <c r="BC287" s="4" t="s">
        <v>233</v>
      </c>
      <c r="BD287" s="8" t="s">
        <v>233</v>
      </c>
      <c r="BE287" s="4" t="s">
        <v>233</v>
      </c>
      <c r="BF287" s="8" t="s">
        <v>233</v>
      </c>
      <c r="BG287" s="7" t="s">
        <v>233</v>
      </c>
      <c r="BH287" s="7" t="s">
        <v>233</v>
      </c>
      <c r="BI287" s="7"/>
      <c r="BJ287" s="4">
        <v>27</v>
      </c>
      <c r="BK287" s="8">
        <v>484.54</v>
      </c>
      <c r="BL287" s="2" t="s">
        <v>1870</v>
      </c>
      <c r="BM287" s="7"/>
      <c r="BN287" s="7"/>
      <c r="BO287" s="4"/>
      <c r="BP287" s="8"/>
      <c r="BQ287" s="4"/>
      <c r="BR287" s="8"/>
      <c r="BS287" s="7"/>
      <c r="BT287" s="7"/>
      <c r="BU287" s="2" t="s">
        <v>1861</v>
      </c>
      <c r="BV287" s="2" t="s">
        <v>233</v>
      </c>
      <c r="BW287" s="2" t="s">
        <v>233</v>
      </c>
      <c r="BX287" s="2" t="s">
        <v>241</v>
      </c>
      <c r="BY287" s="2" t="s">
        <v>242</v>
      </c>
      <c r="BZ287" s="2" t="s">
        <v>230</v>
      </c>
      <c r="CA287" s="2" t="s">
        <v>1862</v>
      </c>
      <c r="CB287" s="2" t="s">
        <v>1884</v>
      </c>
      <c r="CC287" s="2" t="s">
        <v>245</v>
      </c>
      <c r="CD287" s="2" t="s">
        <v>233</v>
      </c>
      <c r="CE287" s="4">
        <v>306</v>
      </c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>
        <v>190</v>
      </c>
      <c r="GB287" s="4"/>
      <c r="GC287" s="4">
        <v>306</v>
      </c>
      <c r="GD287" s="4">
        <v>298</v>
      </c>
      <c r="GE287" s="4">
        <v>285</v>
      </c>
      <c r="GF287" s="4">
        <v>275</v>
      </c>
      <c r="GG287" s="4">
        <v>251</v>
      </c>
      <c r="GH287" s="4">
        <v>241</v>
      </c>
      <c r="GI287" s="4">
        <v>226</v>
      </c>
      <c r="GJ287" s="4">
        <v>219</v>
      </c>
      <c r="GK287" s="4">
        <v>217</v>
      </c>
      <c r="GL287" s="4">
        <v>213</v>
      </c>
      <c r="GM287" s="4">
        <v>209</v>
      </c>
      <c r="GN287" s="4">
        <v>205</v>
      </c>
      <c r="GO287" s="4">
        <v>201</v>
      </c>
      <c r="GP287" s="4">
        <v>197</v>
      </c>
      <c r="GQ287" s="4">
        <v>193</v>
      </c>
      <c r="GR287" s="4">
        <v>190</v>
      </c>
      <c r="GS287" s="4">
        <v>187</v>
      </c>
      <c r="GT287" s="4">
        <v>183</v>
      </c>
      <c r="GU287" s="4">
        <v>180</v>
      </c>
      <c r="GV287" s="4">
        <v>176</v>
      </c>
      <c r="GW287" s="4">
        <v>362</v>
      </c>
      <c r="GX287" s="4">
        <v>358</v>
      </c>
      <c r="GY287" s="4">
        <v>354</v>
      </c>
      <c r="GZ287" s="4">
        <v>349</v>
      </c>
      <c r="HA287" s="4">
        <v>344</v>
      </c>
      <c r="HB287" s="4">
        <v>339</v>
      </c>
      <c r="HC287" s="19">
        <v>21.9</v>
      </c>
      <c r="HD287" s="19">
        <v>21.3</v>
      </c>
      <c r="HE287" s="19">
        <v>19</v>
      </c>
      <c r="HF287" s="19">
        <v>19.6</v>
      </c>
      <c r="HG287" s="19">
        <v>31.4</v>
      </c>
      <c r="HH287" s="19">
        <v>34.4</v>
      </c>
      <c r="HI287" s="19">
        <v>56.5</v>
      </c>
      <c r="HJ287" s="19">
        <v>54.8</v>
      </c>
      <c r="HK287" s="19">
        <v>54.3</v>
      </c>
      <c r="HL287" s="19">
        <v>53.3</v>
      </c>
      <c r="HM287" s="19">
        <v>52.3</v>
      </c>
      <c r="HN287" s="19">
        <v>51.3</v>
      </c>
      <c r="HO287" s="19">
        <v>50.3</v>
      </c>
      <c r="HP287" s="19">
        <v>49.3</v>
      </c>
      <c r="HQ287" s="19">
        <v>64.3</v>
      </c>
      <c r="HR287" s="19">
        <v>47.5</v>
      </c>
      <c r="HS287" s="19">
        <v>46.8</v>
      </c>
      <c r="HT287" s="19">
        <v>45.8</v>
      </c>
      <c r="HU287" s="19">
        <v>45</v>
      </c>
      <c r="HV287" s="19">
        <v>44</v>
      </c>
      <c r="HW287" s="19">
        <v>90.5</v>
      </c>
      <c r="HX287" s="19">
        <v>71.6</v>
      </c>
      <c r="HY287" s="19">
        <v>70.8</v>
      </c>
      <c r="HZ287" s="19">
        <v>69.8</v>
      </c>
      <c r="IA287" s="19">
        <v>86</v>
      </c>
      <c r="IB287" s="19">
        <v>84.8</v>
      </c>
    </row>
    <row r="288">
      <c r="A288" s="2" t="s">
        <v>1885</v>
      </c>
      <c r="B288" s="2" t="s">
        <v>773</v>
      </c>
      <c r="C288" s="2" t="s">
        <v>280</v>
      </c>
      <c r="D288" s="2" t="s">
        <v>1573</v>
      </c>
      <c r="E288" s="2" t="s">
        <v>1574</v>
      </c>
      <c r="F288" s="2" t="s">
        <v>1857</v>
      </c>
      <c r="G288" s="2" t="s">
        <v>1857</v>
      </c>
      <c r="H288" s="2" t="s">
        <v>1857</v>
      </c>
      <c r="I288" s="2" t="s">
        <v>1574</v>
      </c>
      <c r="J288" s="2" t="s">
        <v>256</v>
      </c>
      <c r="K288" s="2" t="s">
        <v>1121</v>
      </c>
      <c r="L288" s="3">
        <v>18.28</v>
      </c>
      <c r="M288" s="3">
        <v>19.19</v>
      </c>
      <c r="N288" s="3">
        <v>39.99</v>
      </c>
      <c r="O288" s="2" t="s">
        <v>230</v>
      </c>
      <c r="P288" s="2" t="s">
        <v>231</v>
      </c>
      <c r="Q288" s="2" t="s">
        <v>232</v>
      </c>
      <c r="R288" s="2" t="s">
        <v>233</v>
      </c>
      <c r="S288" s="2" t="s">
        <v>1881</v>
      </c>
      <c r="T288" s="2" t="s">
        <v>1859</v>
      </c>
      <c r="U288" s="2" t="s">
        <v>329</v>
      </c>
      <c r="V288" s="2" t="s">
        <v>782</v>
      </c>
      <c r="W288" s="2" t="s">
        <v>818</v>
      </c>
      <c r="X288" s="2" t="s">
        <v>712</v>
      </c>
      <c r="Y288" s="2" t="s">
        <v>1860</v>
      </c>
      <c r="Z288" s="4">
        <v>256</v>
      </c>
      <c r="AA288" s="4">
        <f>=ROUNDDOWN(64,0)</f>
      </c>
      <c r="AB288" s="5">
        <v>4</v>
      </c>
      <c r="AC288" s="2" t="s">
        <v>1882</v>
      </c>
      <c r="AD288" s="4">
        <v>200</v>
      </c>
      <c r="AE288" s="4">
        <v>200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233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233</v>
      </c>
      <c r="AW288" s="8" t="s">
        <v>233</v>
      </c>
      <c r="AX288" s="4" t="s">
        <v>233</v>
      </c>
      <c r="AY288" s="8" t="s">
        <v>233</v>
      </c>
      <c r="AZ288" s="7" t="s">
        <v>233</v>
      </c>
      <c r="BA288" s="7" t="s">
        <v>233</v>
      </c>
      <c r="BB288" s="7"/>
      <c r="BC288" s="4" t="s">
        <v>233</v>
      </c>
      <c r="BD288" s="8" t="s">
        <v>233</v>
      </c>
      <c r="BE288" s="4" t="s">
        <v>233</v>
      </c>
      <c r="BF288" s="8" t="s">
        <v>233</v>
      </c>
      <c r="BG288" s="7" t="s">
        <v>233</v>
      </c>
      <c r="BH288" s="7" t="s">
        <v>233</v>
      </c>
      <c r="BI288" s="7"/>
      <c r="BJ288" s="4">
        <v>15</v>
      </c>
      <c r="BK288" s="8">
        <v>309.21</v>
      </c>
      <c r="BL288" s="2" t="s">
        <v>507</v>
      </c>
      <c r="BM288" s="7"/>
      <c r="BN288" s="7"/>
      <c r="BO288" s="4"/>
      <c r="BP288" s="8"/>
      <c r="BQ288" s="4"/>
      <c r="BR288" s="8"/>
      <c r="BS288" s="7"/>
      <c r="BT288" s="7"/>
      <c r="BU288" s="2" t="s">
        <v>1861</v>
      </c>
      <c r="BV288" s="2" t="s">
        <v>233</v>
      </c>
      <c r="BW288" s="2" t="s">
        <v>233</v>
      </c>
      <c r="BX288" s="2" t="s">
        <v>241</v>
      </c>
      <c r="BY288" s="2" t="s">
        <v>242</v>
      </c>
      <c r="BZ288" s="2" t="s">
        <v>230</v>
      </c>
      <c r="CA288" s="2" t="s">
        <v>1862</v>
      </c>
      <c r="CB288" s="2" t="s">
        <v>233</v>
      </c>
      <c r="CC288" s="2" t="s">
        <v>245</v>
      </c>
      <c r="CD288" s="2" t="s">
        <v>233</v>
      </c>
      <c r="CE288" s="4">
        <v>256</v>
      </c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>
        <v>200</v>
      </c>
      <c r="GB288" s="4"/>
      <c r="GC288" s="4">
        <v>259</v>
      </c>
      <c r="GD288" s="4">
        <v>249</v>
      </c>
      <c r="GE288" s="4">
        <v>238</v>
      </c>
      <c r="GF288" s="4">
        <v>227</v>
      </c>
      <c r="GG288" s="4">
        <v>207</v>
      </c>
      <c r="GH288" s="4">
        <v>197</v>
      </c>
      <c r="GI288" s="4">
        <v>185</v>
      </c>
      <c r="GJ288" s="4">
        <v>181</v>
      </c>
      <c r="GK288" s="4">
        <v>180</v>
      </c>
      <c r="GL288" s="4">
        <v>176</v>
      </c>
      <c r="GM288" s="4">
        <v>173</v>
      </c>
      <c r="GN288" s="4">
        <v>170</v>
      </c>
      <c r="GO288" s="4">
        <v>167</v>
      </c>
      <c r="GP288" s="4">
        <v>164</v>
      </c>
      <c r="GQ288" s="4">
        <v>161</v>
      </c>
      <c r="GR288" s="4">
        <v>157</v>
      </c>
      <c r="GS288" s="4">
        <v>153</v>
      </c>
      <c r="GT288" s="4">
        <v>149</v>
      </c>
      <c r="GU288" s="4">
        <v>145</v>
      </c>
      <c r="GV288" s="4">
        <v>141</v>
      </c>
      <c r="GW288" s="4">
        <v>337</v>
      </c>
      <c r="GX288" s="4">
        <v>333</v>
      </c>
      <c r="GY288" s="4">
        <v>329</v>
      </c>
      <c r="GZ288" s="4">
        <v>324</v>
      </c>
      <c r="HA288" s="4">
        <v>319</v>
      </c>
      <c r="HB288" s="4">
        <v>314</v>
      </c>
      <c r="HC288" s="19">
        <v>19.9</v>
      </c>
      <c r="HD288" s="19">
        <v>19.2</v>
      </c>
      <c r="HE288" s="19">
        <v>18.3</v>
      </c>
      <c r="HF288" s="19">
        <v>18.9</v>
      </c>
      <c r="HG288" s="19">
        <v>29.6</v>
      </c>
      <c r="HH288" s="19">
        <v>39.4</v>
      </c>
      <c r="HI288" s="19">
        <v>61.7</v>
      </c>
      <c r="HJ288" s="19">
        <v>60.3</v>
      </c>
      <c r="HK288" s="19">
        <v>60</v>
      </c>
      <c r="HL288" s="19">
        <v>58.7</v>
      </c>
      <c r="HM288" s="19">
        <v>57.7</v>
      </c>
      <c r="HN288" s="19">
        <v>56.7</v>
      </c>
      <c r="HO288" s="19">
        <v>41.8</v>
      </c>
      <c r="HP288" s="19">
        <v>41</v>
      </c>
      <c r="HQ288" s="19">
        <v>40.3</v>
      </c>
      <c r="HR288" s="19">
        <v>39.3</v>
      </c>
      <c r="HS288" s="19">
        <v>38.3</v>
      </c>
      <c r="HT288" s="19">
        <v>37.3</v>
      </c>
      <c r="HU288" s="19">
        <v>36.3</v>
      </c>
      <c r="HV288" s="19">
        <v>35.3</v>
      </c>
      <c r="HW288" s="19">
        <v>84.3</v>
      </c>
      <c r="HX288" s="19">
        <v>66.6</v>
      </c>
      <c r="HY288" s="19">
        <v>65.8</v>
      </c>
      <c r="HZ288" s="19">
        <v>64.8</v>
      </c>
      <c r="IA288" s="19">
        <v>63.8</v>
      </c>
      <c r="IB288" s="19">
        <v>62.8</v>
      </c>
    </row>
    <row r="289">
      <c r="A289" s="2" t="s">
        <v>1886</v>
      </c>
      <c r="B289" s="2" t="s">
        <v>872</v>
      </c>
      <c r="C289" s="2" t="s">
        <v>280</v>
      </c>
      <c r="D289" s="2" t="s">
        <v>261</v>
      </c>
      <c r="E289" s="2" t="s">
        <v>603</v>
      </c>
      <c r="F289" s="2" t="s">
        <v>1887</v>
      </c>
      <c r="G289" s="2" t="s">
        <v>1888</v>
      </c>
      <c r="H289" s="2" t="s">
        <v>1889</v>
      </c>
      <c r="I289" s="2" t="s">
        <v>1890</v>
      </c>
      <c r="J289" s="2" t="s">
        <v>285</v>
      </c>
      <c r="K289" s="2" t="s">
        <v>229</v>
      </c>
      <c r="L289" s="3">
        <v>93.05</v>
      </c>
      <c r="M289" s="3">
        <v>97.7</v>
      </c>
      <c r="N289" s="3">
        <v>194.99</v>
      </c>
      <c r="O289" s="2" t="s">
        <v>230</v>
      </c>
      <c r="P289" s="2" t="s">
        <v>231</v>
      </c>
      <c r="Q289" s="2" t="s">
        <v>232</v>
      </c>
      <c r="R289" s="2" t="s">
        <v>233</v>
      </c>
      <c r="S289" s="2" t="s">
        <v>1891</v>
      </c>
      <c r="T289" s="2" t="s">
        <v>348</v>
      </c>
      <c r="U289" s="2" t="s">
        <v>723</v>
      </c>
      <c r="V289" s="2" t="s">
        <v>834</v>
      </c>
      <c r="W289" s="2" t="s">
        <v>1631</v>
      </c>
      <c r="X289" s="2" t="s">
        <v>1892</v>
      </c>
      <c r="Y289" s="2" t="s">
        <v>1893</v>
      </c>
      <c r="Z289" s="4">
        <v>145</v>
      </c>
      <c r="AA289" s="4">
        <f>=ROUNDDOWN(48.3333333333333,0)</f>
      </c>
      <c r="AB289" s="5">
        <v>3</v>
      </c>
      <c r="AC289" s="2" t="s">
        <v>233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233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/>
      <c r="BD289" s="8"/>
      <c r="BE289" s="4"/>
      <c r="BF289" s="8"/>
      <c r="BG289" s="7"/>
      <c r="BH289" s="7"/>
      <c r="BI289" s="7"/>
      <c r="BJ289" s="4">
        <v>11</v>
      </c>
      <c r="BK289" s="8">
        <v>1118.85</v>
      </c>
      <c r="BL289" s="2" t="s">
        <v>1894</v>
      </c>
      <c r="BM289" s="7"/>
      <c r="BN289" s="7"/>
      <c r="BO289" s="4"/>
      <c r="BP289" s="8"/>
      <c r="BQ289" s="4"/>
      <c r="BR289" s="8"/>
      <c r="BS289" s="7"/>
      <c r="BT289" s="7"/>
      <c r="BU289" s="2" t="s">
        <v>1895</v>
      </c>
      <c r="BV289" s="2" t="s">
        <v>233</v>
      </c>
      <c r="BW289" s="2" t="s">
        <v>233</v>
      </c>
      <c r="BX289" s="2" t="s">
        <v>293</v>
      </c>
      <c r="BY289" s="2" t="s">
        <v>242</v>
      </c>
      <c r="BZ289" s="2" t="s">
        <v>230</v>
      </c>
      <c r="CA289" s="2" t="s">
        <v>1896</v>
      </c>
      <c r="CB289" s="2" t="s">
        <v>1897</v>
      </c>
      <c r="CC289" s="2" t="s">
        <v>245</v>
      </c>
      <c r="CD289" s="2" t="s">
        <v>233</v>
      </c>
      <c r="CE289" s="4">
        <v>40</v>
      </c>
      <c r="CF289" s="4">
        <v>105</v>
      </c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>
        <v>145</v>
      </c>
      <c r="GD289" s="4">
        <v>122</v>
      </c>
      <c r="GE289" s="4">
        <v>118</v>
      </c>
      <c r="GF289" s="4">
        <v>114</v>
      </c>
      <c r="GG289" s="4">
        <v>107</v>
      </c>
      <c r="GH289" s="4">
        <v>103</v>
      </c>
      <c r="GI289" s="4">
        <v>99</v>
      </c>
      <c r="GJ289" s="4">
        <v>96</v>
      </c>
      <c r="GK289" s="4">
        <v>94</v>
      </c>
      <c r="GL289" s="4">
        <v>91</v>
      </c>
      <c r="GM289" s="4">
        <v>88</v>
      </c>
      <c r="GN289" s="4">
        <v>85</v>
      </c>
      <c r="GO289" s="4">
        <v>82</v>
      </c>
      <c r="GP289" s="4">
        <v>79</v>
      </c>
      <c r="GQ289" s="4">
        <v>76</v>
      </c>
      <c r="GR289" s="4">
        <v>73</v>
      </c>
      <c r="GS289" s="4">
        <v>70</v>
      </c>
      <c r="GT289" s="4">
        <v>67</v>
      </c>
      <c r="GU289" s="4">
        <v>64</v>
      </c>
      <c r="GV289" s="4">
        <v>61</v>
      </c>
      <c r="GW289" s="4">
        <v>58</v>
      </c>
      <c r="GX289" s="4">
        <v>55</v>
      </c>
      <c r="GY289" s="4">
        <v>52</v>
      </c>
      <c r="GZ289" s="4">
        <v>49</v>
      </c>
      <c r="HA289" s="4">
        <v>46</v>
      </c>
      <c r="HB289" s="4">
        <v>43</v>
      </c>
      <c r="HC289" s="19">
        <v>14.5</v>
      </c>
      <c r="HD289" s="19">
        <v>24.4</v>
      </c>
      <c r="HE289" s="19">
        <v>23.6</v>
      </c>
      <c r="HF289" s="19">
        <v>28.5</v>
      </c>
      <c r="HG289" s="19">
        <v>35.7</v>
      </c>
      <c r="HH289" s="19">
        <v>34.3</v>
      </c>
      <c r="HI289" s="19">
        <v>33</v>
      </c>
      <c r="HJ289" s="19">
        <v>32</v>
      </c>
      <c r="HK289" s="19">
        <v>31.3</v>
      </c>
      <c r="HL289" s="19">
        <v>30.3</v>
      </c>
      <c r="HM289" s="19">
        <v>29.3</v>
      </c>
      <c r="HN289" s="19">
        <v>28.3</v>
      </c>
      <c r="HO289" s="19">
        <v>27.3</v>
      </c>
      <c r="HP289" s="19">
        <v>26.3</v>
      </c>
      <c r="HQ289" s="19">
        <v>25.3</v>
      </c>
      <c r="HR289" s="19">
        <v>24.3</v>
      </c>
      <c r="HS289" s="19">
        <v>23.3</v>
      </c>
      <c r="HT289" s="19">
        <v>22.3</v>
      </c>
      <c r="HU289" s="19">
        <v>21.3</v>
      </c>
      <c r="HV289" s="19">
        <v>20.3</v>
      </c>
      <c r="HW289" s="19">
        <v>19.3</v>
      </c>
      <c r="HX289" s="19">
        <v>18.3</v>
      </c>
      <c r="HY289" s="19">
        <v>17.3</v>
      </c>
      <c r="HZ289" s="19">
        <v>16.3</v>
      </c>
      <c r="IA289" s="19">
        <v>15.3</v>
      </c>
      <c r="IB289" s="19">
        <v>14.3</v>
      </c>
    </row>
    <row r="290">
      <c r="A290" s="2" t="s">
        <v>1898</v>
      </c>
      <c r="B290" s="2" t="s">
        <v>825</v>
      </c>
      <c r="C290" s="2" t="s">
        <v>1411</v>
      </c>
      <c r="D290" s="2" t="s">
        <v>261</v>
      </c>
      <c r="E290" s="2" t="s">
        <v>603</v>
      </c>
      <c r="F290" s="2" t="s">
        <v>1899</v>
      </c>
      <c r="G290" s="2" t="s">
        <v>1900</v>
      </c>
      <c r="H290" s="2" t="s">
        <v>1901</v>
      </c>
      <c r="I290" s="2" t="s">
        <v>1902</v>
      </c>
      <c r="J290" s="2" t="s">
        <v>275</v>
      </c>
      <c r="K290" s="2" t="s">
        <v>434</v>
      </c>
      <c r="L290" s="3">
        <v>39.5</v>
      </c>
      <c r="M290" s="3">
        <v>41.48</v>
      </c>
      <c r="N290" s="3">
        <v>89.99</v>
      </c>
      <c r="O290" s="2" t="s">
        <v>230</v>
      </c>
      <c r="P290" s="2" t="s">
        <v>1903</v>
      </c>
      <c r="Q290" s="2" t="s">
        <v>232</v>
      </c>
      <c r="R290" s="2" t="s">
        <v>233</v>
      </c>
      <c r="S290" s="2" t="s">
        <v>1904</v>
      </c>
      <c r="T290" s="2" t="s">
        <v>469</v>
      </c>
      <c r="U290" s="2" t="s">
        <v>287</v>
      </c>
      <c r="V290" s="2" t="s">
        <v>744</v>
      </c>
      <c r="W290" s="2" t="s">
        <v>620</v>
      </c>
      <c r="X290" s="2" t="s">
        <v>237</v>
      </c>
      <c r="Y290" s="2" t="s">
        <v>1905</v>
      </c>
      <c r="Z290" s="4">
        <v>1294</v>
      </c>
      <c r="AA290" s="4">
        <f>=ROUNDDOWN(129.4,0)</f>
      </c>
      <c r="AB290" s="5">
        <v>10</v>
      </c>
      <c r="AC290" s="2" t="s">
        <v>233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233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233</v>
      </c>
      <c r="AW290" s="8" t="s">
        <v>233</v>
      </c>
      <c r="AX290" s="4" t="s">
        <v>233</v>
      </c>
      <c r="AY290" s="8" t="s">
        <v>233</v>
      </c>
      <c r="AZ290" s="7" t="s">
        <v>233</v>
      </c>
      <c r="BA290" s="7" t="s">
        <v>233</v>
      </c>
      <c r="BB290" s="7" t="s">
        <v>233</v>
      </c>
      <c r="BC290" s="4" t="s">
        <v>233</v>
      </c>
      <c r="BD290" s="8" t="s">
        <v>233</v>
      </c>
      <c r="BE290" s="4" t="s">
        <v>233</v>
      </c>
      <c r="BF290" s="8" t="s">
        <v>233</v>
      </c>
      <c r="BG290" s="7" t="s">
        <v>233</v>
      </c>
      <c r="BH290" s="7" t="s">
        <v>233</v>
      </c>
      <c r="BI290" s="7"/>
      <c r="BJ290" s="4">
        <v>31</v>
      </c>
      <c r="BK290" s="8">
        <v>1406.38</v>
      </c>
      <c r="BL290" s="2" t="s">
        <v>1906</v>
      </c>
      <c r="BM290" s="7"/>
      <c r="BN290" s="7"/>
      <c r="BO290" s="4"/>
      <c r="BP290" s="8"/>
      <c r="BQ290" s="4"/>
      <c r="BR290" s="8"/>
      <c r="BS290" s="7"/>
      <c r="BT290" s="7"/>
      <c r="BU290" s="2" t="s">
        <v>1907</v>
      </c>
      <c r="BV290" s="2" t="s">
        <v>233</v>
      </c>
      <c r="BW290" s="2" t="s">
        <v>233</v>
      </c>
      <c r="BX290" s="2" t="s">
        <v>624</v>
      </c>
      <c r="BY290" s="2" t="s">
        <v>242</v>
      </c>
      <c r="BZ290" s="2" t="s">
        <v>230</v>
      </c>
      <c r="CA290" s="2" t="s">
        <v>983</v>
      </c>
      <c r="CB290" s="2" t="s">
        <v>1908</v>
      </c>
      <c r="CC290" s="2" t="s">
        <v>245</v>
      </c>
      <c r="CD290" s="2" t="s">
        <v>233</v>
      </c>
      <c r="CE290" s="4">
        <v>1294</v>
      </c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>
        <v>1303</v>
      </c>
      <c r="GD290" s="4">
        <v>1242</v>
      </c>
      <c r="GE290" s="4">
        <v>1224</v>
      </c>
      <c r="GF290" s="4">
        <v>1206</v>
      </c>
      <c r="GG290" s="4">
        <v>1168</v>
      </c>
      <c r="GH290" s="4">
        <v>1140</v>
      </c>
      <c r="GI290" s="4">
        <v>1109</v>
      </c>
      <c r="GJ290" s="4">
        <v>1089</v>
      </c>
      <c r="GK290" s="4">
        <v>1075</v>
      </c>
      <c r="GL290" s="4">
        <v>1064</v>
      </c>
      <c r="GM290" s="4">
        <v>1054</v>
      </c>
      <c r="GN290" s="4">
        <v>1044</v>
      </c>
      <c r="GO290" s="4">
        <v>1034</v>
      </c>
      <c r="GP290" s="4">
        <v>1024</v>
      </c>
      <c r="GQ290" s="4">
        <v>1014</v>
      </c>
      <c r="GR290" s="4">
        <v>1004</v>
      </c>
      <c r="GS290" s="4">
        <v>994</v>
      </c>
      <c r="GT290" s="4">
        <v>983</v>
      </c>
      <c r="GU290" s="4">
        <v>973</v>
      </c>
      <c r="GV290" s="4">
        <v>963</v>
      </c>
      <c r="GW290" s="4">
        <v>953</v>
      </c>
      <c r="GX290" s="4">
        <v>943</v>
      </c>
      <c r="GY290" s="4">
        <v>933</v>
      </c>
      <c r="GZ290" s="4">
        <v>923</v>
      </c>
      <c r="HA290" s="4">
        <v>913</v>
      </c>
      <c r="HB290" s="4">
        <v>903</v>
      </c>
      <c r="HC290" s="19">
        <v>38.3</v>
      </c>
      <c r="HD290" s="19">
        <v>47.8</v>
      </c>
      <c r="HE290" s="19">
        <v>42.2</v>
      </c>
      <c r="HF290" s="19">
        <v>41.6</v>
      </c>
      <c r="HG290" s="19">
        <v>50.8</v>
      </c>
      <c r="HH290" s="19">
        <v>60</v>
      </c>
      <c r="HI290" s="19">
        <v>79.2</v>
      </c>
      <c r="HJ290" s="19">
        <v>99</v>
      </c>
      <c r="HK290" s="19">
        <v>107.5</v>
      </c>
      <c r="HL290" s="19">
        <v>106.4</v>
      </c>
      <c r="HM290" s="19">
        <v>105.4</v>
      </c>
      <c r="HN290" s="19">
        <v>104.4</v>
      </c>
      <c r="HO290" s="19">
        <v>103.4</v>
      </c>
      <c r="HP290" s="19">
        <v>102.4</v>
      </c>
      <c r="HQ290" s="19">
        <v>101.4</v>
      </c>
      <c r="HR290" s="19">
        <v>100.4</v>
      </c>
      <c r="HS290" s="19">
        <v>99.4</v>
      </c>
      <c r="HT290" s="19">
        <v>98.3</v>
      </c>
      <c r="HU290" s="19">
        <v>97.3</v>
      </c>
      <c r="HV290" s="19">
        <v>96.3</v>
      </c>
      <c r="HW290" s="19">
        <v>95.3</v>
      </c>
      <c r="HX290" s="19">
        <v>94.3</v>
      </c>
      <c r="HY290" s="19">
        <v>93.3</v>
      </c>
      <c r="HZ290" s="19">
        <v>92.3</v>
      </c>
      <c r="IA290" s="19">
        <v>91.3</v>
      </c>
      <c r="IB290" s="19">
        <v>90.3</v>
      </c>
    </row>
    <row r="291">
      <c r="A291" s="2" t="s">
        <v>1909</v>
      </c>
      <c r="B291" s="2" t="s">
        <v>825</v>
      </c>
      <c r="C291" s="2" t="s">
        <v>1411</v>
      </c>
      <c r="D291" s="2" t="s">
        <v>774</v>
      </c>
      <c r="E291" s="2" t="s">
        <v>827</v>
      </c>
      <c r="F291" s="2" t="s">
        <v>1899</v>
      </c>
      <c r="G291" s="2" t="s">
        <v>1900</v>
      </c>
      <c r="H291" s="2" t="s">
        <v>1901</v>
      </c>
      <c r="I291" s="2" t="s">
        <v>1910</v>
      </c>
      <c r="J291" s="2" t="s">
        <v>275</v>
      </c>
      <c r="K291" s="2" t="s">
        <v>434</v>
      </c>
      <c r="L291" s="3">
        <v>31.5</v>
      </c>
      <c r="M291" s="3">
        <v>33.08</v>
      </c>
      <c r="N291" s="3">
        <v>74.99</v>
      </c>
      <c r="O291" s="2" t="s">
        <v>230</v>
      </c>
      <c r="P291" s="2" t="s">
        <v>231</v>
      </c>
      <c r="Q291" s="2" t="s">
        <v>232</v>
      </c>
      <c r="R291" s="2" t="s">
        <v>233</v>
      </c>
      <c r="S291" s="2" t="s">
        <v>1904</v>
      </c>
      <c r="T291" s="2" t="s">
        <v>469</v>
      </c>
      <c r="U291" s="2" t="s">
        <v>287</v>
      </c>
      <c r="V291" s="2" t="s">
        <v>744</v>
      </c>
      <c r="W291" s="2" t="s">
        <v>620</v>
      </c>
      <c r="X291" s="2" t="s">
        <v>237</v>
      </c>
      <c r="Y291" s="2" t="s">
        <v>1905</v>
      </c>
      <c r="Z291" s="4">
        <v>290</v>
      </c>
      <c r="AA291" s="4">
        <f>=ROUNDDOWN(58,0)</f>
      </c>
      <c r="AB291" s="5">
        <v>5</v>
      </c>
      <c r="AC291" s="2" t="s">
        <v>233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233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233</v>
      </c>
      <c r="AW291" s="8" t="s">
        <v>233</v>
      </c>
      <c r="AX291" s="4" t="s">
        <v>233</v>
      </c>
      <c r="AY291" s="8" t="s">
        <v>233</v>
      </c>
      <c r="AZ291" s="7" t="s">
        <v>233</v>
      </c>
      <c r="BA291" s="7" t="s">
        <v>233</v>
      </c>
      <c r="BB291" s="7" t="s">
        <v>233</v>
      </c>
      <c r="BC291" s="4" t="s">
        <v>233</v>
      </c>
      <c r="BD291" s="8" t="s">
        <v>233</v>
      </c>
      <c r="BE291" s="4" t="s">
        <v>233</v>
      </c>
      <c r="BF291" s="8" t="s">
        <v>233</v>
      </c>
      <c r="BG291" s="7" t="s">
        <v>233</v>
      </c>
      <c r="BH291" s="7" t="s">
        <v>233</v>
      </c>
      <c r="BI291" s="7"/>
      <c r="BJ291" s="4">
        <v>8</v>
      </c>
      <c r="BK291" s="8">
        <v>288.26</v>
      </c>
      <c r="BL291" s="2" t="s">
        <v>1658</v>
      </c>
      <c r="BM291" s="7"/>
      <c r="BN291" s="7"/>
      <c r="BO291" s="4"/>
      <c r="BP291" s="8"/>
      <c r="BQ291" s="4"/>
      <c r="BR291" s="8"/>
      <c r="BS291" s="7"/>
      <c r="BT291" s="7"/>
      <c r="BU291" s="2" t="s">
        <v>1911</v>
      </c>
      <c r="BV291" s="2" t="s">
        <v>233</v>
      </c>
      <c r="BW291" s="2" t="s">
        <v>233</v>
      </c>
      <c r="BX291" s="2" t="s">
        <v>293</v>
      </c>
      <c r="BY291" s="2" t="s">
        <v>242</v>
      </c>
      <c r="BZ291" s="2" t="s">
        <v>230</v>
      </c>
      <c r="CA291" s="2" t="s">
        <v>983</v>
      </c>
      <c r="CB291" s="2" t="s">
        <v>1912</v>
      </c>
      <c r="CC291" s="2" t="s">
        <v>245</v>
      </c>
      <c r="CD291" s="2" t="s">
        <v>233</v>
      </c>
      <c r="CE291" s="4">
        <v>290</v>
      </c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>
        <v>292</v>
      </c>
      <c r="GD291" s="4">
        <v>268</v>
      </c>
      <c r="GE291" s="4">
        <v>257</v>
      </c>
      <c r="GF291" s="4">
        <v>249</v>
      </c>
      <c r="GG291" s="4">
        <v>233</v>
      </c>
      <c r="GH291" s="4">
        <v>222</v>
      </c>
      <c r="GI291" s="4">
        <v>209</v>
      </c>
      <c r="GJ291" s="4">
        <v>198</v>
      </c>
      <c r="GK291" s="4">
        <v>194</v>
      </c>
      <c r="GL291" s="4">
        <v>190</v>
      </c>
      <c r="GM291" s="4">
        <v>185</v>
      </c>
      <c r="GN291" s="4">
        <v>180</v>
      </c>
      <c r="GO291" s="4">
        <v>175</v>
      </c>
      <c r="GP291" s="4">
        <v>170</v>
      </c>
      <c r="GQ291" s="4">
        <v>165</v>
      </c>
      <c r="GR291" s="4">
        <v>160</v>
      </c>
      <c r="GS291" s="4">
        <v>155</v>
      </c>
      <c r="GT291" s="4">
        <v>150</v>
      </c>
      <c r="GU291" s="4">
        <v>145</v>
      </c>
      <c r="GV291" s="4">
        <v>140</v>
      </c>
      <c r="GW291" s="4">
        <v>135</v>
      </c>
      <c r="GX291" s="4">
        <v>130</v>
      </c>
      <c r="GY291" s="4">
        <v>125</v>
      </c>
      <c r="GZ291" s="4">
        <v>120</v>
      </c>
      <c r="HA291" s="4">
        <v>115</v>
      </c>
      <c r="HB291" s="4">
        <v>110</v>
      </c>
      <c r="HC291" s="19">
        <v>19.5</v>
      </c>
      <c r="HD291" s="19">
        <v>22.3</v>
      </c>
      <c r="HE291" s="19">
        <v>21.4</v>
      </c>
      <c r="HF291" s="19">
        <v>19.2</v>
      </c>
      <c r="HG291" s="19">
        <v>23.3</v>
      </c>
      <c r="HH291" s="19">
        <v>27.8</v>
      </c>
      <c r="HI291" s="19">
        <v>34.8</v>
      </c>
      <c r="HJ291" s="19">
        <v>49.5</v>
      </c>
      <c r="HK291" s="19">
        <v>38.8</v>
      </c>
      <c r="HL291" s="19">
        <v>38</v>
      </c>
      <c r="HM291" s="19">
        <v>37</v>
      </c>
      <c r="HN291" s="19">
        <v>36</v>
      </c>
      <c r="HO291" s="19">
        <v>35</v>
      </c>
      <c r="HP291" s="19">
        <v>34</v>
      </c>
      <c r="HQ291" s="19">
        <v>33</v>
      </c>
      <c r="HR291" s="19">
        <v>32</v>
      </c>
      <c r="HS291" s="19">
        <v>31</v>
      </c>
      <c r="HT291" s="19">
        <v>30</v>
      </c>
      <c r="HU291" s="19">
        <v>29</v>
      </c>
      <c r="HV291" s="19">
        <v>28</v>
      </c>
      <c r="HW291" s="19">
        <v>27</v>
      </c>
      <c r="HX291" s="19">
        <v>26</v>
      </c>
      <c r="HY291" s="19">
        <v>25</v>
      </c>
      <c r="HZ291" s="19">
        <v>24</v>
      </c>
      <c r="IA291" s="19">
        <v>23</v>
      </c>
      <c r="IB291" s="19">
        <v>22</v>
      </c>
    </row>
    <row r="292">
      <c r="A292" s="2" t="s">
        <v>1913</v>
      </c>
      <c r="B292" s="2" t="s">
        <v>825</v>
      </c>
      <c r="C292" s="2" t="s">
        <v>1411</v>
      </c>
      <c r="D292" s="2" t="s">
        <v>261</v>
      </c>
      <c r="E292" s="2" t="s">
        <v>603</v>
      </c>
      <c r="F292" s="2" t="s">
        <v>1899</v>
      </c>
      <c r="G292" s="2" t="s">
        <v>1900</v>
      </c>
      <c r="H292" s="2" t="s">
        <v>1901</v>
      </c>
      <c r="I292" s="2" t="s">
        <v>1902</v>
      </c>
      <c r="J292" s="2" t="s">
        <v>1052</v>
      </c>
      <c r="K292" s="2" t="s">
        <v>671</v>
      </c>
      <c r="L292" s="3">
        <v>31.25</v>
      </c>
      <c r="M292" s="3">
        <v>32.81</v>
      </c>
      <c r="N292" s="3">
        <v>69.99</v>
      </c>
      <c r="O292" s="2" t="s">
        <v>230</v>
      </c>
      <c r="P292" s="2" t="s">
        <v>231</v>
      </c>
      <c r="Q292" s="2" t="s">
        <v>232</v>
      </c>
      <c r="R292" s="2" t="s">
        <v>233</v>
      </c>
      <c r="S292" s="2" t="s">
        <v>1914</v>
      </c>
      <c r="T292" s="2" t="s">
        <v>469</v>
      </c>
      <c r="U292" s="2" t="s">
        <v>781</v>
      </c>
      <c r="V292" s="2" t="s">
        <v>744</v>
      </c>
      <c r="W292" s="2" t="s">
        <v>620</v>
      </c>
      <c r="X292" s="2" t="s">
        <v>237</v>
      </c>
      <c r="Y292" s="2" t="s">
        <v>1915</v>
      </c>
      <c r="Z292" s="4">
        <v>242</v>
      </c>
      <c r="AA292" s="4">
        <f>=ROUNDDOWN(48.4,0)</f>
      </c>
      <c r="AB292" s="5">
        <v>5</v>
      </c>
      <c r="AC292" s="2" t="s">
        <v>233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233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233</v>
      </c>
      <c r="AW292" s="8" t="s">
        <v>233</v>
      </c>
      <c r="AX292" s="4" t="s">
        <v>233</v>
      </c>
      <c r="AY292" s="8" t="s">
        <v>233</v>
      </c>
      <c r="AZ292" s="7" t="s">
        <v>233</v>
      </c>
      <c r="BA292" s="7" t="s">
        <v>233</v>
      </c>
      <c r="BB292" s="7"/>
      <c r="BC292" s="4" t="s">
        <v>233</v>
      </c>
      <c r="BD292" s="8" t="s">
        <v>233</v>
      </c>
      <c r="BE292" s="4" t="s">
        <v>233</v>
      </c>
      <c r="BF292" s="8" t="s">
        <v>233</v>
      </c>
      <c r="BG292" s="7" t="s">
        <v>233</v>
      </c>
      <c r="BH292" s="7" t="s">
        <v>233</v>
      </c>
      <c r="BI292" s="7"/>
      <c r="BJ292" s="4">
        <v>10</v>
      </c>
      <c r="BK292" s="8">
        <v>316.27</v>
      </c>
      <c r="BL292" s="2" t="s">
        <v>1060</v>
      </c>
      <c r="BM292" s="7"/>
      <c r="BN292" s="7"/>
      <c r="BO292" s="4"/>
      <c r="BP292" s="8"/>
      <c r="BQ292" s="4"/>
      <c r="BR292" s="8"/>
      <c r="BS292" s="7"/>
      <c r="BT292" s="7"/>
      <c r="BU292" s="2" t="s">
        <v>1907</v>
      </c>
      <c r="BV292" s="2" t="s">
        <v>233</v>
      </c>
      <c r="BW292" s="2" t="s">
        <v>233</v>
      </c>
      <c r="BX292" s="2" t="s">
        <v>624</v>
      </c>
      <c r="BY292" s="2" t="s">
        <v>242</v>
      </c>
      <c r="BZ292" s="2" t="s">
        <v>230</v>
      </c>
      <c r="CA292" s="2" t="s">
        <v>1916</v>
      </c>
      <c r="CB292" s="2" t="s">
        <v>233</v>
      </c>
      <c r="CC292" s="2" t="s">
        <v>245</v>
      </c>
      <c r="CD292" s="2" t="s">
        <v>233</v>
      </c>
      <c r="CE292" s="4">
        <v>242</v>
      </c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>
        <v>245</v>
      </c>
      <c r="GD292" s="4">
        <v>195</v>
      </c>
      <c r="GE292" s="4">
        <v>186</v>
      </c>
      <c r="GF292" s="4">
        <v>177</v>
      </c>
      <c r="GG292" s="4">
        <v>158</v>
      </c>
      <c r="GH292" s="4">
        <v>143</v>
      </c>
      <c r="GI292" s="4">
        <v>126</v>
      </c>
      <c r="GJ292" s="4">
        <v>115</v>
      </c>
      <c r="GK292" s="4">
        <v>107</v>
      </c>
      <c r="GL292" s="4">
        <v>102</v>
      </c>
      <c r="GM292" s="4">
        <v>97</v>
      </c>
      <c r="GN292" s="4">
        <v>92</v>
      </c>
      <c r="GO292" s="4">
        <v>87</v>
      </c>
      <c r="GP292" s="4">
        <v>82</v>
      </c>
      <c r="GQ292" s="4">
        <v>77</v>
      </c>
      <c r="GR292" s="4">
        <v>72</v>
      </c>
      <c r="GS292" s="4">
        <v>67</v>
      </c>
      <c r="GT292" s="4">
        <v>62</v>
      </c>
      <c r="GU292" s="4">
        <v>57</v>
      </c>
      <c r="GV292" s="4">
        <v>118</v>
      </c>
      <c r="GW292" s="4">
        <v>113</v>
      </c>
      <c r="GX292" s="4">
        <v>108</v>
      </c>
      <c r="GY292" s="4">
        <v>103</v>
      </c>
      <c r="GZ292" s="4">
        <v>98</v>
      </c>
      <c r="HA292" s="4">
        <v>93</v>
      </c>
      <c r="HB292" s="4">
        <v>88</v>
      </c>
      <c r="HC292" s="19">
        <v>11.1</v>
      </c>
      <c r="HD292" s="19">
        <v>15</v>
      </c>
      <c r="HE292" s="19">
        <v>12.4</v>
      </c>
      <c r="HF292" s="19">
        <v>11.1</v>
      </c>
      <c r="HG292" s="19">
        <v>12.2</v>
      </c>
      <c r="HH292" s="19">
        <v>14.3</v>
      </c>
      <c r="HI292" s="19">
        <v>18</v>
      </c>
      <c r="HJ292" s="19">
        <v>19.2</v>
      </c>
      <c r="HK292" s="19">
        <v>21.4</v>
      </c>
      <c r="HL292" s="19">
        <v>20.4</v>
      </c>
      <c r="HM292" s="19">
        <v>19.4</v>
      </c>
      <c r="HN292" s="19">
        <v>18.4</v>
      </c>
      <c r="HO292" s="19">
        <v>17.4</v>
      </c>
      <c r="HP292" s="19">
        <v>16.4</v>
      </c>
      <c r="HQ292" s="19">
        <v>15.4</v>
      </c>
      <c r="HR292" s="19">
        <v>14.4</v>
      </c>
      <c r="HS292" s="19">
        <v>13.4</v>
      </c>
      <c r="HT292" s="19">
        <v>12.4</v>
      </c>
      <c r="HU292" s="19">
        <v>11.4</v>
      </c>
      <c r="HV292" s="19">
        <v>23.6</v>
      </c>
      <c r="HW292" s="19">
        <v>22.6</v>
      </c>
      <c r="HX292" s="19">
        <v>21.6</v>
      </c>
      <c r="HY292" s="19">
        <v>20.6</v>
      </c>
      <c r="HZ292" s="19">
        <v>19.6</v>
      </c>
      <c r="IA292" s="19">
        <v>18.6</v>
      </c>
      <c r="IB292" s="19">
        <v>17.6</v>
      </c>
    </row>
    <row r="293">
      <c r="A293" s="2" t="s">
        <v>1917</v>
      </c>
      <c r="B293" s="2" t="s">
        <v>825</v>
      </c>
      <c r="C293" s="2" t="s">
        <v>1411</v>
      </c>
      <c r="D293" s="2" t="s">
        <v>261</v>
      </c>
      <c r="E293" s="2" t="s">
        <v>603</v>
      </c>
      <c r="F293" s="2" t="s">
        <v>1899</v>
      </c>
      <c r="G293" s="2" t="s">
        <v>1900</v>
      </c>
      <c r="H293" s="2" t="s">
        <v>1901</v>
      </c>
      <c r="I293" s="2" t="s">
        <v>1902</v>
      </c>
      <c r="J293" s="2" t="s">
        <v>265</v>
      </c>
      <c r="K293" s="2" t="s">
        <v>671</v>
      </c>
      <c r="L293" s="3">
        <v>36.67</v>
      </c>
      <c r="M293" s="3">
        <v>38.5</v>
      </c>
      <c r="N293" s="3">
        <v>79.99</v>
      </c>
      <c r="O293" s="2" t="s">
        <v>230</v>
      </c>
      <c r="P293" s="2" t="s">
        <v>231</v>
      </c>
      <c r="Q293" s="2" t="s">
        <v>232</v>
      </c>
      <c r="R293" s="2" t="s">
        <v>233</v>
      </c>
      <c r="S293" s="2" t="s">
        <v>1914</v>
      </c>
      <c r="T293" s="2" t="s">
        <v>469</v>
      </c>
      <c r="U293" s="2" t="s">
        <v>287</v>
      </c>
      <c r="V293" s="2" t="s">
        <v>744</v>
      </c>
      <c r="W293" s="2" t="s">
        <v>620</v>
      </c>
      <c r="X293" s="2" t="s">
        <v>237</v>
      </c>
      <c r="Y293" s="2" t="s">
        <v>1918</v>
      </c>
      <c r="Z293" s="4">
        <v>429</v>
      </c>
      <c r="AA293" s="4">
        <f>=ROUNDDOWN(35.75,0)</f>
      </c>
      <c r="AB293" s="5">
        <v>12</v>
      </c>
      <c r="AC293" s="2" t="s">
        <v>233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233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233</v>
      </c>
      <c r="AW293" s="8" t="s">
        <v>233</v>
      </c>
      <c r="AX293" s="4" t="s">
        <v>233</v>
      </c>
      <c r="AY293" s="8" t="s">
        <v>233</v>
      </c>
      <c r="AZ293" s="7" t="s">
        <v>233</v>
      </c>
      <c r="BA293" s="7" t="s">
        <v>233</v>
      </c>
      <c r="BB293" s="7"/>
      <c r="BC293" s="4" t="s">
        <v>233</v>
      </c>
      <c r="BD293" s="8" t="s">
        <v>233</v>
      </c>
      <c r="BE293" s="4" t="s">
        <v>233</v>
      </c>
      <c r="BF293" s="8" t="s">
        <v>233</v>
      </c>
      <c r="BG293" s="7" t="s">
        <v>233</v>
      </c>
      <c r="BH293" s="7" t="s">
        <v>233</v>
      </c>
      <c r="BI293" s="7"/>
      <c r="BJ293" s="4">
        <v>33</v>
      </c>
      <c r="BK293" s="8">
        <v>1303.79</v>
      </c>
      <c r="BL293" s="2" t="s">
        <v>1919</v>
      </c>
      <c r="BM293" s="7"/>
      <c r="BN293" s="7"/>
      <c r="BO293" s="4"/>
      <c r="BP293" s="8"/>
      <c r="BQ293" s="4"/>
      <c r="BR293" s="8"/>
      <c r="BS293" s="7"/>
      <c r="BT293" s="7"/>
      <c r="BU293" s="2" t="s">
        <v>1907</v>
      </c>
      <c r="BV293" s="2" t="s">
        <v>233</v>
      </c>
      <c r="BW293" s="2" t="s">
        <v>233</v>
      </c>
      <c r="BX293" s="2" t="s">
        <v>624</v>
      </c>
      <c r="BY293" s="2" t="s">
        <v>242</v>
      </c>
      <c r="BZ293" s="2" t="s">
        <v>230</v>
      </c>
      <c r="CA293" s="2" t="s">
        <v>1916</v>
      </c>
      <c r="CB293" s="2" t="s">
        <v>1920</v>
      </c>
      <c r="CC293" s="2" t="s">
        <v>245</v>
      </c>
      <c r="CD293" s="2" t="s">
        <v>233</v>
      </c>
      <c r="CE293" s="4">
        <v>429</v>
      </c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>
        <v>447</v>
      </c>
      <c r="GD293" s="4">
        <v>365</v>
      </c>
      <c r="GE293" s="4">
        <v>340</v>
      </c>
      <c r="GF293" s="4">
        <v>316</v>
      </c>
      <c r="GG293" s="4">
        <v>263</v>
      </c>
      <c r="GH293" s="4">
        <v>217</v>
      </c>
      <c r="GI293" s="4">
        <v>164</v>
      </c>
      <c r="GJ293" s="4">
        <v>131</v>
      </c>
      <c r="GK293" s="4">
        <v>109</v>
      </c>
      <c r="GL293" s="4">
        <v>96</v>
      </c>
      <c r="GM293" s="4">
        <v>84</v>
      </c>
      <c r="GN293" s="4">
        <v>72</v>
      </c>
      <c r="GO293" s="4">
        <v>60</v>
      </c>
      <c r="GP293" s="4">
        <v>48</v>
      </c>
      <c r="GQ293" s="4">
        <v>36</v>
      </c>
      <c r="GR293" s="4">
        <v>24</v>
      </c>
      <c r="GS293" s="4">
        <v>12</v>
      </c>
      <c r="GT293" s="4"/>
      <c r="GU293" s="4"/>
      <c r="GV293" s="4">
        <v>288</v>
      </c>
      <c r="GW293" s="4">
        <v>269</v>
      </c>
      <c r="GX293" s="4">
        <v>257</v>
      </c>
      <c r="GY293" s="4">
        <v>245</v>
      </c>
      <c r="GZ293" s="4">
        <v>233</v>
      </c>
      <c r="HA293" s="4">
        <v>221</v>
      </c>
      <c r="HB293" s="4">
        <v>209</v>
      </c>
      <c r="HC293" s="19">
        <v>9.7</v>
      </c>
      <c r="HD293" s="19">
        <v>9.9</v>
      </c>
      <c r="HE293" s="19">
        <v>7.7</v>
      </c>
      <c r="HF293" s="19">
        <v>6.9</v>
      </c>
      <c r="HG293" s="19">
        <v>6.9</v>
      </c>
      <c r="HH293" s="19">
        <v>7.2</v>
      </c>
      <c r="HI293" s="19">
        <v>8.2</v>
      </c>
      <c r="HJ293" s="19">
        <v>8.7</v>
      </c>
      <c r="HK293" s="19">
        <v>9.1</v>
      </c>
      <c r="HL293" s="19">
        <v>8</v>
      </c>
      <c r="HM293" s="19">
        <v>7</v>
      </c>
      <c r="HN293" s="19">
        <v>6</v>
      </c>
      <c r="HO293" s="19">
        <v>5</v>
      </c>
      <c r="HP293" s="19">
        <v>4</v>
      </c>
      <c r="HQ293" s="19">
        <v>3.3</v>
      </c>
      <c r="HR293" s="19">
        <v>2.4</v>
      </c>
      <c r="HS293" s="19">
        <v>1</v>
      </c>
      <c r="HT293" s="20">
        <v>0</v>
      </c>
      <c r="HU293" s="20">
        <v>0</v>
      </c>
      <c r="HV293" s="19">
        <v>20.6</v>
      </c>
      <c r="HW293" s="19">
        <v>22.4</v>
      </c>
      <c r="HX293" s="19">
        <v>21.4</v>
      </c>
      <c r="HY293" s="19">
        <v>20.4</v>
      </c>
      <c r="HZ293" s="19">
        <v>19.4</v>
      </c>
      <c r="IA293" s="19">
        <v>18.4</v>
      </c>
      <c r="IB293" s="19">
        <v>17.4</v>
      </c>
    </row>
    <row r="294">
      <c r="A294" s="2" t="s">
        <v>1921</v>
      </c>
      <c r="B294" s="2" t="s">
        <v>825</v>
      </c>
      <c r="C294" s="2" t="s">
        <v>1411</v>
      </c>
      <c r="D294" s="2" t="s">
        <v>261</v>
      </c>
      <c r="E294" s="2" t="s">
        <v>603</v>
      </c>
      <c r="F294" s="2" t="s">
        <v>1899</v>
      </c>
      <c r="G294" s="2" t="s">
        <v>1900</v>
      </c>
      <c r="H294" s="2" t="s">
        <v>1901</v>
      </c>
      <c r="I294" s="2" t="s">
        <v>1902</v>
      </c>
      <c r="J294" s="2" t="s">
        <v>275</v>
      </c>
      <c r="K294" s="2" t="s">
        <v>671</v>
      </c>
      <c r="L294" s="3">
        <v>39.5</v>
      </c>
      <c r="M294" s="3">
        <v>41.48</v>
      </c>
      <c r="N294" s="3">
        <v>89.99</v>
      </c>
      <c r="O294" s="2" t="s">
        <v>230</v>
      </c>
      <c r="P294" s="2" t="s">
        <v>231</v>
      </c>
      <c r="Q294" s="2" t="s">
        <v>232</v>
      </c>
      <c r="R294" s="2" t="s">
        <v>233</v>
      </c>
      <c r="S294" s="2" t="s">
        <v>1914</v>
      </c>
      <c r="T294" s="2" t="s">
        <v>469</v>
      </c>
      <c r="U294" s="2" t="s">
        <v>287</v>
      </c>
      <c r="V294" s="2" t="s">
        <v>744</v>
      </c>
      <c r="W294" s="2" t="s">
        <v>620</v>
      </c>
      <c r="X294" s="2" t="s">
        <v>237</v>
      </c>
      <c r="Y294" s="2" t="s">
        <v>1922</v>
      </c>
      <c r="Z294" s="4">
        <v>145</v>
      </c>
      <c r="AA294" s="4">
        <f>=ROUNDDOWN(29,0)</f>
      </c>
      <c r="AB294" s="5">
        <v>5</v>
      </c>
      <c r="AC294" s="2" t="s">
        <v>233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233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233</v>
      </c>
      <c r="AW294" s="8" t="s">
        <v>233</v>
      </c>
      <c r="AX294" s="4" t="s">
        <v>233</v>
      </c>
      <c r="AY294" s="8" t="s">
        <v>233</v>
      </c>
      <c r="AZ294" s="7" t="s">
        <v>233</v>
      </c>
      <c r="BA294" s="7" t="s">
        <v>233</v>
      </c>
      <c r="BB294" s="7"/>
      <c r="BC294" s="4" t="s">
        <v>233</v>
      </c>
      <c r="BD294" s="8" t="s">
        <v>233</v>
      </c>
      <c r="BE294" s="4" t="s">
        <v>233</v>
      </c>
      <c r="BF294" s="8" t="s">
        <v>233</v>
      </c>
      <c r="BG294" s="7" t="s">
        <v>233</v>
      </c>
      <c r="BH294" s="7" t="s">
        <v>233</v>
      </c>
      <c r="BI294" s="7"/>
      <c r="BJ294" s="4">
        <v>15</v>
      </c>
      <c r="BK294" s="8">
        <v>648.92</v>
      </c>
      <c r="BL294" s="2" t="s">
        <v>1923</v>
      </c>
      <c r="BM294" s="7"/>
      <c r="BN294" s="7"/>
      <c r="BO294" s="4"/>
      <c r="BP294" s="8"/>
      <c r="BQ294" s="4"/>
      <c r="BR294" s="8"/>
      <c r="BS294" s="7"/>
      <c r="BT294" s="7"/>
      <c r="BU294" s="2" t="s">
        <v>1907</v>
      </c>
      <c r="BV294" s="2" t="s">
        <v>233</v>
      </c>
      <c r="BW294" s="2" t="s">
        <v>233</v>
      </c>
      <c r="BX294" s="2" t="s">
        <v>624</v>
      </c>
      <c r="BY294" s="2" t="s">
        <v>242</v>
      </c>
      <c r="BZ294" s="2" t="s">
        <v>230</v>
      </c>
      <c r="CA294" s="2" t="s">
        <v>1916</v>
      </c>
      <c r="CB294" s="2" t="s">
        <v>233</v>
      </c>
      <c r="CC294" s="2" t="s">
        <v>245</v>
      </c>
      <c r="CD294" s="2" t="s">
        <v>233</v>
      </c>
      <c r="CE294" s="4">
        <v>145</v>
      </c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>
        <v>147</v>
      </c>
      <c r="GD294" s="4">
        <v>103</v>
      </c>
      <c r="GE294" s="4">
        <v>95</v>
      </c>
      <c r="GF294" s="4">
        <v>87</v>
      </c>
      <c r="GG294" s="4">
        <v>70</v>
      </c>
      <c r="GH294" s="4">
        <v>57</v>
      </c>
      <c r="GI294" s="4">
        <v>43</v>
      </c>
      <c r="GJ294" s="4">
        <v>34</v>
      </c>
      <c r="GK294" s="4">
        <v>27</v>
      </c>
      <c r="GL294" s="4">
        <v>22</v>
      </c>
      <c r="GM294" s="4">
        <v>17</v>
      </c>
      <c r="GN294" s="4">
        <v>12</v>
      </c>
      <c r="GO294" s="4">
        <v>7</v>
      </c>
      <c r="GP294" s="4">
        <v>2</v>
      </c>
      <c r="GQ294" s="4"/>
      <c r="GR294" s="4"/>
      <c r="GS294" s="4"/>
      <c r="GT294" s="4"/>
      <c r="GU294" s="4"/>
      <c r="GV294" s="4">
        <v>116</v>
      </c>
      <c r="GW294" s="4">
        <v>99</v>
      </c>
      <c r="GX294" s="4">
        <v>94</v>
      </c>
      <c r="GY294" s="4">
        <v>89</v>
      </c>
      <c r="GZ294" s="4">
        <v>84</v>
      </c>
      <c r="HA294" s="4">
        <v>79</v>
      </c>
      <c r="HB294" s="4">
        <v>74</v>
      </c>
      <c r="HC294" s="19">
        <v>7.7</v>
      </c>
      <c r="HD294" s="19">
        <v>8.6</v>
      </c>
      <c r="HE294" s="19">
        <v>7.3</v>
      </c>
      <c r="HF294" s="19">
        <v>6.7</v>
      </c>
      <c r="HG294" s="19">
        <v>6.4</v>
      </c>
      <c r="HH294" s="19">
        <v>6.3</v>
      </c>
      <c r="HI294" s="19">
        <v>7.2</v>
      </c>
      <c r="HJ294" s="19">
        <v>5.7</v>
      </c>
      <c r="HK294" s="19">
        <v>5.4</v>
      </c>
      <c r="HL294" s="19">
        <v>4.4</v>
      </c>
      <c r="HM294" s="19">
        <v>4.3</v>
      </c>
      <c r="HN294" s="19">
        <v>3</v>
      </c>
      <c r="HO294" s="19">
        <v>1.8</v>
      </c>
      <c r="HP294" s="19">
        <v>0.7</v>
      </c>
      <c r="HQ294" s="20">
        <v>0</v>
      </c>
      <c r="HR294" s="20">
        <v>0</v>
      </c>
      <c r="HS294" s="20">
        <v>0</v>
      </c>
      <c r="HT294" s="20">
        <v>0</v>
      </c>
      <c r="HU294" s="20">
        <v>0</v>
      </c>
      <c r="HV294" s="19">
        <v>14.5</v>
      </c>
      <c r="HW294" s="19">
        <v>19.8</v>
      </c>
      <c r="HX294" s="19">
        <v>18.8</v>
      </c>
      <c r="HY294" s="19">
        <v>17.8</v>
      </c>
      <c r="HZ294" s="19">
        <v>16.8</v>
      </c>
      <c r="IA294" s="19">
        <v>15.8</v>
      </c>
      <c r="IB294" s="19">
        <v>14.8</v>
      </c>
    </row>
    <row r="295">
      <c r="A295" s="2" t="s">
        <v>1924</v>
      </c>
      <c r="B295" s="2" t="s">
        <v>825</v>
      </c>
      <c r="C295" s="2" t="s">
        <v>1411</v>
      </c>
      <c r="D295" s="2" t="s">
        <v>774</v>
      </c>
      <c r="E295" s="2" t="s">
        <v>827</v>
      </c>
      <c r="F295" s="2" t="s">
        <v>1899</v>
      </c>
      <c r="G295" s="2" t="s">
        <v>1900</v>
      </c>
      <c r="H295" s="2" t="s">
        <v>1901</v>
      </c>
      <c r="I295" s="2" t="s">
        <v>1910</v>
      </c>
      <c r="J295" s="2" t="s">
        <v>1052</v>
      </c>
      <c r="K295" s="2" t="s">
        <v>1777</v>
      </c>
      <c r="L295" s="3">
        <v>23.96</v>
      </c>
      <c r="M295" s="3">
        <v>25.16</v>
      </c>
      <c r="N295" s="3">
        <v>54.99</v>
      </c>
      <c r="O295" s="2" t="s">
        <v>230</v>
      </c>
      <c r="P295" s="2" t="s">
        <v>231</v>
      </c>
      <c r="Q295" s="2" t="s">
        <v>232</v>
      </c>
      <c r="R295" s="2" t="s">
        <v>233</v>
      </c>
      <c r="S295" s="2" t="s">
        <v>1925</v>
      </c>
      <c r="T295" s="2" t="s">
        <v>469</v>
      </c>
      <c r="U295" s="2" t="s">
        <v>781</v>
      </c>
      <c r="V295" s="2" t="s">
        <v>744</v>
      </c>
      <c r="W295" s="2" t="s">
        <v>620</v>
      </c>
      <c r="X295" s="2" t="s">
        <v>237</v>
      </c>
      <c r="Y295" s="2" t="s">
        <v>1504</v>
      </c>
      <c r="Z295" s="4">
        <v>238</v>
      </c>
      <c r="AA295" s="4">
        <f>=ROUNDDOWN(79.3333333333333,0)</f>
      </c>
      <c r="AB295" s="5">
        <v>3</v>
      </c>
      <c r="AC295" s="2" t="s">
        <v>233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233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233</v>
      </c>
      <c r="AW295" s="8" t="s">
        <v>233</v>
      </c>
      <c r="AX295" s="4" t="s">
        <v>233</v>
      </c>
      <c r="AY295" s="8" t="s">
        <v>233</v>
      </c>
      <c r="AZ295" s="7" t="s">
        <v>233</v>
      </c>
      <c r="BA295" s="7" t="s">
        <v>233</v>
      </c>
      <c r="BB295" s="7"/>
      <c r="BC295" s="4" t="s">
        <v>233</v>
      </c>
      <c r="BD295" s="8" t="s">
        <v>233</v>
      </c>
      <c r="BE295" s="4" t="s">
        <v>233</v>
      </c>
      <c r="BF295" s="8" t="s">
        <v>233</v>
      </c>
      <c r="BG295" s="7" t="s">
        <v>233</v>
      </c>
      <c r="BH295" s="7" t="s">
        <v>233</v>
      </c>
      <c r="BI295" s="7"/>
      <c r="BJ295" s="4">
        <v>9</v>
      </c>
      <c r="BK295" s="8">
        <v>238.65</v>
      </c>
      <c r="BL295" s="2" t="s">
        <v>314</v>
      </c>
      <c r="BM295" s="7"/>
      <c r="BN295" s="7"/>
      <c r="BO295" s="4"/>
      <c r="BP295" s="8"/>
      <c r="BQ295" s="4"/>
      <c r="BR295" s="8"/>
      <c r="BS295" s="7"/>
      <c r="BT295" s="7"/>
      <c r="BU295" s="2" t="s">
        <v>1911</v>
      </c>
      <c r="BV295" s="2" t="s">
        <v>233</v>
      </c>
      <c r="BW295" s="2" t="s">
        <v>233</v>
      </c>
      <c r="BX295" s="2" t="s">
        <v>293</v>
      </c>
      <c r="BY295" s="2" t="s">
        <v>242</v>
      </c>
      <c r="BZ295" s="2" t="s">
        <v>230</v>
      </c>
      <c r="CA295" s="2" t="s">
        <v>1926</v>
      </c>
      <c r="CB295" s="2" t="s">
        <v>1513</v>
      </c>
      <c r="CC295" s="2" t="s">
        <v>245</v>
      </c>
      <c r="CD295" s="2" t="s">
        <v>233</v>
      </c>
      <c r="CE295" s="4">
        <v>192</v>
      </c>
      <c r="CF295" s="4"/>
      <c r="CG295" s="4"/>
      <c r="CH295" s="4">
        <v>46</v>
      </c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>
        <v>238</v>
      </c>
      <c r="GD295" s="4">
        <v>221</v>
      </c>
      <c r="GE295" s="4">
        <v>216</v>
      </c>
      <c r="GF295" s="4">
        <v>211</v>
      </c>
      <c r="GG295" s="4">
        <v>201</v>
      </c>
      <c r="GH295" s="4">
        <v>189</v>
      </c>
      <c r="GI295" s="4">
        <v>175</v>
      </c>
      <c r="GJ295" s="4">
        <v>167</v>
      </c>
      <c r="GK295" s="4">
        <v>161</v>
      </c>
      <c r="GL295" s="4">
        <v>158</v>
      </c>
      <c r="GM295" s="4">
        <v>155</v>
      </c>
      <c r="GN295" s="4">
        <v>152</v>
      </c>
      <c r="GO295" s="4">
        <v>149</v>
      </c>
      <c r="GP295" s="4">
        <v>146</v>
      </c>
      <c r="GQ295" s="4">
        <v>143</v>
      </c>
      <c r="GR295" s="4">
        <v>140</v>
      </c>
      <c r="GS295" s="4">
        <v>137</v>
      </c>
      <c r="GT295" s="4">
        <v>134</v>
      </c>
      <c r="GU295" s="4">
        <v>131</v>
      </c>
      <c r="GV295" s="4">
        <v>128</v>
      </c>
      <c r="GW295" s="4">
        <v>125</v>
      </c>
      <c r="GX295" s="4">
        <v>122</v>
      </c>
      <c r="GY295" s="4">
        <v>119</v>
      </c>
      <c r="GZ295" s="4">
        <v>116</v>
      </c>
      <c r="HA295" s="4">
        <v>113</v>
      </c>
      <c r="HB295" s="4">
        <v>110</v>
      </c>
      <c r="HC295" s="19">
        <v>26.4</v>
      </c>
      <c r="HD295" s="19">
        <v>27.6</v>
      </c>
      <c r="HE295" s="19">
        <v>21.6</v>
      </c>
      <c r="HF295" s="19">
        <v>19.2</v>
      </c>
      <c r="HG295" s="19">
        <v>20.1</v>
      </c>
      <c r="HH295" s="19">
        <v>23.6</v>
      </c>
      <c r="HI295" s="19">
        <v>35</v>
      </c>
      <c r="HJ295" s="19">
        <v>41.8</v>
      </c>
      <c r="HK295" s="19">
        <v>53.7</v>
      </c>
      <c r="HL295" s="19">
        <v>52.7</v>
      </c>
      <c r="HM295" s="19">
        <v>51.7</v>
      </c>
      <c r="HN295" s="19">
        <v>50.7</v>
      </c>
      <c r="HO295" s="19">
        <v>49.7</v>
      </c>
      <c r="HP295" s="19">
        <v>48.7</v>
      </c>
      <c r="HQ295" s="19">
        <v>47.7</v>
      </c>
      <c r="HR295" s="19">
        <v>46.7</v>
      </c>
      <c r="HS295" s="19">
        <v>45.7</v>
      </c>
      <c r="HT295" s="19">
        <v>44.7</v>
      </c>
      <c r="HU295" s="19">
        <v>43.7</v>
      </c>
      <c r="HV295" s="19">
        <v>42.7</v>
      </c>
      <c r="HW295" s="19">
        <v>41.7</v>
      </c>
      <c r="HX295" s="19">
        <v>40.7</v>
      </c>
      <c r="HY295" s="19">
        <v>39.7</v>
      </c>
      <c r="HZ295" s="19">
        <v>38.7</v>
      </c>
      <c r="IA295" s="19">
        <v>37.7</v>
      </c>
      <c r="IB295" s="19">
        <v>36.7</v>
      </c>
    </row>
    <row r="296">
      <c r="A296" s="2" t="s">
        <v>1927</v>
      </c>
      <c r="B296" s="2" t="s">
        <v>825</v>
      </c>
      <c r="C296" s="2" t="s">
        <v>1411</v>
      </c>
      <c r="D296" s="2" t="s">
        <v>774</v>
      </c>
      <c r="E296" s="2" t="s">
        <v>827</v>
      </c>
      <c r="F296" s="2" t="s">
        <v>1899</v>
      </c>
      <c r="G296" s="2" t="s">
        <v>1900</v>
      </c>
      <c r="H296" s="2" t="s">
        <v>1901</v>
      </c>
      <c r="I296" s="2" t="s">
        <v>1910</v>
      </c>
      <c r="J296" s="2" t="s">
        <v>275</v>
      </c>
      <c r="K296" s="2" t="s">
        <v>1777</v>
      </c>
      <c r="L296" s="3">
        <v>31.5</v>
      </c>
      <c r="M296" s="3">
        <v>33.08</v>
      </c>
      <c r="N296" s="3">
        <v>74.99</v>
      </c>
      <c r="O296" s="2" t="s">
        <v>230</v>
      </c>
      <c r="P296" s="2" t="s">
        <v>231</v>
      </c>
      <c r="Q296" s="2" t="s">
        <v>232</v>
      </c>
      <c r="R296" s="2" t="s">
        <v>233</v>
      </c>
      <c r="S296" s="2" t="s">
        <v>1925</v>
      </c>
      <c r="T296" s="2" t="s">
        <v>469</v>
      </c>
      <c r="U296" s="2" t="s">
        <v>287</v>
      </c>
      <c r="V296" s="2" t="s">
        <v>744</v>
      </c>
      <c r="W296" s="2" t="s">
        <v>620</v>
      </c>
      <c r="X296" s="2" t="s">
        <v>237</v>
      </c>
      <c r="Y296" s="2" t="s">
        <v>1504</v>
      </c>
      <c r="Z296" s="4">
        <v>218</v>
      </c>
      <c r="AA296" s="4">
        <f>=ROUNDDOWN(72.6666666666667,0)</f>
      </c>
      <c r="AB296" s="5">
        <v>3</v>
      </c>
      <c r="AC296" s="2" t="s">
        <v>233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233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233</v>
      </c>
      <c r="AW296" s="8" t="s">
        <v>233</v>
      </c>
      <c r="AX296" s="4" t="s">
        <v>233</v>
      </c>
      <c r="AY296" s="8" t="s">
        <v>233</v>
      </c>
      <c r="AZ296" s="7" t="s">
        <v>233</v>
      </c>
      <c r="BA296" s="7" t="s">
        <v>233</v>
      </c>
      <c r="BB296" s="7"/>
      <c r="BC296" s="4" t="s">
        <v>233</v>
      </c>
      <c r="BD296" s="8" t="s">
        <v>233</v>
      </c>
      <c r="BE296" s="4" t="s">
        <v>233</v>
      </c>
      <c r="BF296" s="8" t="s">
        <v>233</v>
      </c>
      <c r="BG296" s="7" t="s">
        <v>233</v>
      </c>
      <c r="BH296" s="7" t="s">
        <v>233</v>
      </c>
      <c r="BI296" s="7"/>
      <c r="BJ296" s="4">
        <v>10</v>
      </c>
      <c r="BK296" s="8">
        <v>356.88</v>
      </c>
      <c r="BL296" s="2" t="s">
        <v>567</v>
      </c>
      <c r="BM296" s="7"/>
      <c r="BN296" s="7"/>
      <c r="BO296" s="4"/>
      <c r="BP296" s="8"/>
      <c r="BQ296" s="4"/>
      <c r="BR296" s="8"/>
      <c r="BS296" s="7"/>
      <c r="BT296" s="7"/>
      <c r="BU296" s="2" t="s">
        <v>1911</v>
      </c>
      <c r="BV296" s="2" t="s">
        <v>233</v>
      </c>
      <c r="BW296" s="2" t="s">
        <v>233</v>
      </c>
      <c r="BX296" s="2" t="s">
        <v>293</v>
      </c>
      <c r="BY296" s="2" t="s">
        <v>242</v>
      </c>
      <c r="BZ296" s="2" t="s">
        <v>230</v>
      </c>
      <c r="CA296" s="2" t="s">
        <v>1926</v>
      </c>
      <c r="CB296" s="2" t="s">
        <v>1928</v>
      </c>
      <c r="CC296" s="2" t="s">
        <v>245</v>
      </c>
      <c r="CD296" s="2" t="s">
        <v>233</v>
      </c>
      <c r="CE296" s="4">
        <v>175</v>
      </c>
      <c r="CF296" s="4"/>
      <c r="CG296" s="4"/>
      <c r="CH296" s="4">
        <v>43</v>
      </c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>
        <v>218</v>
      </c>
      <c r="GD296" s="4">
        <v>202</v>
      </c>
      <c r="GE296" s="4">
        <v>197</v>
      </c>
      <c r="GF296" s="4">
        <v>192</v>
      </c>
      <c r="GG296" s="4">
        <v>182</v>
      </c>
      <c r="GH296" s="4">
        <v>175</v>
      </c>
      <c r="GI296" s="4">
        <v>167</v>
      </c>
      <c r="GJ296" s="4">
        <v>162</v>
      </c>
      <c r="GK296" s="4">
        <v>158</v>
      </c>
      <c r="GL296" s="4">
        <v>155</v>
      </c>
      <c r="GM296" s="4">
        <v>152</v>
      </c>
      <c r="GN296" s="4">
        <v>149</v>
      </c>
      <c r="GO296" s="4">
        <v>146</v>
      </c>
      <c r="GP296" s="4">
        <v>143</v>
      </c>
      <c r="GQ296" s="4">
        <v>140</v>
      </c>
      <c r="GR296" s="4">
        <v>137</v>
      </c>
      <c r="GS296" s="4">
        <v>134</v>
      </c>
      <c r="GT296" s="4">
        <v>131</v>
      </c>
      <c r="GU296" s="4">
        <v>128</v>
      </c>
      <c r="GV296" s="4">
        <v>125</v>
      </c>
      <c r="GW296" s="4">
        <v>122</v>
      </c>
      <c r="GX296" s="4">
        <v>119</v>
      </c>
      <c r="GY296" s="4">
        <v>116</v>
      </c>
      <c r="GZ296" s="4">
        <v>113</v>
      </c>
      <c r="HA296" s="4">
        <v>110</v>
      </c>
      <c r="HB296" s="4">
        <v>107</v>
      </c>
      <c r="HC296" s="19">
        <v>24.2</v>
      </c>
      <c r="HD296" s="19">
        <v>28.9</v>
      </c>
      <c r="HE296" s="19">
        <v>24.6</v>
      </c>
      <c r="HF296" s="19">
        <v>24</v>
      </c>
      <c r="HG296" s="19">
        <v>30.3</v>
      </c>
      <c r="HH296" s="19">
        <v>35</v>
      </c>
      <c r="HI296" s="19">
        <v>41.8</v>
      </c>
      <c r="HJ296" s="19">
        <v>54</v>
      </c>
      <c r="HK296" s="19">
        <v>52.7</v>
      </c>
      <c r="HL296" s="19">
        <v>51.7</v>
      </c>
      <c r="HM296" s="19">
        <v>50.7</v>
      </c>
      <c r="HN296" s="19">
        <v>49.7</v>
      </c>
      <c r="HO296" s="19">
        <v>48.7</v>
      </c>
      <c r="HP296" s="19">
        <v>47.7</v>
      </c>
      <c r="HQ296" s="19">
        <v>46.7</v>
      </c>
      <c r="HR296" s="19">
        <v>45.7</v>
      </c>
      <c r="HS296" s="19">
        <v>44.7</v>
      </c>
      <c r="HT296" s="19">
        <v>43.7</v>
      </c>
      <c r="HU296" s="19">
        <v>42.7</v>
      </c>
      <c r="HV296" s="19">
        <v>41.7</v>
      </c>
      <c r="HW296" s="19">
        <v>40.7</v>
      </c>
      <c r="HX296" s="19">
        <v>39.7</v>
      </c>
      <c r="HY296" s="19">
        <v>38.7</v>
      </c>
      <c r="HZ296" s="19">
        <v>37.7</v>
      </c>
      <c r="IA296" s="19">
        <v>36.7</v>
      </c>
      <c r="IB296" s="19">
        <v>35.7</v>
      </c>
    </row>
    <row r="297">
      <c r="A297" s="2" t="s">
        <v>1929</v>
      </c>
      <c r="B297" s="2" t="s">
        <v>938</v>
      </c>
      <c r="C297" s="2" t="s">
        <v>280</v>
      </c>
      <c r="D297" s="2" t="s">
        <v>972</v>
      </c>
      <c r="E297" s="2" t="s">
        <v>1930</v>
      </c>
      <c r="F297" s="2" t="s">
        <v>1931</v>
      </c>
      <c r="G297" s="2" t="s">
        <v>1932</v>
      </c>
      <c r="H297" s="2" t="s">
        <v>1933</v>
      </c>
      <c r="I297" s="2" t="s">
        <v>1934</v>
      </c>
      <c r="J297" s="2" t="s">
        <v>1935</v>
      </c>
      <c r="K297" s="2" t="s">
        <v>434</v>
      </c>
      <c r="L297" s="3">
        <v>23.77</v>
      </c>
      <c r="M297" s="3">
        <v>24.96</v>
      </c>
      <c r="N297" s="3">
        <v>54.99</v>
      </c>
      <c r="O297" s="2" t="s">
        <v>230</v>
      </c>
      <c r="P297" s="2" t="s">
        <v>231</v>
      </c>
      <c r="Q297" s="2" t="s">
        <v>232</v>
      </c>
      <c r="R297" s="2" t="s">
        <v>233</v>
      </c>
      <c r="S297" s="2" t="s">
        <v>1936</v>
      </c>
      <c r="T297" s="2" t="s">
        <v>233</v>
      </c>
      <c r="U297" s="2" t="s">
        <v>711</v>
      </c>
      <c r="V297" s="2" t="s">
        <v>361</v>
      </c>
      <c r="W297" s="2" t="s">
        <v>620</v>
      </c>
      <c r="X297" s="2" t="s">
        <v>1221</v>
      </c>
      <c r="Y297" s="2" t="s">
        <v>1937</v>
      </c>
      <c r="Z297" s="4">
        <v>422</v>
      </c>
      <c r="AA297" s="4">
        <f>=ROUNDDOWN(30.1428571428571,0)</f>
      </c>
      <c r="AB297" s="5">
        <v>14</v>
      </c>
      <c r="AC297" s="2" t="s">
        <v>233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233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>
        <v>40</v>
      </c>
      <c r="BK297" s="8">
        <v>1151.78</v>
      </c>
      <c r="BL297" s="2" t="s">
        <v>1938</v>
      </c>
      <c r="BM297" s="7"/>
      <c r="BN297" s="7"/>
      <c r="BO297" s="4"/>
      <c r="BP297" s="8"/>
      <c r="BQ297" s="4"/>
      <c r="BR297" s="8"/>
      <c r="BS297" s="7"/>
      <c r="BT297" s="7"/>
      <c r="BU297" s="2" t="s">
        <v>1939</v>
      </c>
      <c r="BV297" s="2" t="s">
        <v>233</v>
      </c>
      <c r="BW297" s="2" t="s">
        <v>233</v>
      </c>
      <c r="BX297" s="2" t="s">
        <v>624</v>
      </c>
      <c r="BY297" s="2" t="s">
        <v>242</v>
      </c>
      <c r="BZ297" s="2" t="s">
        <v>230</v>
      </c>
      <c r="CA297" s="2" t="s">
        <v>1937</v>
      </c>
      <c r="CB297" s="2" t="s">
        <v>1940</v>
      </c>
      <c r="CC297" s="2" t="s">
        <v>245</v>
      </c>
      <c r="CD297" s="2" t="s">
        <v>233</v>
      </c>
      <c r="CE297" s="4">
        <v>422</v>
      </c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>
        <v>445</v>
      </c>
      <c r="GD297" s="4">
        <v>423</v>
      </c>
      <c r="GE297" s="4">
        <v>409</v>
      </c>
      <c r="GF297" s="4">
        <v>396</v>
      </c>
      <c r="GG297" s="4">
        <v>380</v>
      </c>
      <c r="GH297" s="4">
        <v>368</v>
      </c>
      <c r="GI297" s="4">
        <v>353</v>
      </c>
      <c r="GJ297" s="4">
        <v>344</v>
      </c>
      <c r="GK297" s="4">
        <v>333</v>
      </c>
      <c r="GL297" s="4">
        <v>324</v>
      </c>
      <c r="GM297" s="4">
        <v>315</v>
      </c>
      <c r="GN297" s="4">
        <v>306</v>
      </c>
      <c r="GO297" s="4">
        <v>292</v>
      </c>
      <c r="GP297" s="4">
        <v>278</v>
      </c>
      <c r="GQ297" s="4">
        <v>264</v>
      </c>
      <c r="GR297" s="4">
        <v>250</v>
      </c>
      <c r="GS297" s="4">
        <v>236</v>
      </c>
      <c r="GT297" s="4">
        <v>220</v>
      </c>
      <c r="GU297" s="4">
        <v>206</v>
      </c>
      <c r="GV297" s="4">
        <v>192</v>
      </c>
      <c r="GW297" s="4">
        <v>178</v>
      </c>
      <c r="GX297" s="4">
        <v>164</v>
      </c>
      <c r="GY297" s="4">
        <v>150</v>
      </c>
      <c r="GZ297" s="4">
        <v>184</v>
      </c>
      <c r="HA297" s="4">
        <v>169</v>
      </c>
      <c r="HB297" s="4">
        <v>155</v>
      </c>
      <c r="HC297" s="19">
        <v>27.8</v>
      </c>
      <c r="HD297" s="19">
        <v>30.2</v>
      </c>
      <c r="HE297" s="19">
        <v>29.2</v>
      </c>
      <c r="HF297" s="19">
        <v>30.5</v>
      </c>
      <c r="HG297" s="19">
        <v>31.7</v>
      </c>
      <c r="HH297" s="19">
        <v>33.5</v>
      </c>
      <c r="HI297" s="19">
        <v>35.3</v>
      </c>
      <c r="HJ297" s="19">
        <v>34.4</v>
      </c>
      <c r="HK297" s="19">
        <v>33.3</v>
      </c>
      <c r="HL297" s="19">
        <v>27</v>
      </c>
      <c r="HM297" s="19">
        <v>24.2</v>
      </c>
      <c r="HN297" s="19">
        <v>21.9</v>
      </c>
      <c r="HO297" s="19">
        <v>20.9</v>
      </c>
      <c r="HP297" s="19">
        <v>19.9</v>
      </c>
      <c r="HQ297" s="19">
        <v>18.9</v>
      </c>
      <c r="HR297" s="19">
        <v>17.9</v>
      </c>
      <c r="HS297" s="19">
        <v>16.9</v>
      </c>
      <c r="HT297" s="19">
        <v>15.7</v>
      </c>
      <c r="HU297" s="19">
        <v>14.7</v>
      </c>
      <c r="HV297" s="19">
        <v>13.7</v>
      </c>
      <c r="HW297" s="19">
        <v>12.7</v>
      </c>
      <c r="HX297" s="19">
        <v>11.7</v>
      </c>
      <c r="HY297" s="19">
        <v>10.7</v>
      </c>
      <c r="HZ297" s="19">
        <v>13.1</v>
      </c>
      <c r="IA297" s="19">
        <v>12.1</v>
      </c>
      <c r="IB297" s="19">
        <v>11.1</v>
      </c>
    </row>
    <row r="298">
      <c r="A298" s="2" t="s">
        <v>1941</v>
      </c>
      <c r="B298" s="2" t="s">
        <v>872</v>
      </c>
      <c r="C298" s="2" t="s">
        <v>280</v>
      </c>
      <c r="D298" s="2" t="s">
        <v>261</v>
      </c>
      <c r="E298" s="2" t="s">
        <v>603</v>
      </c>
      <c r="F298" s="2" t="s">
        <v>1942</v>
      </c>
      <c r="G298" s="2" t="s">
        <v>1943</v>
      </c>
      <c r="H298" s="2" t="s">
        <v>1944</v>
      </c>
      <c r="I298" s="2" t="s">
        <v>1945</v>
      </c>
      <c r="J298" s="2" t="s">
        <v>336</v>
      </c>
      <c r="K298" s="2" t="s">
        <v>266</v>
      </c>
      <c r="L298" s="3">
        <v>58.8</v>
      </c>
      <c r="M298" s="3">
        <v>61.73</v>
      </c>
      <c r="N298" s="3">
        <v>119.99</v>
      </c>
      <c r="O298" s="2" t="s">
        <v>230</v>
      </c>
      <c r="P298" s="2" t="s">
        <v>597</v>
      </c>
      <c r="Q298" s="2" t="s">
        <v>232</v>
      </c>
      <c r="R298" s="2" t="s">
        <v>233</v>
      </c>
      <c r="S298" s="2" t="s">
        <v>1946</v>
      </c>
      <c r="T298" s="2" t="s">
        <v>233</v>
      </c>
      <c r="U298" s="2" t="s">
        <v>608</v>
      </c>
      <c r="V298" s="2" t="s">
        <v>236</v>
      </c>
      <c r="W298" s="2" t="s">
        <v>1631</v>
      </c>
      <c r="X298" s="2" t="s">
        <v>1947</v>
      </c>
      <c r="Y298" s="2" t="s">
        <v>238</v>
      </c>
      <c r="Z298" s="4">
        <v>349</v>
      </c>
      <c r="AA298" s="4">
        <f>=ROUNDDOWN(8.30952380952381,0)</f>
      </c>
      <c r="AB298" s="5">
        <v>42</v>
      </c>
      <c r="AC298" s="2" t="s">
        <v>622</v>
      </c>
      <c r="AD298" s="4">
        <v>1374</v>
      </c>
      <c r="AE298" s="4">
        <v>2352</v>
      </c>
      <c r="AF298" s="6">
        <v>65</v>
      </c>
      <c r="AG298" s="6">
        <v>48</v>
      </c>
      <c r="AH298" s="7">
        <v>1</v>
      </c>
      <c r="AI298" s="4"/>
      <c r="AJ298" s="4">
        <f>=ROUNDDOWN({0},0)</f>
      </c>
      <c r="AK298" s="5"/>
      <c r="AL298" s="2" t="s">
        <v>233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233</v>
      </c>
      <c r="AW298" s="8" t="s">
        <v>233</v>
      </c>
      <c r="AX298" s="4" t="s">
        <v>233</v>
      </c>
      <c r="AY298" s="8" t="s">
        <v>233</v>
      </c>
      <c r="AZ298" s="7" t="s">
        <v>233</v>
      </c>
      <c r="BA298" s="7" t="s">
        <v>233</v>
      </c>
      <c r="BB298" s="7"/>
      <c r="BC298" s="4" t="s">
        <v>233</v>
      </c>
      <c r="BD298" s="8" t="s">
        <v>233</v>
      </c>
      <c r="BE298" s="4" t="s">
        <v>233</v>
      </c>
      <c r="BF298" s="8" t="s">
        <v>233</v>
      </c>
      <c r="BG298" s="7" t="s">
        <v>233</v>
      </c>
      <c r="BH298" s="7" t="s">
        <v>233</v>
      </c>
      <c r="BI298" s="7"/>
      <c r="BJ298" s="4">
        <v>70</v>
      </c>
      <c r="BK298" s="8">
        <v>4077.85</v>
      </c>
      <c r="BL298" s="2" t="s">
        <v>1948</v>
      </c>
      <c r="BM298" s="7"/>
      <c r="BN298" s="7"/>
      <c r="BO298" s="4"/>
      <c r="BP298" s="8"/>
      <c r="BQ298" s="4"/>
      <c r="BR298" s="8"/>
      <c r="BS298" s="7"/>
      <c r="BT298" s="7"/>
      <c r="BU298" s="2" t="s">
        <v>1949</v>
      </c>
      <c r="BV298" s="2" t="s">
        <v>233</v>
      </c>
      <c r="BW298" s="2" t="s">
        <v>233</v>
      </c>
      <c r="BX298" s="2" t="s">
        <v>241</v>
      </c>
      <c r="BY298" s="2" t="s">
        <v>242</v>
      </c>
      <c r="BZ298" s="2" t="s">
        <v>230</v>
      </c>
      <c r="CA298" s="2" t="s">
        <v>243</v>
      </c>
      <c r="CB298" s="2" t="s">
        <v>1950</v>
      </c>
      <c r="CC298" s="2" t="s">
        <v>245</v>
      </c>
      <c r="CD298" s="2" t="s">
        <v>233</v>
      </c>
      <c r="CE298" s="4">
        <v>271</v>
      </c>
      <c r="CF298" s="4">
        <v>3</v>
      </c>
      <c r="CG298" s="4"/>
      <c r="CH298" s="4">
        <v>75</v>
      </c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>
        <v>1374</v>
      </c>
      <c r="CY298" s="4"/>
      <c r="CZ298" s="4"/>
      <c r="DA298" s="4"/>
      <c r="DB298" s="4">
        <v>620</v>
      </c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>
        <v>358</v>
      </c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>
        <v>132</v>
      </c>
      <c r="GD298" s="4">
        <v>264</v>
      </c>
      <c r="GE298" s="4">
        <v>815</v>
      </c>
      <c r="GF298" s="4">
        <v>744</v>
      </c>
      <c r="GG298" s="4">
        <v>608</v>
      </c>
      <c r="GH298" s="4">
        <v>539</v>
      </c>
      <c r="GI298" s="4">
        <v>835</v>
      </c>
      <c r="GJ298" s="4">
        <v>796</v>
      </c>
      <c r="GK298" s="4">
        <v>765</v>
      </c>
      <c r="GL298" s="4">
        <v>720</v>
      </c>
      <c r="GM298" s="4">
        <v>677</v>
      </c>
      <c r="GN298" s="4">
        <v>635</v>
      </c>
      <c r="GO298" s="4">
        <v>593</v>
      </c>
      <c r="GP298" s="4">
        <v>551</v>
      </c>
      <c r="GQ298" s="4">
        <v>509</v>
      </c>
      <c r="GR298" s="4">
        <v>467</v>
      </c>
      <c r="GS298" s="4">
        <v>425</v>
      </c>
      <c r="GT298" s="4">
        <v>384</v>
      </c>
      <c r="GU298" s="4">
        <v>346</v>
      </c>
      <c r="GV298" s="4">
        <v>308</v>
      </c>
      <c r="GW298" s="4">
        <v>270</v>
      </c>
      <c r="GX298" s="4">
        <v>232</v>
      </c>
      <c r="GY298" s="4">
        <v>194</v>
      </c>
      <c r="GZ298" s="4">
        <v>721</v>
      </c>
      <c r="HA298" s="4">
        <v>678</v>
      </c>
      <c r="HB298" s="4">
        <v>636</v>
      </c>
      <c r="HC298" s="19">
        <v>2.2</v>
      </c>
      <c r="HD298" s="19">
        <v>2.5</v>
      </c>
      <c r="HE298" s="19">
        <v>9.6</v>
      </c>
      <c r="HF298" s="19">
        <v>9</v>
      </c>
      <c r="HG298" s="19">
        <v>8.7</v>
      </c>
      <c r="HH298" s="19">
        <v>14.2</v>
      </c>
      <c r="HI298" s="19">
        <v>52.8</v>
      </c>
      <c r="HJ298" s="19">
        <v>51.7</v>
      </c>
      <c r="HK298" s="19">
        <v>50.7</v>
      </c>
      <c r="HL298" s="19">
        <v>49.8</v>
      </c>
      <c r="HM298" s="19">
        <v>48.8</v>
      </c>
      <c r="HN298" s="19">
        <v>47.8</v>
      </c>
      <c r="HO298" s="19">
        <v>39.4</v>
      </c>
      <c r="HP298" s="19">
        <v>16.7</v>
      </c>
      <c r="HQ298" s="19">
        <v>11.3</v>
      </c>
      <c r="HR298" s="19">
        <v>8.4</v>
      </c>
      <c r="HS298" s="19">
        <v>5.5</v>
      </c>
      <c r="HT298" s="19">
        <v>5.1</v>
      </c>
      <c r="HU298" s="19">
        <v>4.6</v>
      </c>
      <c r="HV298" s="19">
        <v>4.1</v>
      </c>
      <c r="HW298" s="19">
        <v>4.5</v>
      </c>
      <c r="HX298" s="19">
        <v>5.3</v>
      </c>
      <c r="HY298" s="19">
        <v>7.5</v>
      </c>
      <c r="HZ298" s="19">
        <v>23.3</v>
      </c>
      <c r="IA298" s="19">
        <v>22.2</v>
      </c>
      <c r="IB298" s="19">
        <v>21.2</v>
      </c>
    </row>
    <row r="299">
      <c r="A299" s="2" t="s">
        <v>1951</v>
      </c>
      <c r="B299" s="2" t="s">
        <v>872</v>
      </c>
      <c r="C299" s="2" t="s">
        <v>280</v>
      </c>
      <c r="D299" s="2" t="s">
        <v>884</v>
      </c>
      <c r="E299" s="2" t="s">
        <v>1753</v>
      </c>
      <c r="F299" s="2" t="s">
        <v>1942</v>
      </c>
      <c r="G299" s="2" t="s">
        <v>1943</v>
      </c>
      <c r="H299" s="2" t="s">
        <v>1944</v>
      </c>
      <c r="I299" s="2" t="s">
        <v>1952</v>
      </c>
      <c r="J299" s="2" t="s">
        <v>275</v>
      </c>
      <c r="K299" s="2" t="s">
        <v>266</v>
      </c>
      <c r="L299" s="3">
        <v>57.6</v>
      </c>
      <c r="M299" s="3">
        <v>60.47</v>
      </c>
      <c r="N299" s="3">
        <v>119.99</v>
      </c>
      <c r="O299" s="2" t="s">
        <v>230</v>
      </c>
      <c r="P299" s="2" t="s">
        <v>597</v>
      </c>
      <c r="Q299" s="2" t="s">
        <v>232</v>
      </c>
      <c r="R299" s="2" t="s">
        <v>233</v>
      </c>
      <c r="S299" s="2" t="s">
        <v>1946</v>
      </c>
      <c r="T299" s="2" t="s">
        <v>233</v>
      </c>
      <c r="U299" s="2" t="s">
        <v>287</v>
      </c>
      <c r="V299" s="2" t="s">
        <v>236</v>
      </c>
      <c r="W299" s="2" t="s">
        <v>1631</v>
      </c>
      <c r="X299" s="2" t="s">
        <v>1947</v>
      </c>
      <c r="Y299" s="2" t="s">
        <v>238</v>
      </c>
      <c r="Z299" s="4">
        <v>372</v>
      </c>
      <c r="AA299" s="4">
        <f>=ROUNDDOWN(31,0)</f>
      </c>
      <c r="AB299" s="5">
        <v>12</v>
      </c>
      <c r="AC299" s="2" t="s">
        <v>622</v>
      </c>
      <c r="AD299" s="4">
        <v>540</v>
      </c>
      <c r="AE299" s="4">
        <v>870</v>
      </c>
      <c r="AF299" s="6">
        <v>65</v>
      </c>
      <c r="AG299" s="6">
        <v>48</v>
      </c>
      <c r="AH299" s="7">
        <v>1</v>
      </c>
      <c r="AI299" s="4"/>
      <c r="AJ299" s="4">
        <f>=ROUNDDOWN({0},0)</f>
      </c>
      <c r="AK299" s="5"/>
      <c r="AL299" s="2" t="s">
        <v>233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233</v>
      </c>
      <c r="AW299" s="8" t="s">
        <v>233</v>
      </c>
      <c r="AX299" s="4" t="s">
        <v>233</v>
      </c>
      <c r="AY299" s="8" t="s">
        <v>233</v>
      </c>
      <c r="AZ299" s="7" t="s">
        <v>233</v>
      </c>
      <c r="BA299" s="7" t="s">
        <v>233</v>
      </c>
      <c r="BB299" s="7" t="s">
        <v>233</v>
      </c>
      <c r="BC299" s="4" t="s">
        <v>233</v>
      </c>
      <c r="BD299" s="8" t="s">
        <v>233</v>
      </c>
      <c r="BE299" s="4" t="s">
        <v>233</v>
      </c>
      <c r="BF299" s="8" t="s">
        <v>233</v>
      </c>
      <c r="BG299" s="7" t="s">
        <v>233</v>
      </c>
      <c r="BH299" s="7" t="s">
        <v>233</v>
      </c>
      <c r="BI299" s="7"/>
      <c r="BJ299" s="4">
        <v>43</v>
      </c>
      <c r="BK299" s="8">
        <v>2704.61</v>
      </c>
      <c r="BL299" s="2" t="s">
        <v>1953</v>
      </c>
      <c r="BM299" s="7"/>
      <c r="BN299" s="7"/>
      <c r="BO299" s="4"/>
      <c r="BP299" s="8"/>
      <c r="BQ299" s="4"/>
      <c r="BR299" s="8"/>
      <c r="BS299" s="7"/>
      <c r="BT299" s="7"/>
      <c r="BU299" s="2" t="s">
        <v>1954</v>
      </c>
      <c r="BV299" s="2" t="s">
        <v>233</v>
      </c>
      <c r="BW299" s="2" t="s">
        <v>233</v>
      </c>
      <c r="BX299" s="2" t="s">
        <v>241</v>
      </c>
      <c r="BY299" s="2" t="s">
        <v>242</v>
      </c>
      <c r="BZ299" s="2" t="s">
        <v>230</v>
      </c>
      <c r="CA299" s="2" t="s">
        <v>243</v>
      </c>
      <c r="CB299" s="2" t="s">
        <v>553</v>
      </c>
      <c r="CC299" s="2" t="s">
        <v>245</v>
      </c>
      <c r="CD299" s="2" t="s">
        <v>233</v>
      </c>
      <c r="CE299" s="4">
        <v>279</v>
      </c>
      <c r="CF299" s="4"/>
      <c r="CG299" s="4"/>
      <c r="CH299" s="4">
        <v>93</v>
      </c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>
        <v>540</v>
      </c>
      <c r="CY299" s="4"/>
      <c r="CZ299" s="4"/>
      <c r="DA299" s="4"/>
      <c r="DB299" s="4">
        <v>280</v>
      </c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>
        <v>50</v>
      </c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>
        <v>289</v>
      </c>
      <c r="GD299" s="4">
        <v>358</v>
      </c>
      <c r="GE299" s="4">
        <v>625</v>
      </c>
      <c r="GF299" s="4">
        <v>612</v>
      </c>
      <c r="GG299" s="4">
        <v>591</v>
      </c>
      <c r="GH299" s="4">
        <v>574</v>
      </c>
      <c r="GI299" s="4">
        <v>609</v>
      </c>
      <c r="GJ299" s="4">
        <v>598</v>
      </c>
      <c r="GK299" s="4">
        <v>589</v>
      </c>
      <c r="GL299" s="4">
        <v>576</v>
      </c>
      <c r="GM299" s="4">
        <v>564</v>
      </c>
      <c r="GN299" s="4">
        <v>552</v>
      </c>
      <c r="GO299" s="4">
        <v>540</v>
      </c>
      <c r="GP299" s="4">
        <v>528</v>
      </c>
      <c r="GQ299" s="4">
        <v>516</v>
      </c>
      <c r="GR299" s="4">
        <v>504</v>
      </c>
      <c r="GS299" s="4">
        <v>492</v>
      </c>
      <c r="GT299" s="4">
        <v>479</v>
      </c>
      <c r="GU299" s="4">
        <v>467</v>
      </c>
      <c r="GV299" s="4">
        <v>455</v>
      </c>
      <c r="GW299" s="4">
        <v>443</v>
      </c>
      <c r="GX299" s="4">
        <v>431</v>
      </c>
      <c r="GY299" s="4">
        <v>419</v>
      </c>
      <c r="GZ299" s="4">
        <v>436</v>
      </c>
      <c r="HA299" s="4">
        <v>424</v>
      </c>
      <c r="HB299" s="4">
        <v>412</v>
      </c>
      <c r="HC299" s="19">
        <v>19.3</v>
      </c>
      <c r="HD299" s="19">
        <v>22.4</v>
      </c>
      <c r="HE299" s="19">
        <v>56.7</v>
      </c>
      <c r="HF299" s="19">
        <v>55.9</v>
      </c>
      <c r="HG299" s="19">
        <v>71.5</v>
      </c>
      <c r="HH299" s="19">
        <v>71.3</v>
      </c>
      <c r="HI299" s="19">
        <v>74.7</v>
      </c>
      <c r="HJ299" s="19">
        <v>71.9</v>
      </c>
      <c r="HK299" s="19">
        <v>71.2</v>
      </c>
      <c r="HL299" s="19">
        <v>70.1</v>
      </c>
      <c r="HM299" s="19">
        <v>69.1</v>
      </c>
      <c r="HN299" s="19">
        <v>68.1</v>
      </c>
      <c r="HO299" s="19">
        <v>67.1</v>
      </c>
      <c r="HP299" s="19">
        <v>66.1</v>
      </c>
      <c r="HQ299" s="19">
        <v>65.1</v>
      </c>
      <c r="HR299" s="19">
        <v>64.1</v>
      </c>
      <c r="HS299" s="19">
        <v>63.1</v>
      </c>
      <c r="HT299" s="19">
        <v>62.1</v>
      </c>
      <c r="HU299" s="19">
        <v>61.1</v>
      </c>
      <c r="HV299" s="19">
        <v>60.1</v>
      </c>
      <c r="HW299" s="19">
        <v>59.1</v>
      </c>
      <c r="HX299" s="19">
        <v>58.1</v>
      </c>
      <c r="HY299" s="19">
        <v>57.1</v>
      </c>
      <c r="HZ299" s="19">
        <v>57.7</v>
      </c>
      <c r="IA299" s="19">
        <v>56.7</v>
      </c>
      <c r="IB299" s="19">
        <v>55.7</v>
      </c>
    </row>
    <row r="300">
      <c r="A300" s="2" t="s">
        <v>1955</v>
      </c>
      <c r="B300" s="2" t="s">
        <v>872</v>
      </c>
      <c r="C300" s="2" t="s">
        <v>280</v>
      </c>
      <c r="D300" s="2" t="s">
        <v>774</v>
      </c>
      <c r="E300" s="2" t="s">
        <v>827</v>
      </c>
      <c r="F300" s="2" t="s">
        <v>1942</v>
      </c>
      <c r="G300" s="2" t="s">
        <v>1943</v>
      </c>
      <c r="H300" s="2" t="s">
        <v>1944</v>
      </c>
      <c r="I300" s="2" t="s">
        <v>1956</v>
      </c>
      <c r="J300" s="2" t="s">
        <v>275</v>
      </c>
      <c r="K300" s="2" t="s">
        <v>266</v>
      </c>
      <c r="L300" s="3">
        <v>53.9</v>
      </c>
      <c r="M300" s="3">
        <v>56.59</v>
      </c>
      <c r="N300" s="3">
        <v>109.99</v>
      </c>
      <c r="O300" s="2" t="s">
        <v>230</v>
      </c>
      <c r="P300" s="2" t="s">
        <v>597</v>
      </c>
      <c r="Q300" s="2" t="s">
        <v>232</v>
      </c>
      <c r="R300" s="2" t="s">
        <v>233</v>
      </c>
      <c r="S300" s="2" t="s">
        <v>1946</v>
      </c>
      <c r="T300" s="2" t="s">
        <v>233</v>
      </c>
      <c r="U300" s="2" t="s">
        <v>287</v>
      </c>
      <c r="V300" s="2" t="s">
        <v>236</v>
      </c>
      <c r="W300" s="2" t="s">
        <v>1631</v>
      </c>
      <c r="X300" s="2" t="s">
        <v>1947</v>
      </c>
      <c r="Y300" s="2" t="s">
        <v>238</v>
      </c>
      <c r="Z300" s="4">
        <v>214</v>
      </c>
      <c r="AA300" s="4">
        <f>=ROUNDDOWN(30.5714285714286,0)</f>
      </c>
      <c r="AB300" s="5">
        <v>7</v>
      </c>
      <c r="AC300" s="2" t="s">
        <v>622</v>
      </c>
      <c r="AD300" s="4">
        <v>480</v>
      </c>
      <c r="AE300" s="4">
        <v>560</v>
      </c>
      <c r="AF300" s="6">
        <v>65</v>
      </c>
      <c r="AG300" s="6">
        <v>48</v>
      </c>
      <c r="AH300" s="7">
        <v>1</v>
      </c>
      <c r="AI300" s="4"/>
      <c r="AJ300" s="4">
        <f>=ROUNDDOWN({0},0)</f>
      </c>
      <c r="AK300" s="5"/>
      <c r="AL300" s="2" t="s">
        <v>233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233</v>
      </c>
      <c r="AW300" s="8" t="s">
        <v>233</v>
      </c>
      <c r="AX300" s="4" t="s">
        <v>233</v>
      </c>
      <c r="AY300" s="8" t="s">
        <v>233</v>
      </c>
      <c r="AZ300" s="7" t="s">
        <v>233</v>
      </c>
      <c r="BA300" s="7" t="s">
        <v>233</v>
      </c>
      <c r="BB300" s="7" t="s">
        <v>233</v>
      </c>
      <c r="BC300" s="4" t="s">
        <v>233</v>
      </c>
      <c r="BD300" s="8" t="s">
        <v>233</v>
      </c>
      <c r="BE300" s="4" t="s">
        <v>233</v>
      </c>
      <c r="BF300" s="8" t="s">
        <v>233</v>
      </c>
      <c r="BG300" s="7" t="s">
        <v>233</v>
      </c>
      <c r="BH300" s="7" t="s">
        <v>233</v>
      </c>
      <c r="BI300" s="7"/>
      <c r="BJ300" s="4">
        <v>26</v>
      </c>
      <c r="BK300" s="8">
        <v>1425.28</v>
      </c>
      <c r="BL300" s="2" t="s">
        <v>674</v>
      </c>
      <c r="BM300" s="7"/>
      <c r="BN300" s="7"/>
      <c r="BO300" s="4"/>
      <c r="BP300" s="8"/>
      <c r="BQ300" s="4"/>
      <c r="BR300" s="8"/>
      <c r="BS300" s="7"/>
      <c r="BT300" s="7"/>
      <c r="BU300" s="2" t="s">
        <v>1957</v>
      </c>
      <c r="BV300" s="2" t="s">
        <v>233</v>
      </c>
      <c r="BW300" s="2" t="s">
        <v>233</v>
      </c>
      <c r="BX300" s="2" t="s">
        <v>241</v>
      </c>
      <c r="BY300" s="2" t="s">
        <v>242</v>
      </c>
      <c r="BZ300" s="2" t="s">
        <v>230</v>
      </c>
      <c r="CA300" s="2" t="s">
        <v>243</v>
      </c>
      <c r="CB300" s="2" t="s">
        <v>1106</v>
      </c>
      <c r="CC300" s="2" t="s">
        <v>245</v>
      </c>
      <c r="CD300" s="2" t="s">
        <v>233</v>
      </c>
      <c r="CE300" s="4">
        <v>176</v>
      </c>
      <c r="CF300" s="4"/>
      <c r="CG300" s="4"/>
      <c r="CH300" s="4">
        <v>38</v>
      </c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>
        <v>480</v>
      </c>
      <c r="CY300" s="4"/>
      <c r="CZ300" s="4"/>
      <c r="DA300" s="4"/>
      <c r="DB300" s="4">
        <v>30</v>
      </c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>
        <v>50</v>
      </c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>
        <v>135</v>
      </c>
      <c r="GD300" s="4">
        <v>207</v>
      </c>
      <c r="GE300" s="4">
        <v>227</v>
      </c>
      <c r="GF300" s="4">
        <v>216</v>
      </c>
      <c r="GG300" s="4">
        <v>195</v>
      </c>
      <c r="GH300" s="4">
        <v>183</v>
      </c>
      <c r="GI300" s="4">
        <v>222</v>
      </c>
      <c r="GJ300" s="4">
        <v>215</v>
      </c>
      <c r="GK300" s="4">
        <v>210</v>
      </c>
      <c r="GL300" s="4">
        <v>202</v>
      </c>
      <c r="GM300" s="4">
        <v>195</v>
      </c>
      <c r="GN300" s="4">
        <v>188</v>
      </c>
      <c r="GO300" s="4">
        <v>181</v>
      </c>
      <c r="GP300" s="4">
        <v>174</v>
      </c>
      <c r="GQ300" s="4">
        <v>167</v>
      </c>
      <c r="GR300" s="4">
        <v>160</v>
      </c>
      <c r="GS300" s="4">
        <v>153</v>
      </c>
      <c r="GT300" s="4">
        <v>145</v>
      </c>
      <c r="GU300" s="4">
        <v>138</v>
      </c>
      <c r="GV300" s="4">
        <v>131</v>
      </c>
      <c r="GW300" s="4">
        <v>124</v>
      </c>
      <c r="GX300" s="4">
        <v>117</v>
      </c>
      <c r="GY300" s="4">
        <v>110</v>
      </c>
      <c r="GZ300" s="4">
        <v>130</v>
      </c>
      <c r="HA300" s="4">
        <v>123</v>
      </c>
      <c r="HB300" s="4">
        <v>116</v>
      </c>
      <c r="HC300" s="19">
        <v>10.2</v>
      </c>
      <c r="HD300" s="19">
        <v>13.1</v>
      </c>
      <c r="HE300" s="19">
        <v>16.1</v>
      </c>
      <c r="HF300" s="19">
        <v>16.2</v>
      </c>
      <c r="HG300" s="19">
        <v>25.3</v>
      </c>
      <c r="HH300" s="19">
        <v>23.8</v>
      </c>
      <c r="HI300" s="19">
        <v>36.9</v>
      </c>
      <c r="HJ300" s="19">
        <v>35.9</v>
      </c>
      <c r="HK300" s="19">
        <v>35.3</v>
      </c>
      <c r="HL300" s="19">
        <v>34.2</v>
      </c>
      <c r="HM300" s="19">
        <v>33.2</v>
      </c>
      <c r="HN300" s="19">
        <v>32.2</v>
      </c>
      <c r="HO300" s="19">
        <v>31.2</v>
      </c>
      <c r="HP300" s="19">
        <v>30.2</v>
      </c>
      <c r="HQ300" s="19">
        <v>29.2</v>
      </c>
      <c r="HR300" s="19">
        <v>28.2</v>
      </c>
      <c r="HS300" s="19">
        <v>27.2</v>
      </c>
      <c r="HT300" s="19">
        <v>26.1</v>
      </c>
      <c r="HU300" s="19">
        <v>25.1</v>
      </c>
      <c r="HV300" s="19">
        <v>24.1</v>
      </c>
      <c r="HW300" s="19">
        <v>23.1</v>
      </c>
      <c r="HX300" s="19">
        <v>22.1</v>
      </c>
      <c r="HY300" s="19">
        <v>21.1</v>
      </c>
      <c r="HZ300" s="19">
        <v>22.8</v>
      </c>
      <c r="IA300" s="19">
        <v>21.8</v>
      </c>
      <c r="IB300" s="19">
        <v>20.8</v>
      </c>
    </row>
    <row r="301">
      <c r="A301" s="2" t="s">
        <v>1958</v>
      </c>
      <c r="B301" s="2" t="s">
        <v>872</v>
      </c>
      <c r="C301" s="2" t="s">
        <v>280</v>
      </c>
      <c r="D301" s="2" t="s">
        <v>261</v>
      </c>
      <c r="E301" s="2" t="s">
        <v>603</v>
      </c>
      <c r="F301" s="2" t="s">
        <v>1942</v>
      </c>
      <c r="G301" s="2" t="s">
        <v>1943</v>
      </c>
      <c r="H301" s="2" t="s">
        <v>1944</v>
      </c>
      <c r="I301" s="2" t="s">
        <v>1945</v>
      </c>
      <c r="J301" s="2" t="s">
        <v>285</v>
      </c>
      <c r="K301" s="2" t="s">
        <v>266</v>
      </c>
      <c r="L301" s="3">
        <v>68.6</v>
      </c>
      <c r="M301" s="3">
        <v>72.02</v>
      </c>
      <c r="N301" s="3">
        <v>139.99</v>
      </c>
      <c r="O301" s="2" t="s">
        <v>230</v>
      </c>
      <c r="P301" s="2" t="s">
        <v>597</v>
      </c>
      <c r="Q301" s="2" t="s">
        <v>232</v>
      </c>
      <c r="R301" s="2" t="s">
        <v>233</v>
      </c>
      <c r="S301" s="2" t="s">
        <v>1946</v>
      </c>
      <c r="T301" s="2" t="s">
        <v>233</v>
      </c>
      <c r="U301" s="2" t="s">
        <v>608</v>
      </c>
      <c r="V301" s="2" t="s">
        <v>236</v>
      </c>
      <c r="W301" s="2" t="s">
        <v>1631</v>
      </c>
      <c r="X301" s="2" t="s">
        <v>1947</v>
      </c>
      <c r="Y301" s="2" t="s">
        <v>238</v>
      </c>
      <c r="Z301" s="4">
        <v>286</v>
      </c>
      <c r="AA301" s="4">
        <f>=ROUNDDOWN(40.8571428571429,0)</f>
      </c>
      <c r="AB301" s="5">
        <v>7</v>
      </c>
      <c r="AC301" s="2" t="s">
        <v>622</v>
      </c>
      <c r="AD301" s="4">
        <v>180</v>
      </c>
      <c r="AE301" s="4">
        <v>360</v>
      </c>
      <c r="AF301" s="6">
        <v>65</v>
      </c>
      <c r="AG301" s="6">
        <v>48</v>
      </c>
      <c r="AH301" s="7">
        <v>1</v>
      </c>
      <c r="AI301" s="4"/>
      <c r="AJ301" s="4">
        <f>=ROUNDDOWN({0},0)</f>
      </c>
      <c r="AK301" s="5"/>
      <c r="AL301" s="2" t="s">
        <v>233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233</v>
      </c>
      <c r="AW301" s="8" t="s">
        <v>233</v>
      </c>
      <c r="AX301" s="4" t="s">
        <v>233</v>
      </c>
      <c r="AY301" s="8" t="s">
        <v>233</v>
      </c>
      <c r="AZ301" s="7" t="s">
        <v>233</v>
      </c>
      <c r="BA301" s="7" t="s">
        <v>233</v>
      </c>
      <c r="BB301" s="7"/>
      <c r="BC301" s="4" t="s">
        <v>233</v>
      </c>
      <c r="BD301" s="8" t="s">
        <v>233</v>
      </c>
      <c r="BE301" s="4" t="s">
        <v>233</v>
      </c>
      <c r="BF301" s="8" t="s">
        <v>233</v>
      </c>
      <c r="BG301" s="7" t="s">
        <v>233</v>
      </c>
      <c r="BH301" s="7" t="s">
        <v>233</v>
      </c>
      <c r="BI301" s="7"/>
      <c r="BJ301" s="4">
        <v>9</v>
      </c>
      <c r="BK301" s="8">
        <v>625.6</v>
      </c>
      <c r="BL301" s="2" t="s">
        <v>1959</v>
      </c>
      <c r="BM301" s="7"/>
      <c r="BN301" s="7"/>
      <c r="BO301" s="4"/>
      <c r="BP301" s="8"/>
      <c r="BQ301" s="4"/>
      <c r="BR301" s="8"/>
      <c r="BS301" s="7"/>
      <c r="BT301" s="7"/>
      <c r="BU301" s="2" t="s">
        <v>1949</v>
      </c>
      <c r="BV301" s="2" t="s">
        <v>233</v>
      </c>
      <c r="BW301" s="2" t="s">
        <v>233</v>
      </c>
      <c r="BX301" s="2" t="s">
        <v>241</v>
      </c>
      <c r="BY301" s="2" t="s">
        <v>242</v>
      </c>
      <c r="BZ301" s="2" t="s">
        <v>230</v>
      </c>
      <c r="CA301" s="2" t="s">
        <v>243</v>
      </c>
      <c r="CB301" s="2" t="s">
        <v>1960</v>
      </c>
      <c r="CC301" s="2" t="s">
        <v>245</v>
      </c>
      <c r="CD301" s="2" t="s">
        <v>233</v>
      </c>
      <c r="CE301" s="4">
        <v>191</v>
      </c>
      <c r="CF301" s="4"/>
      <c r="CG301" s="4"/>
      <c r="CH301" s="4">
        <v>95</v>
      </c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>
        <v>180</v>
      </c>
      <c r="CY301" s="4"/>
      <c r="CZ301" s="4"/>
      <c r="DA301" s="4"/>
      <c r="DB301" s="4">
        <v>180</v>
      </c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>
        <v>256</v>
      </c>
      <c r="GD301" s="4">
        <v>265</v>
      </c>
      <c r="GE301" s="4">
        <v>435</v>
      </c>
      <c r="GF301" s="4">
        <v>425</v>
      </c>
      <c r="GG301" s="4">
        <v>407</v>
      </c>
      <c r="GH301" s="4">
        <v>397</v>
      </c>
      <c r="GI301" s="4">
        <v>387</v>
      </c>
      <c r="GJ301" s="4">
        <v>380</v>
      </c>
      <c r="GK301" s="4">
        <v>375</v>
      </c>
      <c r="GL301" s="4">
        <v>368</v>
      </c>
      <c r="GM301" s="4">
        <v>361</v>
      </c>
      <c r="GN301" s="4">
        <v>354</v>
      </c>
      <c r="GO301" s="4">
        <v>347</v>
      </c>
      <c r="GP301" s="4">
        <v>340</v>
      </c>
      <c r="GQ301" s="4">
        <v>333</v>
      </c>
      <c r="GR301" s="4">
        <v>326</v>
      </c>
      <c r="GS301" s="4">
        <v>319</v>
      </c>
      <c r="GT301" s="4">
        <v>312</v>
      </c>
      <c r="GU301" s="4">
        <v>305</v>
      </c>
      <c r="GV301" s="4">
        <v>298</v>
      </c>
      <c r="GW301" s="4">
        <v>291</v>
      </c>
      <c r="GX301" s="4">
        <v>284</v>
      </c>
      <c r="GY301" s="4">
        <v>277</v>
      </c>
      <c r="GZ301" s="4">
        <v>294</v>
      </c>
      <c r="HA301" s="4">
        <v>287</v>
      </c>
      <c r="HB301" s="4">
        <v>280</v>
      </c>
      <c r="HC301" s="19">
        <v>20</v>
      </c>
      <c r="HD301" s="19">
        <v>22.2</v>
      </c>
      <c r="HE301" s="19">
        <v>43.9</v>
      </c>
      <c r="HF301" s="19">
        <v>43.1</v>
      </c>
      <c r="HG301" s="19">
        <v>76.9</v>
      </c>
      <c r="HH301" s="19">
        <v>78</v>
      </c>
      <c r="HI301" s="19">
        <v>76.5</v>
      </c>
      <c r="HJ301" s="19">
        <v>75.5</v>
      </c>
      <c r="HK301" s="19">
        <v>74.9</v>
      </c>
      <c r="HL301" s="19">
        <v>73.9</v>
      </c>
      <c r="HM301" s="19">
        <v>72.9</v>
      </c>
      <c r="HN301" s="19">
        <v>71.9</v>
      </c>
      <c r="HO301" s="19">
        <v>70.9</v>
      </c>
      <c r="HP301" s="19">
        <v>69.9</v>
      </c>
      <c r="HQ301" s="19">
        <v>68.9</v>
      </c>
      <c r="HR301" s="19">
        <v>67.9</v>
      </c>
      <c r="HS301" s="19">
        <v>66.9</v>
      </c>
      <c r="HT301" s="19">
        <v>65.9</v>
      </c>
      <c r="HU301" s="19">
        <v>64.9</v>
      </c>
      <c r="HV301" s="19">
        <v>63.9</v>
      </c>
      <c r="HW301" s="19">
        <v>62.9</v>
      </c>
      <c r="HX301" s="19">
        <v>61.9</v>
      </c>
      <c r="HY301" s="19">
        <v>60.9</v>
      </c>
      <c r="HZ301" s="19">
        <v>62.3</v>
      </c>
      <c r="IA301" s="19">
        <v>61.3</v>
      </c>
      <c r="IB301" s="19">
        <v>60.3</v>
      </c>
    </row>
    <row r="302">
      <c r="A302" s="2" t="s">
        <v>1961</v>
      </c>
      <c r="B302" s="2" t="s">
        <v>736</v>
      </c>
      <c r="C302" s="2" t="s">
        <v>762</v>
      </c>
      <c r="D302" s="2" t="s">
        <v>1197</v>
      </c>
      <c r="E302" s="2" t="s">
        <v>1198</v>
      </c>
      <c r="F302" s="2" t="s">
        <v>1962</v>
      </c>
      <c r="G302" s="2" t="s">
        <v>1962</v>
      </c>
      <c r="H302" s="2" t="s">
        <v>1962</v>
      </c>
      <c r="I302" s="2" t="s">
        <v>1963</v>
      </c>
      <c r="J302" s="2" t="s">
        <v>741</v>
      </c>
      <c r="K302" s="2" t="s">
        <v>870</v>
      </c>
      <c r="L302" s="3">
        <v>40.03</v>
      </c>
      <c r="M302" s="3">
        <v>42.03</v>
      </c>
      <c r="N302" s="3">
        <v>87.54</v>
      </c>
      <c r="O302" s="2" t="s">
        <v>230</v>
      </c>
      <c r="P302" s="2" t="s">
        <v>231</v>
      </c>
      <c r="Q302" s="2" t="s">
        <v>232</v>
      </c>
      <c r="R302" s="2" t="s">
        <v>233</v>
      </c>
      <c r="S302" s="2" t="s">
        <v>1964</v>
      </c>
      <c r="T302" s="2" t="s">
        <v>233</v>
      </c>
      <c r="U302" s="2" t="s">
        <v>329</v>
      </c>
      <c r="V302" s="2" t="s">
        <v>744</v>
      </c>
      <c r="W302" s="2" t="s">
        <v>620</v>
      </c>
      <c r="X302" s="2" t="s">
        <v>233</v>
      </c>
      <c r="Y302" s="2" t="s">
        <v>1965</v>
      </c>
      <c r="Z302" s="4">
        <v>110</v>
      </c>
      <c r="AA302" s="4">
        <f>=ROUNDDOWN(27.5,0)</f>
      </c>
      <c r="AB302" s="5">
        <v>4</v>
      </c>
      <c r="AC302" s="2" t="s">
        <v>233</v>
      </c>
      <c r="AD302" s="4"/>
      <c r="AE302" s="4"/>
      <c r="AF302" s="6">
        <v>63</v>
      </c>
      <c r="AG302" s="6"/>
      <c r="AH302" s="7">
        <v>1</v>
      </c>
      <c r="AI302" s="4"/>
      <c r="AJ302" s="4">
        <f>=ROUNDDOWN({0},0)</f>
      </c>
      <c r="AK302" s="5"/>
      <c r="AL302" s="2" t="s">
        <v>233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>
        <v>8</v>
      </c>
      <c r="BK302" s="8">
        <v>389.47</v>
      </c>
      <c r="BL302" s="2" t="s">
        <v>1966</v>
      </c>
      <c r="BM302" s="7"/>
      <c r="BN302" s="7"/>
      <c r="BO302" s="4"/>
      <c r="BP302" s="8"/>
      <c r="BQ302" s="4"/>
      <c r="BR302" s="8"/>
      <c r="BS302" s="7"/>
      <c r="BT302" s="7"/>
      <c r="BU302" s="2" t="s">
        <v>1967</v>
      </c>
      <c r="BV302" s="2" t="s">
        <v>233</v>
      </c>
      <c r="BW302" s="2" t="s">
        <v>233</v>
      </c>
      <c r="BX302" s="2" t="s">
        <v>241</v>
      </c>
      <c r="BY302" s="2" t="s">
        <v>242</v>
      </c>
      <c r="BZ302" s="2" t="s">
        <v>230</v>
      </c>
      <c r="CA302" s="2" t="s">
        <v>1968</v>
      </c>
      <c r="CB302" s="2" t="s">
        <v>692</v>
      </c>
      <c r="CC302" s="2" t="s">
        <v>245</v>
      </c>
      <c r="CD302" s="2" t="s">
        <v>233</v>
      </c>
      <c r="CE302" s="4"/>
      <c r="CF302" s="4">
        <v>110</v>
      </c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>
        <v>112</v>
      </c>
      <c r="GD302" s="4">
        <v>107</v>
      </c>
      <c r="GE302" s="4">
        <v>103</v>
      </c>
      <c r="GF302" s="4">
        <v>98</v>
      </c>
      <c r="GG302" s="4">
        <v>92</v>
      </c>
      <c r="GH302" s="4">
        <v>87</v>
      </c>
      <c r="GI302" s="4">
        <v>82</v>
      </c>
      <c r="GJ302" s="4">
        <v>78</v>
      </c>
      <c r="GK302" s="4">
        <v>74</v>
      </c>
      <c r="GL302" s="4">
        <v>70</v>
      </c>
      <c r="GM302" s="4">
        <v>66</v>
      </c>
      <c r="GN302" s="4">
        <v>62</v>
      </c>
      <c r="GO302" s="4">
        <v>58</v>
      </c>
      <c r="GP302" s="4">
        <v>54</v>
      </c>
      <c r="GQ302" s="4">
        <v>50</v>
      </c>
      <c r="GR302" s="4">
        <v>46</v>
      </c>
      <c r="GS302" s="4">
        <v>42</v>
      </c>
      <c r="GT302" s="4">
        <v>37</v>
      </c>
      <c r="GU302" s="4">
        <v>33</v>
      </c>
      <c r="GV302" s="4">
        <v>29</v>
      </c>
      <c r="GW302" s="4">
        <v>25</v>
      </c>
      <c r="GX302" s="4">
        <v>21</v>
      </c>
      <c r="GY302" s="4">
        <v>17</v>
      </c>
      <c r="GZ302" s="4">
        <v>13</v>
      </c>
      <c r="HA302" s="4">
        <v>45</v>
      </c>
      <c r="HB302" s="4">
        <v>41</v>
      </c>
      <c r="HC302" s="19">
        <v>22.4</v>
      </c>
      <c r="HD302" s="19">
        <v>21.4</v>
      </c>
      <c r="HE302" s="19">
        <v>20.6</v>
      </c>
      <c r="HF302" s="19">
        <v>19.6</v>
      </c>
      <c r="HG302" s="19">
        <v>23</v>
      </c>
      <c r="HH302" s="19">
        <v>21.8</v>
      </c>
      <c r="HI302" s="19">
        <v>20.5</v>
      </c>
      <c r="HJ302" s="19">
        <v>19.5</v>
      </c>
      <c r="HK302" s="19">
        <v>18.5</v>
      </c>
      <c r="HL302" s="19">
        <v>17.5</v>
      </c>
      <c r="HM302" s="19">
        <v>16.5</v>
      </c>
      <c r="HN302" s="19">
        <v>15.5</v>
      </c>
      <c r="HO302" s="19">
        <v>14.5</v>
      </c>
      <c r="HP302" s="19">
        <v>13.5</v>
      </c>
      <c r="HQ302" s="19">
        <v>12.5</v>
      </c>
      <c r="HR302" s="19">
        <v>11.5</v>
      </c>
      <c r="HS302" s="19">
        <v>10.5</v>
      </c>
      <c r="HT302" s="19">
        <v>9.3</v>
      </c>
      <c r="HU302" s="19">
        <v>8.3</v>
      </c>
      <c r="HV302" s="19">
        <v>7.3</v>
      </c>
      <c r="HW302" s="19">
        <v>6.3</v>
      </c>
      <c r="HX302" s="19">
        <v>5.3</v>
      </c>
      <c r="HY302" s="19">
        <v>4.3</v>
      </c>
      <c r="HZ302" s="19">
        <v>3.3</v>
      </c>
      <c r="IA302" s="19">
        <v>11.3</v>
      </c>
      <c r="IB302" s="19">
        <v>10.3</v>
      </c>
    </row>
    <row r="303">
      <c r="A303" s="2" t="s">
        <v>1969</v>
      </c>
      <c r="B303" s="2" t="s">
        <v>761</v>
      </c>
      <c r="C303" s="2" t="s">
        <v>280</v>
      </c>
      <c r="D303" s="2" t="s">
        <v>1834</v>
      </c>
      <c r="E303" s="2" t="s">
        <v>1970</v>
      </c>
      <c r="F303" s="2" t="s">
        <v>1095</v>
      </c>
      <c r="G303" s="2" t="s">
        <v>1971</v>
      </c>
      <c r="H303" s="2" t="s">
        <v>1972</v>
      </c>
      <c r="I303" s="2" t="s">
        <v>1973</v>
      </c>
      <c r="J303" s="2" t="s">
        <v>741</v>
      </c>
      <c r="K303" s="2" t="s">
        <v>300</v>
      </c>
      <c r="L303" s="3">
        <v>190</v>
      </c>
      <c r="M303" s="3">
        <v>199.5</v>
      </c>
      <c r="N303" s="3">
        <v>399</v>
      </c>
      <c r="O303" s="2" t="s">
        <v>230</v>
      </c>
      <c r="P303" s="2" t="s">
        <v>231</v>
      </c>
      <c r="Q303" s="2" t="s">
        <v>232</v>
      </c>
      <c r="R303" s="2" t="s">
        <v>233</v>
      </c>
      <c r="S303" s="2" t="s">
        <v>233</v>
      </c>
      <c r="T303" s="2" t="s">
        <v>233</v>
      </c>
      <c r="U303" s="2" t="s">
        <v>329</v>
      </c>
      <c r="V303" s="2" t="s">
        <v>236</v>
      </c>
      <c r="W303" s="2" t="s">
        <v>712</v>
      </c>
      <c r="X303" s="2" t="s">
        <v>1141</v>
      </c>
      <c r="Y303" s="2" t="s">
        <v>1974</v>
      </c>
      <c r="Z303" s="4">
        <v>610</v>
      </c>
      <c r="AA303" s="4">
        <f>=ROUNDDOWN(101.666666666667,0)</f>
      </c>
      <c r="AB303" s="5">
        <v>6</v>
      </c>
      <c r="AC303" s="2" t="s">
        <v>1975</v>
      </c>
      <c r="AD303" s="4">
        <v>208</v>
      </c>
      <c r="AE303" s="4">
        <v>208</v>
      </c>
      <c r="AF303" s="6">
        <v>66</v>
      </c>
      <c r="AG303" s="6"/>
      <c r="AH303" s="7">
        <v>1</v>
      </c>
      <c r="AI303" s="4"/>
      <c r="AJ303" s="4">
        <f>=ROUNDDOWN({0},0)</f>
      </c>
      <c r="AK303" s="5"/>
      <c r="AL303" s="2" t="s">
        <v>233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>
        <v>24</v>
      </c>
      <c r="BK303" s="8">
        <v>5218.01</v>
      </c>
      <c r="BL303" s="2" t="s">
        <v>1976</v>
      </c>
      <c r="BM303" s="7"/>
      <c r="BN303" s="7"/>
      <c r="BO303" s="4"/>
      <c r="BP303" s="8"/>
      <c r="BQ303" s="4"/>
      <c r="BR303" s="8"/>
      <c r="BS303" s="7"/>
      <c r="BT303" s="7"/>
      <c r="BU303" s="2" t="s">
        <v>1977</v>
      </c>
      <c r="BV303" s="2" t="s">
        <v>233</v>
      </c>
      <c r="BW303" s="2" t="s">
        <v>233</v>
      </c>
      <c r="BX303" s="2" t="s">
        <v>241</v>
      </c>
      <c r="BY303" s="2" t="s">
        <v>242</v>
      </c>
      <c r="BZ303" s="2" t="s">
        <v>230</v>
      </c>
      <c r="CA303" s="2" t="s">
        <v>1978</v>
      </c>
      <c r="CB303" s="2" t="s">
        <v>1979</v>
      </c>
      <c r="CC303" s="2" t="s">
        <v>245</v>
      </c>
      <c r="CD303" s="2" t="s">
        <v>233</v>
      </c>
      <c r="CE303" s="4"/>
      <c r="CF303" s="4">
        <v>610</v>
      </c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>
        <v>208</v>
      </c>
      <c r="FT303" s="4"/>
      <c r="FU303" s="4"/>
      <c r="FV303" s="4"/>
      <c r="FW303" s="4"/>
      <c r="FX303" s="4"/>
      <c r="FY303" s="4"/>
      <c r="FZ303" s="4"/>
      <c r="GA303" s="4"/>
      <c r="GB303" s="4"/>
      <c r="GC303" s="4">
        <v>619</v>
      </c>
      <c r="GD303" s="4">
        <v>595</v>
      </c>
      <c r="GE303" s="4">
        <v>587</v>
      </c>
      <c r="GF303" s="4">
        <v>581</v>
      </c>
      <c r="GG303" s="4">
        <v>569</v>
      </c>
      <c r="GH303" s="4">
        <v>561</v>
      </c>
      <c r="GI303" s="4">
        <v>555</v>
      </c>
      <c r="GJ303" s="4">
        <v>549</v>
      </c>
      <c r="GK303" s="4">
        <v>545</v>
      </c>
      <c r="GL303" s="4">
        <v>539</v>
      </c>
      <c r="GM303" s="4">
        <v>534</v>
      </c>
      <c r="GN303" s="4">
        <v>528</v>
      </c>
      <c r="GO303" s="4">
        <v>523</v>
      </c>
      <c r="GP303" s="4">
        <v>518</v>
      </c>
      <c r="GQ303" s="4">
        <v>511</v>
      </c>
      <c r="GR303" s="4">
        <v>504</v>
      </c>
      <c r="GS303" s="4">
        <v>497</v>
      </c>
      <c r="GT303" s="4">
        <v>698</v>
      </c>
      <c r="GU303" s="4">
        <v>693</v>
      </c>
      <c r="GV303" s="4">
        <v>687</v>
      </c>
      <c r="GW303" s="4">
        <v>681</v>
      </c>
      <c r="GX303" s="4">
        <v>675</v>
      </c>
      <c r="GY303" s="4">
        <v>669</v>
      </c>
      <c r="GZ303" s="4">
        <v>663</v>
      </c>
      <c r="HA303" s="4">
        <v>657</v>
      </c>
      <c r="HB303" s="4">
        <v>651</v>
      </c>
      <c r="HC303" s="19">
        <v>51.6</v>
      </c>
      <c r="HD303" s="19">
        <v>74.4</v>
      </c>
      <c r="HE303" s="19">
        <v>73.4</v>
      </c>
      <c r="HF303" s="19">
        <v>72.6</v>
      </c>
      <c r="HG303" s="19">
        <v>94.8</v>
      </c>
      <c r="HH303" s="19">
        <v>93.5</v>
      </c>
      <c r="HI303" s="19">
        <v>111</v>
      </c>
      <c r="HJ303" s="19">
        <v>109.8</v>
      </c>
      <c r="HK303" s="19">
        <v>90.8</v>
      </c>
      <c r="HL303" s="19">
        <v>107.8</v>
      </c>
      <c r="HM303" s="19">
        <v>89</v>
      </c>
      <c r="HN303" s="19">
        <v>88</v>
      </c>
      <c r="HO303" s="19">
        <v>87.2</v>
      </c>
      <c r="HP303" s="19">
        <v>74</v>
      </c>
      <c r="HQ303" s="19">
        <v>85.2</v>
      </c>
      <c r="HR303" s="19">
        <v>84</v>
      </c>
      <c r="HS303" s="19">
        <v>82.8</v>
      </c>
      <c r="HT303" s="19">
        <v>116.3</v>
      </c>
      <c r="HU303" s="19">
        <v>115.5</v>
      </c>
      <c r="HV303" s="19">
        <v>114.5</v>
      </c>
      <c r="HW303" s="19">
        <v>113.5</v>
      </c>
      <c r="HX303" s="19">
        <v>112.5</v>
      </c>
      <c r="HY303" s="19">
        <v>111.5</v>
      </c>
      <c r="HZ303" s="19">
        <v>110.5</v>
      </c>
      <c r="IA303" s="19">
        <v>109.5</v>
      </c>
      <c r="IB303" s="19">
        <v>108.5</v>
      </c>
    </row>
    <row r="304">
      <c r="A304" s="2" t="s">
        <v>1980</v>
      </c>
      <c r="B304" s="2" t="s">
        <v>872</v>
      </c>
      <c r="C304" s="2" t="s">
        <v>1981</v>
      </c>
      <c r="D304" s="2" t="s">
        <v>1815</v>
      </c>
      <c r="E304" s="2" t="s">
        <v>1816</v>
      </c>
      <c r="F304" s="2" t="s">
        <v>1982</v>
      </c>
      <c r="G304" s="2" t="s">
        <v>233</v>
      </c>
      <c r="H304" s="2" t="s">
        <v>233</v>
      </c>
      <c r="I304" s="2" t="s">
        <v>1819</v>
      </c>
      <c r="J304" s="2" t="s">
        <v>1819</v>
      </c>
      <c r="K304" s="2" t="s">
        <v>300</v>
      </c>
      <c r="L304" s="3">
        <v>27</v>
      </c>
      <c r="M304" s="3">
        <v>28.35</v>
      </c>
      <c r="N304" s="3">
        <v>59.99</v>
      </c>
      <c r="O304" s="2" t="s">
        <v>230</v>
      </c>
      <c r="P304" s="2" t="s">
        <v>231</v>
      </c>
      <c r="Q304" s="2" t="s">
        <v>232</v>
      </c>
      <c r="R304" s="2" t="s">
        <v>233</v>
      </c>
      <c r="S304" s="2" t="s">
        <v>1983</v>
      </c>
      <c r="T304" s="2" t="s">
        <v>233</v>
      </c>
      <c r="U304" s="2" t="s">
        <v>233</v>
      </c>
      <c r="V304" s="2" t="s">
        <v>349</v>
      </c>
      <c r="W304" s="2" t="s">
        <v>620</v>
      </c>
      <c r="X304" s="2" t="s">
        <v>233</v>
      </c>
      <c r="Y304" s="2" t="s">
        <v>238</v>
      </c>
      <c r="Z304" s="4">
        <v>188</v>
      </c>
      <c r="AA304" s="4">
        <f>=ROUNDDOWN(47,0)</f>
      </c>
      <c r="AB304" s="5">
        <v>4</v>
      </c>
      <c r="AC304" s="2" t="s">
        <v>233</v>
      </c>
      <c r="AD304" s="4"/>
      <c r="AE304" s="4"/>
      <c r="AF304" s="6">
        <v>68</v>
      </c>
      <c r="AG304" s="6"/>
      <c r="AH304" s="7">
        <v>1</v>
      </c>
      <c r="AI304" s="4"/>
      <c r="AJ304" s="4">
        <f>=ROUNDDOWN({0},0)</f>
      </c>
      <c r="AK304" s="5"/>
      <c r="AL304" s="2" t="s">
        <v>233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>
        <v>6</v>
      </c>
      <c r="BK304" s="8">
        <v>162</v>
      </c>
      <c r="BL304" s="2" t="s">
        <v>835</v>
      </c>
      <c r="BM304" s="7"/>
      <c r="BN304" s="7"/>
      <c r="BO304" s="4"/>
      <c r="BP304" s="8"/>
      <c r="BQ304" s="4"/>
      <c r="BR304" s="8"/>
      <c r="BS304" s="7"/>
      <c r="BT304" s="7"/>
      <c r="BU304" s="2" t="s">
        <v>1984</v>
      </c>
      <c r="BV304" s="2" t="s">
        <v>233</v>
      </c>
      <c r="BW304" s="2" t="s">
        <v>233</v>
      </c>
      <c r="BX304" s="2" t="s">
        <v>241</v>
      </c>
      <c r="BY304" s="2" t="s">
        <v>242</v>
      </c>
      <c r="BZ304" s="2" t="s">
        <v>230</v>
      </c>
      <c r="CA304" s="2" t="s">
        <v>243</v>
      </c>
      <c r="CB304" s="2" t="s">
        <v>1126</v>
      </c>
      <c r="CC304" s="2" t="s">
        <v>245</v>
      </c>
      <c r="CD304" s="2" t="s">
        <v>233</v>
      </c>
      <c r="CE304" s="4">
        <v>188</v>
      </c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>
        <v>188</v>
      </c>
      <c r="GD304" s="4">
        <v>186</v>
      </c>
      <c r="GE304" s="4">
        <v>178</v>
      </c>
      <c r="GF304" s="4">
        <v>173</v>
      </c>
      <c r="GG304" s="4">
        <v>165</v>
      </c>
      <c r="GH304" s="4">
        <v>160</v>
      </c>
      <c r="GI304" s="4">
        <v>156</v>
      </c>
      <c r="GJ304" s="4">
        <v>144</v>
      </c>
      <c r="GK304" s="4">
        <v>143</v>
      </c>
      <c r="GL304" s="4">
        <v>141</v>
      </c>
      <c r="GM304" s="4">
        <v>139</v>
      </c>
      <c r="GN304" s="4">
        <v>137</v>
      </c>
      <c r="GO304" s="4">
        <v>133</v>
      </c>
      <c r="GP304" s="4">
        <v>129</v>
      </c>
      <c r="GQ304" s="4">
        <v>125</v>
      </c>
      <c r="GR304" s="4">
        <v>121</v>
      </c>
      <c r="GS304" s="4">
        <v>117</v>
      </c>
      <c r="GT304" s="4">
        <v>113</v>
      </c>
      <c r="GU304" s="4">
        <v>109</v>
      </c>
      <c r="GV304" s="4">
        <v>105</v>
      </c>
      <c r="GW304" s="4">
        <v>101</v>
      </c>
      <c r="GX304" s="4">
        <v>97</v>
      </c>
      <c r="GY304" s="4">
        <v>93</v>
      </c>
      <c r="GZ304" s="4">
        <v>89</v>
      </c>
      <c r="HA304" s="4">
        <v>85</v>
      </c>
      <c r="HB304" s="4">
        <v>81</v>
      </c>
      <c r="HC304" s="19">
        <v>31.3</v>
      </c>
      <c r="HD304" s="19">
        <v>31</v>
      </c>
      <c r="HE304" s="19">
        <v>29.7</v>
      </c>
      <c r="HF304" s="19">
        <v>24.7</v>
      </c>
      <c r="HG304" s="19">
        <v>27.5</v>
      </c>
      <c r="HH304" s="19">
        <v>32</v>
      </c>
      <c r="HI304" s="19">
        <v>39</v>
      </c>
      <c r="HJ304" s="19">
        <v>72</v>
      </c>
      <c r="HK304" s="19">
        <v>71.5</v>
      </c>
      <c r="HL304" s="19">
        <v>47</v>
      </c>
      <c r="HM304" s="19">
        <v>34.8</v>
      </c>
      <c r="HN304" s="19">
        <v>34.3</v>
      </c>
      <c r="HO304" s="19">
        <v>33.3</v>
      </c>
      <c r="HP304" s="19">
        <v>32.3</v>
      </c>
      <c r="HQ304" s="19">
        <v>31.3</v>
      </c>
      <c r="HR304" s="19">
        <v>30.3</v>
      </c>
      <c r="HS304" s="19">
        <v>29.3</v>
      </c>
      <c r="HT304" s="19">
        <v>28.3</v>
      </c>
      <c r="HU304" s="19">
        <v>27.3</v>
      </c>
      <c r="HV304" s="19">
        <v>26.3</v>
      </c>
      <c r="HW304" s="19">
        <v>25.3</v>
      </c>
      <c r="HX304" s="19">
        <v>24.3</v>
      </c>
      <c r="HY304" s="19">
        <v>23.3</v>
      </c>
      <c r="HZ304" s="19">
        <v>22.3</v>
      </c>
      <c r="IA304" s="19">
        <v>21.3</v>
      </c>
      <c r="IB304" s="19">
        <v>20.3</v>
      </c>
    </row>
    <row r="305">
      <c r="A305" s="2" t="s">
        <v>1985</v>
      </c>
      <c r="B305" s="2" t="s">
        <v>847</v>
      </c>
      <c r="C305" s="2" t="s">
        <v>848</v>
      </c>
      <c r="D305" s="2" t="s">
        <v>849</v>
      </c>
      <c r="E305" s="2" t="s">
        <v>850</v>
      </c>
      <c r="F305" s="2" t="s">
        <v>1986</v>
      </c>
      <c r="G305" s="2" t="s">
        <v>1838</v>
      </c>
      <c r="H305" s="2" t="s">
        <v>1987</v>
      </c>
      <c r="I305" s="2" t="s">
        <v>1988</v>
      </c>
      <c r="J305" s="2" t="s">
        <v>1989</v>
      </c>
      <c r="K305" s="2" t="s">
        <v>1525</v>
      </c>
      <c r="L305" s="3">
        <v>60.22</v>
      </c>
      <c r="M305" s="3">
        <v>63.23</v>
      </c>
      <c r="N305" s="3">
        <v>109.99</v>
      </c>
      <c r="O305" s="2" t="s">
        <v>230</v>
      </c>
      <c r="P305" s="2" t="s">
        <v>597</v>
      </c>
      <c r="Q305" s="2" t="s">
        <v>232</v>
      </c>
      <c r="R305" s="2" t="s">
        <v>233</v>
      </c>
      <c r="S305" s="2" t="s">
        <v>1990</v>
      </c>
      <c r="T305" s="2" t="s">
        <v>233</v>
      </c>
      <c r="U305" s="2" t="s">
        <v>329</v>
      </c>
      <c r="V305" s="2" t="s">
        <v>236</v>
      </c>
      <c r="W305" s="2" t="s">
        <v>237</v>
      </c>
      <c r="X305" s="2" t="s">
        <v>233</v>
      </c>
      <c r="Y305" s="2" t="s">
        <v>1960</v>
      </c>
      <c r="Z305" s="4">
        <v>333</v>
      </c>
      <c r="AA305" s="4">
        <f>=ROUNDDOWN(33.3,0)</f>
      </c>
      <c r="AB305" s="5">
        <v>10</v>
      </c>
      <c r="AC305" s="2" t="s">
        <v>154</v>
      </c>
      <c r="AD305" s="4">
        <v>250</v>
      </c>
      <c r="AE305" s="4">
        <v>250</v>
      </c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233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233</v>
      </c>
      <c r="AW305" s="8" t="s">
        <v>233</v>
      </c>
      <c r="AX305" s="4" t="s">
        <v>233</v>
      </c>
      <c r="AY305" s="8" t="s">
        <v>233</v>
      </c>
      <c r="AZ305" s="7" t="s">
        <v>233</v>
      </c>
      <c r="BA305" s="7" t="s">
        <v>233</v>
      </c>
      <c r="BB305" s="7"/>
      <c r="BC305" s="4" t="s">
        <v>233</v>
      </c>
      <c r="BD305" s="8" t="s">
        <v>233</v>
      </c>
      <c r="BE305" s="4" t="s">
        <v>233</v>
      </c>
      <c r="BF305" s="8" t="s">
        <v>233</v>
      </c>
      <c r="BG305" s="7" t="s">
        <v>233</v>
      </c>
      <c r="BH305" s="7" t="s">
        <v>233</v>
      </c>
      <c r="BI305" s="7"/>
      <c r="BJ305" s="4">
        <v>24</v>
      </c>
      <c r="BK305" s="8">
        <v>1457.75</v>
      </c>
      <c r="BL305" s="2" t="s">
        <v>868</v>
      </c>
      <c r="BM305" s="7"/>
      <c r="BN305" s="7"/>
      <c r="BO305" s="4"/>
      <c r="BP305" s="8"/>
      <c r="BQ305" s="4"/>
      <c r="BR305" s="8"/>
      <c r="BS305" s="7"/>
      <c r="BT305" s="7"/>
      <c r="BU305" s="2" t="s">
        <v>1991</v>
      </c>
      <c r="BV305" s="2" t="s">
        <v>233</v>
      </c>
      <c r="BW305" s="2" t="s">
        <v>233</v>
      </c>
      <c r="BX305" s="2" t="s">
        <v>241</v>
      </c>
      <c r="BY305" s="2" t="s">
        <v>242</v>
      </c>
      <c r="BZ305" s="2" t="s">
        <v>230</v>
      </c>
      <c r="CA305" s="2" t="s">
        <v>1992</v>
      </c>
      <c r="CB305" s="2" t="s">
        <v>1328</v>
      </c>
      <c r="CC305" s="2" t="s">
        <v>245</v>
      </c>
      <c r="CD305" s="2" t="s">
        <v>233</v>
      </c>
      <c r="CE305" s="4">
        <v>160</v>
      </c>
      <c r="CF305" s="4"/>
      <c r="CG305" s="4"/>
      <c r="CH305" s="4">
        <v>173</v>
      </c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>
        <v>250</v>
      </c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>
        <v>337</v>
      </c>
      <c r="GD305" s="4">
        <v>316</v>
      </c>
      <c r="GE305" s="4">
        <v>270</v>
      </c>
      <c r="GF305" s="4">
        <v>258</v>
      </c>
      <c r="GG305" s="4">
        <v>246</v>
      </c>
      <c r="GH305" s="4">
        <v>484</v>
      </c>
      <c r="GI305" s="4">
        <v>472</v>
      </c>
      <c r="GJ305" s="4">
        <v>423</v>
      </c>
      <c r="GK305" s="4">
        <v>423</v>
      </c>
      <c r="GL305" s="4">
        <v>423</v>
      </c>
      <c r="GM305" s="4">
        <v>423</v>
      </c>
      <c r="GN305" s="4">
        <v>416</v>
      </c>
      <c r="GO305" s="4">
        <v>406</v>
      </c>
      <c r="GP305" s="4">
        <v>396</v>
      </c>
      <c r="GQ305" s="4">
        <v>386</v>
      </c>
      <c r="GR305" s="4">
        <v>376</v>
      </c>
      <c r="GS305" s="4">
        <v>366</v>
      </c>
      <c r="GT305" s="4">
        <v>356</v>
      </c>
      <c r="GU305" s="4">
        <v>346</v>
      </c>
      <c r="GV305" s="4">
        <v>336</v>
      </c>
      <c r="GW305" s="4">
        <v>326</v>
      </c>
      <c r="GX305" s="4">
        <v>316</v>
      </c>
      <c r="GY305" s="4">
        <v>306</v>
      </c>
      <c r="GZ305" s="4">
        <v>296</v>
      </c>
      <c r="HA305" s="4">
        <v>285</v>
      </c>
      <c r="HB305" s="4">
        <v>275</v>
      </c>
      <c r="HC305" s="19">
        <v>14.7</v>
      </c>
      <c r="HD305" s="19">
        <v>15.8</v>
      </c>
      <c r="HE305" s="19">
        <v>22.5</v>
      </c>
      <c r="HF305" s="19">
        <v>12.3</v>
      </c>
      <c r="HG305" s="19">
        <v>13.7</v>
      </c>
      <c r="HH305" s="19">
        <v>32.3</v>
      </c>
      <c r="HI305" s="19">
        <v>39.3</v>
      </c>
      <c r="HJ305" s="19">
        <v>211.5</v>
      </c>
      <c r="HK305" s="19">
        <v>105.8</v>
      </c>
      <c r="HL305" s="19">
        <v>60.4</v>
      </c>
      <c r="HM305" s="19">
        <v>47</v>
      </c>
      <c r="HN305" s="19">
        <v>41.6</v>
      </c>
      <c r="HO305" s="19">
        <v>40.6</v>
      </c>
      <c r="HP305" s="19">
        <v>39.6</v>
      </c>
      <c r="HQ305" s="19">
        <v>38.6</v>
      </c>
      <c r="HR305" s="19">
        <v>37.6</v>
      </c>
      <c r="HS305" s="19">
        <v>36.6</v>
      </c>
      <c r="HT305" s="19">
        <v>35.6</v>
      </c>
      <c r="HU305" s="19">
        <v>34.6</v>
      </c>
      <c r="HV305" s="19">
        <v>33.6</v>
      </c>
      <c r="HW305" s="19">
        <v>32.6</v>
      </c>
      <c r="HX305" s="19">
        <v>31.6</v>
      </c>
      <c r="HY305" s="19">
        <v>30.6</v>
      </c>
      <c r="HZ305" s="19">
        <v>29.6</v>
      </c>
      <c r="IA305" s="19">
        <v>28.5</v>
      </c>
      <c r="IB305" s="19">
        <v>27.5</v>
      </c>
    </row>
    <row r="306">
      <c r="A306" s="2" t="s">
        <v>1993</v>
      </c>
      <c r="B306" s="2" t="s">
        <v>847</v>
      </c>
      <c r="C306" s="2" t="s">
        <v>848</v>
      </c>
      <c r="D306" s="2" t="s">
        <v>849</v>
      </c>
      <c r="E306" s="2" t="s">
        <v>850</v>
      </c>
      <c r="F306" s="2" t="s">
        <v>1986</v>
      </c>
      <c r="G306" s="2" t="s">
        <v>1838</v>
      </c>
      <c r="H306" s="2" t="s">
        <v>1987</v>
      </c>
      <c r="I306" s="2" t="s">
        <v>1988</v>
      </c>
      <c r="J306" s="2" t="s">
        <v>1994</v>
      </c>
      <c r="K306" s="2" t="s">
        <v>1525</v>
      </c>
      <c r="L306" s="3">
        <v>93.08</v>
      </c>
      <c r="M306" s="3">
        <v>97.73</v>
      </c>
      <c r="N306" s="3">
        <v>164.99</v>
      </c>
      <c r="O306" s="2" t="s">
        <v>230</v>
      </c>
      <c r="P306" s="2" t="s">
        <v>231</v>
      </c>
      <c r="Q306" s="2" t="s">
        <v>232</v>
      </c>
      <c r="R306" s="2" t="s">
        <v>233</v>
      </c>
      <c r="S306" s="2" t="s">
        <v>1990</v>
      </c>
      <c r="T306" s="2" t="s">
        <v>233</v>
      </c>
      <c r="U306" s="2" t="s">
        <v>329</v>
      </c>
      <c r="V306" s="2" t="s">
        <v>236</v>
      </c>
      <c r="W306" s="2" t="s">
        <v>237</v>
      </c>
      <c r="X306" s="2" t="s">
        <v>233</v>
      </c>
      <c r="Y306" s="2" t="s">
        <v>1995</v>
      </c>
      <c r="Z306" s="4">
        <v>218</v>
      </c>
      <c r="AA306" s="4">
        <f>=ROUNDDOWN(36.3333333333333,0)</f>
      </c>
      <c r="AB306" s="5">
        <v>6</v>
      </c>
      <c r="AC306" s="2" t="s">
        <v>154</v>
      </c>
      <c r="AD306" s="4">
        <v>150</v>
      </c>
      <c r="AE306" s="4">
        <v>150</v>
      </c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233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233</v>
      </c>
      <c r="AW306" s="8" t="s">
        <v>233</v>
      </c>
      <c r="AX306" s="4" t="s">
        <v>233</v>
      </c>
      <c r="AY306" s="8" t="s">
        <v>233</v>
      </c>
      <c r="AZ306" s="7" t="s">
        <v>233</v>
      </c>
      <c r="BA306" s="7" t="s">
        <v>233</v>
      </c>
      <c r="BB306" s="7"/>
      <c r="BC306" s="4" t="s">
        <v>233</v>
      </c>
      <c r="BD306" s="8" t="s">
        <v>233</v>
      </c>
      <c r="BE306" s="4" t="s">
        <v>233</v>
      </c>
      <c r="BF306" s="8" t="s">
        <v>233</v>
      </c>
      <c r="BG306" s="7" t="s">
        <v>233</v>
      </c>
      <c r="BH306" s="7" t="s">
        <v>233</v>
      </c>
      <c r="BI306" s="7"/>
      <c r="BJ306" s="4">
        <v>30</v>
      </c>
      <c r="BK306" s="8">
        <v>2766.9</v>
      </c>
      <c r="BL306" s="2" t="s">
        <v>1996</v>
      </c>
      <c r="BM306" s="7"/>
      <c r="BN306" s="7"/>
      <c r="BO306" s="4"/>
      <c r="BP306" s="8"/>
      <c r="BQ306" s="4"/>
      <c r="BR306" s="8"/>
      <c r="BS306" s="7"/>
      <c r="BT306" s="7"/>
      <c r="BU306" s="2" t="s">
        <v>1991</v>
      </c>
      <c r="BV306" s="2" t="s">
        <v>233</v>
      </c>
      <c r="BW306" s="2" t="s">
        <v>233</v>
      </c>
      <c r="BX306" s="2" t="s">
        <v>241</v>
      </c>
      <c r="BY306" s="2" t="s">
        <v>242</v>
      </c>
      <c r="BZ306" s="2" t="s">
        <v>230</v>
      </c>
      <c r="CA306" s="2" t="s">
        <v>1997</v>
      </c>
      <c r="CB306" s="2" t="s">
        <v>1998</v>
      </c>
      <c r="CC306" s="2" t="s">
        <v>245</v>
      </c>
      <c r="CD306" s="2" t="s">
        <v>233</v>
      </c>
      <c r="CE306" s="4">
        <v>215</v>
      </c>
      <c r="CF306" s="4">
        <v>3</v>
      </c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>
        <v>150</v>
      </c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>
        <v>219</v>
      </c>
      <c r="GD306" s="4">
        <v>147</v>
      </c>
      <c r="GE306" s="4">
        <v>140</v>
      </c>
      <c r="GF306" s="4">
        <v>133</v>
      </c>
      <c r="GG306" s="4">
        <v>126</v>
      </c>
      <c r="GH306" s="4">
        <v>269</v>
      </c>
      <c r="GI306" s="4">
        <v>262</v>
      </c>
      <c r="GJ306" s="4">
        <v>255</v>
      </c>
      <c r="GK306" s="4">
        <v>248</v>
      </c>
      <c r="GL306" s="4">
        <v>241</v>
      </c>
      <c r="GM306" s="4">
        <v>234</v>
      </c>
      <c r="GN306" s="4">
        <v>227</v>
      </c>
      <c r="GO306" s="4">
        <v>221</v>
      </c>
      <c r="GP306" s="4">
        <v>215</v>
      </c>
      <c r="GQ306" s="4">
        <v>209</v>
      </c>
      <c r="GR306" s="4">
        <v>203</v>
      </c>
      <c r="GS306" s="4">
        <v>197</v>
      </c>
      <c r="GT306" s="4">
        <v>191</v>
      </c>
      <c r="GU306" s="4">
        <v>185</v>
      </c>
      <c r="GV306" s="4">
        <v>179</v>
      </c>
      <c r="GW306" s="4">
        <v>173</v>
      </c>
      <c r="GX306" s="4">
        <v>167</v>
      </c>
      <c r="GY306" s="4">
        <v>161</v>
      </c>
      <c r="GZ306" s="4">
        <v>155</v>
      </c>
      <c r="HA306" s="4">
        <v>148</v>
      </c>
      <c r="HB306" s="4">
        <v>142</v>
      </c>
      <c r="HC306" s="19">
        <v>9.5</v>
      </c>
      <c r="HD306" s="19">
        <v>21</v>
      </c>
      <c r="HE306" s="19">
        <v>20</v>
      </c>
      <c r="HF306" s="19">
        <v>19</v>
      </c>
      <c r="HG306" s="19">
        <v>18</v>
      </c>
      <c r="HH306" s="19">
        <v>38.4</v>
      </c>
      <c r="HI306" s="19">
        <v>37.4</v>
      </c>
      <c r="HJ306" s="19">
        <v>36.4</v>
      </c>
      <c r="HK306" s="19">
        <v>35.4</v>
      </c>
      <c r="HL306" s="19">
        <v>40.2</v>
      </c>
      <c r="HM306" s="19">
        <v>39</v>
      </c>
      <c r="HN306" s="19">
        <v>37.8</v>
      </c>
      <c r="HO306" s="19">
        <v>36.8</v>
      </c>
      <c r="HP306" s="19">
        <v>35.8</v>
      </c>
      <c r="HQ306" s="19">
        <v>34.8</v>
      </c>
      <c r="HR306" s="19">
        <v>33.8</v>
      </c>
      <c r="HS306" s="19">
        <v>32.8</v>
      </c>
      <c r="HT306" s="19">
        <v>31.8</v>
      </c>
      <c r="HU306" s="19">
        <v>30.8</v>
      </c>
      <c r="HV306" s="19">
        <v>29.8</v>
      </c>
      <c r="HW306" s="19">
        <v>28.8</v>
      </c>
      <c r="HX306" s="19">
        <v>27.8</v>
      </c>
      <c r="HY306" s="19">
        <v>26.8</v>
      </c>
      <c r="HZ306" s="19">
        <v>25.8</v>
      </c>
      <c r="IA306" s="19">
        <v>24.7</v>
      </c>
      <c r="IB306" s="19">
        <v>23.7</v>
      </c>
    </row>
    <row r="307">
      <c r="A307" s="2" t="s">
        <v>1999</v>
      </c>
      <c r="B307" s="2" t="s">
        <v>773</v>
      </c>
      <c r="C307" s="2" t="s">
        <v>280</v>
      </c>
      <c r="D307" s="2" t="s">
        <v>1442</v>
      </c>
      <c r="E307" s="2" t="s">
        <v>1443</v>
      </c>
      <c r="F307" s="2" t="s">
        <v>2000</v>
      </c>
      <c r="G307" s="2" t="s">
        <v>2001</v>
      </c>
      <c r="H307" s="2" t="s">
        <v>2001</v>
      </c>
      <c r="I307" s="2" t="s">
        <v>2002</v>
      </c>
      <c r="J307" s="2" t="s">
        <v>1446</v>
      </c>
      <c r="K307" s="2" t="s">
        <v>300</v>
      </c>
      <c r="L307" s="3">
        <v>17.86</v>
      </c>
      <c r="M307" s="3">
        <v>18.75</v>
      </c>
      <c r="N307" s="3">
        <v>39.99</v>
      </c>
      <c r="O307" s="2" t="s">
        <v>230</v>
      </c>
      <c r="P307" s="2" t="s">
        <v>231</v>
      </c>
      <c r="Q307" s="2" t="s">
        <v>232</v>
      </c>
      <c r="R307" s="2" t="s">
        <v>233</v>
      </c>
      <c r="S307" s="2" t="s">
        <v>2003</v>
      </c>
      <c r="T307" s="2" t="s">
        <v>233</v>
      </c>
      <c r="U307" s="2" t="s">
        <v>329</v>
      </c>
      <c r="V307" s="2" t="s">
        <v>744</v>
      </c>
      <c r="W307" s="2" t="s">
        <v>1034</v>
      </c>
      <c r="X307" s="2" t="s">
        <v>233</v>
      </c>
      <c r="Y307" s="2" t="s">
        <v>2004</v>
      </c>
      <c r="Z307" s="4">
        <v>672</v>
      </c>
      <c r="AA307" s="4">
        <f>=ROUNDDOWN(74.6666666666667,0)</f>
      </c>
      <c r="AB307" s="5">
        <v>9</v>
      </c>
      <c r="AC307" s="2" t="s">
        <v>233</v>
      </c>
      <c r="AD307" s="4"/>
      <c r="AE307" s="4"/>
      <c r="AF307" s="6">
        <v>69</v>
      </c>
      <c r="AG307" s="6"/>
      <c r="AH307" s="7">
        <v>1</v>
      </c>
      <c r="AI307" s="4"/>
      <c r="AJ307" s="4">
        <f>=ROUNDDOWN({0},0)</f>
      </c>
      <c r="AK307" s="5"/>
      <c r="AL307" s="2" t="s">
        <v>233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>
        <v>25</v>
      </c>
      <c r="BK307" s="8">
        <v>495.52</v>
      </c>
      <c r="BL307" s="2" t="s">
        <v>2005</v>
      </c>
      <c r="BM307" s="7"/>
      <c r="BN307" s="7"/>
      <c r="BO307" s="4"/>
      <c r="BP307" s="8"/>
      <c r="BQ307" s="4"/>
      <c r="BR307" s="8"/>
      <c r="BS307" s="7"/>
      <c r="BT307" s="7"/>
      <c r="BU307" s="2" t="s">
        <v>2006</v>
      </c>
      <c r="BV307" s="2" t="s">
        <v>233</v>
      </c>
      <c r="BW307" s="2" t="s">
        <v>233</v>
      </c>
      <c r="BX307" s="2" t="s">
        <v>241</v>
      </c>
      <c r="BY307" s="2" t="s">
        <v>242</v>
      </c>
      <c r="BZ307" s="2" t="s">
        <v>230</v>
      </c>
      <c r="CA307" s="2" t="s">
        <v>2007</v>
      </c>
      <c r="CB307" s="2" t="s">
        <v>2008</v>
      </c>
      <c r="CC307" s="2" t="s">
        <v>245</v>
      </c>
      <c r="CD307" s="2" t="s">
        <v>233</v>
      </c>
      <c r="CE307" s="4">
        <v>672</v>
      </c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>
        <v>672</v>
      </c>
      <c r="GD307" s="4">
        <v>596</v>
      </c>
      <c r="GE307" s="4">
        <v>575</v>
      </c>
      <c r="GF307" s="4">
        <v>554</v>
      </c>
      <c r="GG307" s="4">
        <v>520</v>
      </c>
      <c r="GH307" s="4">
        <v>493</v>
      </c>
      <c r="GI307" s="4">
        <v>458</v>
      </c>
      <c r="GJ307" s="4">
        <v>439</v>
      </c>
      <c r="GK307" s="4">
        <v>423</v>
      </c>
      <c r="GL307" s="4">
        <v>406</v>
      </c>
      <c r="GM307" s="4">
        <v>397</v>
      </c>
      <c r="GN307" s="4">
        <v>388</v>
      </c>
      <c r="GO307" s="4">
        <v>379</v>
      </c>
      <c r="GP307" s="4">
        <v>370</v>
      </c>
      <c r="GQ307" s="4">
        <v>361</v>
      </c>
      <c r="GR307" s="4">
        <v>352</v>
      </c>
      <c r="GS307" s="4">
        <v>343</v>
      </c>
      <c r="GT307" s="4">
        <v>333</v>
      </c>
      <c r="GU307" s="4">
        <v>324</v>
      </c>
      <c r="GV307" s="4">
        <v>315</v>
      </c>
      <c r="GW307" s="4">
        <v>306</v>
      </c>
      <c r="GX307" s="4">
        <v>297</v>
      </c>
      <c r="GY307" s="4">
        <v>288</v>
      </c>
      <c r="GZ307" s="4">
        <v>279</v>
      </c>
      <c r="HA307" s="4">
        <v>270</v>
      </c>
      <c r="HB307" s="4">
        <v>261</v>
      </c>
      <c r="HC307" s="19">
        <v>17.7</v>
      </c>
      <c r="HD307" s="19">
        <v>22.9</v>
      </c>
      <c r="HE307" s="19">
        <v>19.8</v>
      </c>
      <c r="HF307" s="19">
        <v>19.1</v>
      </c>
      <c r="HG307" s="19">
        <v>21.7</v>
      </c>
      <c r="HH307" s="19">
        <v>22.4</v>
      </c>
      <c r="HI307" s="19">
        <v>30.5</v>
      </c>
      <c r="HJ307" s="19">
        <v>33.8</v>
      </c>
      <c r="HK307" s="19">
        <v>38.5</v>
      </c>
      <c r="HL307" s="19">
        <v>45.1</v>
      </c>
      <c r="HM307" s="19">
        <v>44.1</v>
      </c>
      <c r="HN307" s="19">
        <v>43.1</v>
      </c>
      <c r="HO307" s="19">
        <v>42.1</v>
      </c>
      <c r="HP307" s="19">
        <v>41.1</v>
      </c>
      <c r="HQ307" s="19">
        <v>40.1</v>
      </c>
      <c r="HR307" s="19">
        <v>39.1</v>
      </c>
      <c r="HS307" s="19">
        <v>38.1</v>
      </c>
      <c r="HT307" s="19">
        <v>37</v>
      </c>
      <c r="HU307" s="19">
        <v>36</v>
      </c>
      <c r="HV307" s="19">
        <v>35</v>
      </c>
      <c r="HW307" s="19">
        <v>34</v>
      </c>
      <c r="HX307" s="19">
        <v>33</v>
      </c>
      <c r="HY307" s="19">
        <v>32</v>
      </c>
      <c r="HZ307" s="19">
        <v>31</v>
      </c>
      <c r="IA307" s="19">
        <v>30</v>
      </c>
      <c r="IB307" s="19">
        <v>29</v>
      </c>
    </row>
    <row r="308">
      <c r="A308" s="2" t="s">
        <v>2009</v>
      </c>
      <c r="B308" s="2" t="s">
        <v>825</v>
      </c>
      <c r="C308" s="2" t="s">
        <v>1411</v>
      </c>
      <c r="D308" s="2" t="s">
        <v>261</v>
      </c>
      <c r="E308" s="2" t="s">
        <v>603</v>
      </c>
      <c r="F308" s="2" t="s">
        <v>2010</v>
      </c>
      <c r="G308" s="2" t="s">
        <v>2011</v>
      </c>
      <c r="H308" s="2" t="s">
        <v>2012</v>
      </c>
      <c r="I308" s="2" t="s">
        <v>2013</v>
      </c>
      <c r="J308" s="2" t="s">
        <v>1052</v>
      </c>
      <c r="K308" s="2" t="s">
        <v>229</v>
      </c>
      <c r="L308" s="3">
        <v>23.8</v>
      </c>
      <c r="M308" s="3">
        <v>24.99</v>
      </c>
      <c r="N308" s="3">
        <v>49.99</v>
      </c>
      <c r="O308" s="2" t="s">
        <v>230</v>
      </c>
      <c r="P308" s="2" t="s">
        <v>231</v>
      </c>
      <c r="Q308" s="2" t="s">
        <v>232</v>
      </c>
      <c r="R308" s="2" t="s">
        <v>233</v>
      </c>
      <c r="S308" s="2" t="s">
        <v>2014</v>
      </c>
      <c r="T308" s="2" t="s">
        <v>469</v>
      </c>
      <c r="U308" s="2" t="s">
        <v>287</v>
      </c>
      <c r="V308" s="2" t="s">
        <v>1178</v>
      </c>
      <c r="W308" s="2" t="s">
        <v>916</v>
      </c>
      <c r="X308" s="2" t="s">
        <v>233</v>
      </c>
      <c r="Y308" s="2" t="s">
        <v>2015</v>
      </c>
      <c r="Z308" s="4"/>
      <c r="AA308" s="4">
        <f>=ROUNDDOWN({0},0)</f>
      </c>
      <c r="AB308" s="5">
        <v>11</v>
      </c>
      <c r="AC308" s="2" t="s">
        <v>145</v>
      </c>
      <c r="AD308" s="4">
        <v>280</v>
      </c>
      <c r="AE308" s="4">
        <v>280</v>
      </c>
      <c r="AF308" s="6">
        <v>64</v>
      </c>
      <c r="AG308" s="6"/>
      <c r="AH308" s="7">
        <v>0</v>
      </c>
      <c r="AI308" s="4"/>
      <c r="AJ308" s="4">
        <f>=ROUNDDOWN({0},0)</f>
      </c>
      <c r="AK308" s="5"/>
      <c r="AL308" s="2" t="s">
        <v>233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233</v>
      </c>
      <c r="AW308" s="8" t="s">
        <v>233</v>
      </c>
      <c r="AX308" s="4" t="s">
        <v>233</v>
      </c>
      <c r="AY308" s="8" t="s">
        <v>233</v>
      </c>
      <c r="AZ308" s="7" t="s">
        <v>233</v>
      </c>
      <c r="BA308" s="7" t="s">
        <v>233</v>
      </c>
      <c r="BB308" s="7" t="s">
        <v>233</v>
      </c>
      <c r="BC308" s="4" t="s">
        <v>233</v>
      </c>
      <c r="BD308" s="8" t="s">
        <v>233</v>
      </c>
      <c r="BE308" s="4" t="s">
        <v>233</v>
      </c>
      <c r="BF308" s="8" t="s">
        <v>233</v>
      </c>
      <c r="BG308" s="7" t="s">
        <v>233</v>
      </c>
      <c r="BH308" s="7" t="s">
        <v>233</v>
      </c>
      <c r="BI308" s="7"/>
      <c r="BJ308" s="4"/>
      <c r="BK308" s="8"/>
      <c r="BL308" s="2" t="s">
        <v>233</v>
      </c>
      <c r="BM308" s="7"/>
      <c r="BN308" s="7"/>
      <c r="BO308" s="4"/>
      <c r="BP308" s="8"/>
      <c r="BQ308" s="4"/>
      <c r="BR308" s="8"/>
      <c r="BS308" s="7"/>
      <c r="BT308" s="7"/>
      <c r="BU308" s="2" t="s">
        <v>2016</v>
      </c>
      <c r="BV308" s="2" t="s">
        <v>233</v>
      </c>
      <c r="BW308" s="2" t="s">
        <v>233</v>
      </c>
      <c r="BX308" s="2" t="s">
        <v>241</v>
      </c>
      <c r="BY308" s="2" t="s">
        <v>242</v>
      </c>
      <c r="BZ308" s="2" t="s">
        <v>230</v>
      </c>
      <c r="CA308" s="2" t="s">
        <v>1143</v>
      </c>
      <c r="CB308" s="2" t="s">
        <v>233</v>
      </c>
      <c r="CC308" s="2" t="s">
        <v>245</v>
      </c>
      <c r="CD308" s="2" t="s">
        <v>233</v>
      </c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>
        <v>280</v>
      </c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>
        <v>280</v>
      </c>
      <c r="GG308" s="4">
        <v>248</v>
      </c>
      <c r="GH308" s="4">
        <v>227</v>
      </c>
      <c r="GI308" s="4">
        <v>208</v>
      </c>
      <c r="GJ308" s="4">
        <v>194</v>
      </c>
      <c r="GK308" s="4">
        <v>181</v>
      </c>
      <c r="GL308" s="4">
        <v>168</v>
      </c>
      <c r="GM308" s="4">
        <v>156</v>
      </c>
      <c r="GN308" s="4">
        <v>145</v>
      </c>
      <c r="GO308" s="4">
        <v>134</v>
      </c>
      <c r="GP308" s="4">
        <v>123</v>
      </c>
      <c r="GQ308" s="4">
        <v>112</v>
      </c>
      <c r="GR308" s="4">
        <v>101</v>
      </c>
      <c r="GS308" s="4">
        <v>90</v>
      </c>
      <c r="GT308" s="4">
        <v>77</v>
      </c>
      <c r="GU308" s="4">
        <v>66</v>
      </c>
      <c r="GV308" s="4">
        <v>55</v>
      </c>
      <c r="GW308" s="4">
        <v>44</v>
      </c>
      <c r="GX308" s="4">
        <v>33</v>
      </c>
      <c r="GY308" s="4">
        <v>22</v>
      </c>
      <c r="GZ308" s="4">
        <v>11</v>
      </c>
      <c r="HA308" s="4">
        <v>213</v>
      </c>
      <c r="HB308" s="4">
        <v>202</v>
      </c>
      <c r="HC308" s="20">
        <v>0</v>
      </c>
      <c r="HD308" s="20">
        <v>0</v>
      </c>
      <c r="HE308" s="20">
        <v>0</v>
      </c>
      <c r="HF308" s="19">
        <v>12.7</v>
      </c>
      <c r="HG308" s="19">
        <v>14.6</v>
      </c>
      <c r="HH308" s="19">
        <v>15.1</v>
      </c>
      <c r="HI308" s="19">
        <v>16</v>
      </c>
      <c r="HJ308" s="19">
        <v>16.2</v>
      </c>
      <c r="HK308" s="19">
        <v>15.1</v>
      </c>
      <c r="HL308" s="19">
        <v>15.3</v>
      </c>
      <c r="HM308" s="19">
        <v>14.2</v>
      </c>
      <c r="HN308" s="19">
        <v>13.2</v>
      </c>
      <c r="HO308" s="19">
        <v>12.2</v>
      </c>
      <c r="HP308" s="19">
        <v>10.3</v>
      </c>
      <c r="HQ308" s="19">
        <v>9.3</v>
      </c>
      <c r="HR308" s="19">
        <v>8.4</v>
      </c>
      <c r="HS308" s="19">
        <v>7.5</v>
      </c>
      <c r="HT308" s="19">
        <v>7</v>
      </c>
      <c r="HU308" s="19">
        <v>6</v>
      </c>
      <c r="HV308" s="19">
        <v>5</v>
      </c>
      <c r="HW308" s="19">
        <v>4</v>
      </c>
      <c r="HX308" s="19">
        <v>3</v>
      </c>
      <c r="HY308" s="19">
        <v>2</v>
      </c>
      <c r="HZ308" s="19">
        <v>1</v>
      </c>
      <c r="IA308" s="19">
        <v>19.4</v>
      </c>
      <c r="IB308" s="19">
        <v>16.8</v>
      </c>
    </row>
    <row r="309">
      <c r="A309" s="2" t="s">
        <v>2017</v>
      </c>
      <c r="B309" s="2" t="s">
        <v>825</v>
      </c>
      <c r="C309" s="2" t="s">
        <v>1411</v>
      </c>
      <c r="D309" s="2" t="s">
        <v>774</v>
      </c>
      <c r="E309" s="2" t="s">
        <v>775</v>
      </c>
      <c r="F309" s="2" t="s">
        <v>2010</v>
      </c>
      <c r="G309" s="2" t="s">
        <v>2011</v>
      </c>
      <c r="H309" s="2" t="s">
        <v>2012</v>
      </c>
      <c r="I309" s="2" t="s">
        <v>2018</v>
      </c>
      <c r="J309" s="2" t="s">
        <v>1052</v>
      </c>
      <c r="K309" s="2" t="s">
        <v>229</v>
      </c>
      <c r="L309" s="3">
        <v>14.28</v>
      </c>
      <c r="M309" s="3">
        <v>14.99</v>
      </c>
      <c r="N309" s="3">
        <v>29.99</v>
      </c>
      <c r="O309" s="2" t="s">
        <v>230</v>
      </c>
      <c r="P309" s="2" t="s">
        <v>231</v>
      </c>
      <c r="Q309" s="2" t="s">
        <v>232</v>
      </c>
      <c r="R309" s="2" t="s">
        <v>233</v>
      </c>
      <c r="S309" s="2" t="s">
        <v>2014</v>
      </c>
      <c r="T309" s="2" t="s">
        <v>469</v>
      </c>
      <c r="U309" s="2" t="s">
        <v>711</v>
      </c>
      <c r="V309" s="2" t="s">
        <v>1178</v>
      </c>
      <c r="W309" s="2" t="s">
        <v>916</v>
      </c>
      <c r="X309" s="2" t="s">
        <v>233</v>
      </c>
      <c r="Y309" s="2" t="s">
        <v>2015</v>
      </c>
      <c r="Z309" s="4"/>
      <c r="AA309" s="4">
        <f>=ROUNDDOWN({0},0)</f>
      </c>
      <c r="AB309" s="5">
        <v>4</v>
      </c>
      <c r="AC309" s="2" t="s">
        <v>145</v>
      </c>
      <c r="AD309" s="4">
        <v>130</v>
      </c>
      <c r="AE309" s="4">
        <v>130</v>
      </c>
      <c r="AF309" s="6">
        <v>64</v>
      </c>
      <c r="AG309" s="6"/>
      <c r="AH309" s="7">
        <v>0</v>
      </c>
      <c r="AI309" s="4"/>
      <c r="AJ309" s="4">
        <f>=ROUNDDOWN({0},0)</f>
      </c>
      <c r="AK309" s="5"/>
      <c r="AL309" s="2" t="s">
        <v>233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233</v>
      </c>
      <c r="AW309" s="8" t="s">
        <v>233</v>
      </c>
      <c r="AX309" s="4" t="s">
        <v>233</v>
      </c>
      <c r="AY309" s="8" t="s">
        <v>233</v>
      </c>
      <c r="AZ309" s="7" t="s">
        <v>233</v>
      </c>
      <c r="BA309" s="7" t="s">
        <v>233</v>
      </c>
      <c r="BB309" s="7" t="s">
        <v>233</v>
      </c>
      <c r="BC309" s="4" t="s">
        <v>233</v>
      </c>
      <c r="BD309" s="8" t="s">
        <v>233</v>
      </c>
      <c r="BE309" s="4" t="s">
        <v>233</v>
      </c>
      <c r="BF309" s="8" t="s">
        <v>233</v>
      </c>
      <c r="BG309" s="7" t="s">
        <v>233</v>
      </c>
      <c r="BH309" s="7" t="s">
        <v>233</v>
      </c>
      <c r="BI309" s="7"/>
      <c r="BJ309" s="4"/>
      <c r="BK309" s="8"/>
      <c r="BL309" s="2" t="s">
        <v>233</v>
      </c>
      <c r="BM309" s="7"/>
      <c r="BN309" s="7"/>
      <c r="BO309" s="4"/>
      <c r="BP309" s="8"/>
      <c r="BQ309" s="4"/>
      <c r="BR309" s="8"/>
      <c r="BS309" s="7"/>
      <c r="BT309" s="7"/>
      <c r="BU309" s="2" t="s">
        <v>2019</v>
      </c>
      <c r="BV309" s="2" t="s">
        <v>233</v>
      </c>
      <c r="BW309" s="2" t="s">
        <v>233</v>
      </c>
      <c r="BX309" s="2" t="s">
        <v>241</v>
      </c>
      <c r="BY309" s="2" t="s">
        <v>242</v>
      </c>
      <c r="BZ309" s="2" t="s">
        <v>230</v>
      </c>
      <c r="CA309" s="2" t="s">
        <v>1862</v>
      </c>
      <c r="CB309" s="2" t="s">
        <v>2020</v>
      </c>
      <c r="CC309" s="2" t="s">
        <v>245</v>
      </c>
      <c r="CD309" s="2" t="s">
        <v>233</v>
      </c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>
        <v>130</v>
      </c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>
        <v>130</v>
      </c>
      <c r="GG309" s="4">
        <v>124</v>
      </c>
      <c r="GH309" s="4">
        <v>115</v>
      </c>
      <c r="GI309" s="4">
        <v>107</v>
      </c>
      <c r="GJ309" s="4">
        <v>101</v>
      </c>
      <c r="GK309" s="4">
        <v>96</v>
      </c>
      <c r="GL309" s="4">
        <v>91</v>
      </c>
      <c r="GM309" s="4">
        <v>87</v>
      </c>
      <c r="GN309" s="4">
        <v>83</v>
      </c>
      <c r="GO309" s="4">
        <v>79</v>
      </c>
      <c r="GP309" s="4">
        <v>75</v>
      </c>
      <c r="GQ309" s="4">
        <v>71</v>
      </c>
      <c r="GR309" s="4">
        <v>67</v>
      </c>
      <c r="GS309" s="4">
        <v>63</v>
      </c>
      <c r="GT309" s="4">
        <v>58</v>
      </c>
      <c r="GU309" s="4">
        <v>54</v>
      </c>
      <c r="GV309" s="4">
        <v>50</v>
      </c>
      <c r="GW309" s="4">
        <v>46</v>
      </c>
      <c r="GX309" s="4">
        <v>42</v>
      </c>
      <c r="GY309" s="4">
        <v>38</v>
      </c>
      <c r="GZ309" s="4">
        <v>34</v>
      </c>
      <c r="HA309" s="4">
        <v>57</v>
      </c>
      <c r="HB309" s="4">
        <v>53</v>
      </c>
      <c r="HC309" s="20">
        <v>0</v>
      </c>
      <c r="HD309" s="20">
        <v>0</v>
      </c>
      <c r="HE309" s="20">
        <v>0</v>
      </c>
      <c r="HF309" s="19">
        <v>18.6</v>
      </c>
      <c r="HG309" s="19">
        <v>17.7</v>
      </c>
      <c r="HH309" s="19">
        <v>19.2</v>
      </c>
      <c r="HI309" s="19">
        <v>21.4</v>
      </c>
      <c r="HJ309" s="19">
        <v>25.3</v>
      </c>
      <c r="HK309" s="19">
        <v>24</v>
      </c>
      <c r="HL309" s="19">
        <v>22.8</v>
      </c>
      <c r="HM309" s="19">
        <v>21.8</v>
      </c>
      <c r="HN309" s="19">
        <v>20.8</v>
      </c>
      <c r="HO309" s="19">
        <v>19.8</v>
      </c>
      <c r="HP309" s="19">
        <v>18.8</v>
      </c>
      <c r="HQ309" s="19">
        <v>17.8</v>
      </c>
      <c r="HR309" s="19">
        <v>16.8</v>
      </c>
      <c r="HS309" s="19">
        <v>15.8</v>
      </c>
      <c r="HT309" s="19">
        <v>14.5</v>
      </c>
      <c r="HU309" s="19">
        <v>13.5</v>
      </c>
      <c r="HV309" s="19">
        <v>12.5</v>
      </c>
      <c r="HW309" s="19">
        <v>11.5</v>
      </c>
      <c r="HX309" s="19">
        <v>10.5</v>
      </c>
      <c r="HY309" s="19">
        <v>9.5</v>
      </c>
      <c r="HZ309" s="19">
        <v>8.5</v>
      </c>
      <c r="IA309" s="19">
        <v>14.3</v>
      </c>
      <c r="IB309" s="19">
        <v>13.3</v>
      </c>
    </row>
    <row r="310">
      <c r="A310" s="2" t="s">
        <v>2021</v>
      </c>
      <c r="B310" s="2" t="s">
        <v>825</v>
      </c>
      <c r="C310" s="2" t="s">
        <v>1411</v>
      </c>
      <c r="D310" s="2" t="s">
        <v>261</v>
      </c>
      <c r="E310" s="2" t="s">
        <v>603</v>
      </c>
      <c r="F310" s="2" t="s">
        <v>2010</v>
      </c>
      <c r="G310" s="2" t="s">
        <v>2011</v>
      </c>
      <c r="H310" s="2" t="s">
        <v>2012</v>
      </c>
      <c r="I310" s="2" t="s">
        <v>2013</v>
      </c>
      <c r="J310" s="2" t="s">
        <v>265</v>
      </c>
      <c r="K310" s="2" t="s">
        <v>229</v>
      </c>
      <c r="L310" s="3">
        <v>28.57</v>
      </c>
      <c r="M310" s="3">
        <v>30</v>
      </c>
      <c r="N310" s="3">
        <v>59.99</v>
      </c>
      <c r="O310" s="2" t="s">
        <v>230</v>
      </c>
      <c r="P310" s="2" t="s">
        <v>231</v>
      </c>
      <c r="Q310" s="2" t="s">
        <v>232</v>
      </c>
      <c r="R310" s="2" t="s">
        <v>233</v>
      </c>
      <c r="S310" s="2" t="s">
        <v>2014</v>
      </c>
      <c r="T310" s="2" t="s">
        <v>469</v>
      </c>
      <c r="U310" s="2" t="s">
        <v>608</v>
      </c>
      <c r="V310" s="2" t="s">
        <v>1178</v>
      </c>
      <c r="W310" s="2" t="s">
        <v>916</v>
      </c>
      <c r="X310" s="2" t="s">
        <v>233</v>
      </c>
      <c r="Y310" s="2" t="s">
        <v>2015</v>
      </c>
      <c r="Z310" s="4">
        <v>117</v>
      </c>
      <c r="AA310" s="4">
        <f>=ROUNDDOWN(7.8,0)</f>
      </c>
      <c r="AB310" s="5">
        <v>15</v>
      </c>
      <c r="AC310" s="2" t="s">
        <v>145</v>
      </c>
      <c r="AD310" s="4">
        <v>330</v>
      </c>
      <c r="AE310" s="4">
        <v>330</v>
      </c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233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233</v>
      </c>
      <c r="AW310" s="8" t="s">
        <v>233</v>
      </c>
      <c r="AX310" s="4" t="s">
        <v>233</v>
      </c>
      <c r="AY310" s="8" t="s">
        <v>233</v>
      </c>
      <c r="AZ310" s="7" t="s">
        <v>233</v>
      </c>
      <c r="BA310" s="7" t="s">
        <v>233</v>
      </c>
      <c r="BB310" s="7" t="s">
        <v>233</v>
      </c>
      <c r="BC310" s="4" t="s">
        <v>233</v>
      </c>
      <c r="BD310" s="8" t="s">
        <v>233</v>
      </c>
      <c r="BE310" s="4" t="s">
        <v>233</v>
      </c>
      <c r="BF310" s="8" t="s">
        <v>233</v>
      </c>
      <c r="BG310" s="7" t="s">
        <v>233</v>
      </c>
      <c r="BH310" s="7" t="s">
        <v>233</v>
      </c>
      <c r="BI310" s="7"/>
      <c r="BJ310" s="4">
        <v>29</v>
      </c>
      <c r="BK310" s="8">
        <v>979.9</v>
      </c>
      <c r="BL310" s="2" t="s">
        <v>2022</v>
      </c>
      <c r="BM310" s="7"/>
      <c r="BN310" s="7"/>
      <c r="BO310" s="4"/>
      <c r="BP310" s="8"/>
      <c r="BQ310" s="4"/>
      <c r="BR310" s="8"/>
      <c r="BS310" s="7"/>
      <c r="BT310" s="7"/>
      <c r="BU310" s="2" t="s">
        <v>2016</v>
      </c>
      <c r="BV310" s="2" t="s">
        <v>233</v>
      </c>
      <c r="BW310" s="2" t="s">
        <v>233</v>
      </c>
      <c r="BX310" s="2" t="s">
        <v>241</v>
      </c>
      <c r="BY310" s="2" t="s">
        <v>242</v>
      </c>
      <c r="BZ310" s="2" t="s">
        <v>230</v>
      </c>
      <c r="CA310" s="2" t="s">
        <v>1143</v>
      </c>
      <c r="CB310" s="2" t="s">
        <v>1877</v>
      </c>
      <c r="CC310" s="2" t="s">
        <v>245</v>
      </c>
      <c r="CD310" s="2" t="s">
        <v>233</v>
      </c>
      <c r="CE310" s="4">
        <v>117</v>
      </c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>
        <v>330</v>
      </c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>
        <v>120</v>
      </c>
      <c r="GD310" s="4">
        <v>77</v>
      </c>
      <c r="GE310" s="4">
        <v>57</v>
      </c>
      <c r="GF310" s="4">
        <v>368</v>
      </c>
      <c r="GG310" s="4">
        <v>349</v>
      </c>
      <c r="GH310" s="4">
        <v>320</v>
      </c>
      <c r="GI310" s="4">
        <v>294</v>
      </c>
      <c r="GJ310" s="4">
        <v>275</v>
      </c>
      <c r="GK310" s="4">
        <v>258</v>
      </c>
      <c r="GL310" s="4">
        <v>241</v>
      </c>
      <c r="GM310" s="4">
        <v>225</v>
      </c>
      <c r="GN310" s="4">
        <v>210</v>
      </c>
      <c r="GO310" s="4">
        <v>195</v>
      </c>
      <c r="GP310" s="4">
        <v>180</v>
      </c>
      <c r="GQ310" s="4">
        <v>165</v>
      </c>
      <c r="GR310" s="4">
        <v>150</v>
      </c>
      <c r="GS310" s="4">
        <v>135</v>
      </c>
      <c r="GT310" s="4">
        <v>118</v>
      </c>
      <c r="GU310" s="4">
        <v>103</v>
      </c>
      <c r="GV310" s="4">
        <v>88</v>
      </c>
      <c r="GW310" s="4">
        <v>73</v>
      </c>
      <c r="GX310" s="4">
        <v>58</v>
      </c>
      <c r="GY310" s="4">
        <v>43</v>
      </c>
      <c r="GZ310" s="4">
        <v>28</v>
      </c>
      <c r="HA310" s="4">
        <v>257</v>
      </c>
      <c r="HB310" s="4">
        <v>242</v>
      </c>
      <c r="HC310" s="19">
        <v>4.8</v>
      </c>
      <c r="HD310" s="19">
        <v>3.5</v>
      </c>
      <c r="HE310" s="19">
        <v>2.5</v>
      </c>
      <c r="HF310" s="19">
        <v>16</v>
      </c>
      <c r="HG310" s="19">
        <v>15.2</v>
      </c>
      <c r="HH310" s="19">
        <v>16</v>
      </c>
      <c r="HI310" s="19">
        <v>17.3</v>
      </c>
      <c r="HJ310" s="19">
        <v>17.2</v>
      </c>
      <c r="HK310" s="19">
        <v>16.1</v>
      </c>
      <c r="HL310" s="19">
        <v>16.1</v>
      </c>
      <c r="HM310" s="19">
        <v>15</v>
      </c>
      <c r="HN310" s="19">
        <v>14</v>
      </c>
      <c r="HO310" s="19">
        <v>13</v>
      </c>
      <c r="HP310" s="19">
        <v>11.3</v>
      </c>
      <c r="HQ310" s="19">
        <v>10.3</v>
      </c>
      <c r="HR310" s="19">
        <v>9.4</v>
      </c>
      <c r="HS310" s="19">
        <v>8.4</v>
      </c>
      <c r="HT310" s="19">
        <v>7.9</v>
      </c>
      <c r="HU310" s="19">
        <v>6.9</v>
      </c>
      <c r="HV310" s="19">
        <v>5.9</v>
      </c>
      <c r="HW310" s="19">
        <v>4.9</v>
      </c>
      <c r="HX310" s="19">
        <v>3.9</v>
      </c>
      <c r="HY310" s="19">
        <v>2.9</v>
      </c>
      <c r="HZ310" s="19">
        <v>1.9</v>
      </c>
      <c r="IA310" s="19">
        <v>17.1</v>
      </c>
      <c r="IB310" s="19">
        <v>16.1</v>
      </c>
    </row>
    <row r="311">
      <c r="A311" s="2" t="s">
        <v>2023</v>
      </c>
      <c r="B311" s="2" t="s">
        <v>825</v>
      </c>
      <c r="C311" s="2" t="s">
        <v>1411</v>
      </c>
      <c r="D311" s="2" t="s">
        <v>774</v>
      </c>
      <c r="E311" s="2" t="s">
        <v>775</v>
      </c>
      <c r="F311" s="2" t="s">
        <v>2010</v>
      </c>
      <c r="G311" s="2" t="s">
        <v>2011</v>
      </c>
      <c r="H311" s="2" t="s">
        <v>2012</v>
      </c>
      <c r="I311" s="2" t="s">
        <v>2018</v>
      </c>
      <c r="J311" s="2" t="s">
        <v>265</v>
      </c>
      <c r="K311" s="2" t="s">
        <v>229</v>
      </c>
      <c r="L311" s="3">
        <v>19.04</v>
      </c>
      <c r="M311" s="3">
        <v>19.99</v>
      </c>
      <c r="N311" s="3">
        <v>39.99</v>
      </c>
      <c r="O311" s="2" t="s">
        <v>230</v>
      </c>
      <c r="P311" s="2" t="s">
        <v>231</v>
      </c>
      <c r="Q311" s="2" t="s">
        <v>232</v>
      </c>
      <c r="R311" s="2" t="s">
        <v>233</v>
      </c>
      <c r="S311" s="2" t="s">
        <v>2014</v>
      </c>
      <c r="T311" s="2" t="s">
        <v>469</v>
      </c>
      <c r="U311" s="2" t="s">
        <v>781</v>
      </c>
      <c r="V311" s="2" t="s">
        <v>1178</v>
      </c>
      <c r="W311" s="2" t="s">
        <v>916</v>
      </c>
      <c r="X311" s="2" t="s">
        <v>233</v>
      </c>
      <c r="Y311" s="2" t="s">
        <v>2024</v>
      </c>
      <c r="Z311" s="4">
        <v>35</v>
      </c>
      <c r="AA311" s="4">
        <f>=ROUNDDOWN(5.83333333333333,0)</f>
      </c>
      <c r="AB311" s="5">
        <v>6</v>
      </c>
      <c r="AC311" s="2" t="s">
        <v>145</v>
      </c>
      <c r="AD311" s="4">
        <v>160</v>
      </c>
      <c r="AE311" s="4">
        <v>160</v>
      </c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233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233</v>
      </c>
      <c r="AW311" s="8" t="s">
        <v>233</v>
      </c>
      <c r="AX311" s="4" t="s">
        <v>233</v>
      </c>
      <c r="AY311" s="8" t="s">
        <v>233</v>
      </c>
      <c r="AZ311" s="7" t="s">
        <v>233</v>
      </c>
      <c r="BA311" s="7" t="s">
        <v>233</v>
      </c>
      <c r="BB311" s="7" t="s">
        <v>233</v>
      </c>
      <c r="BC311" s="4" t="s">
        <v>233</v>
      </c>
      <c r="BD311" s="8" t="s">
        <v>233</v>
      </c>
      <c r="BE311" s="4" t="s">
        <v>233</v>
      </c>
      <c r="BF311" s="8" t="s">
        <v>233</v>
      </c>
      <c r="BG311" s="7" t="s">
        <v>233</v>
      </c>
      <c r="BH311" s="7" t="s">
        <v>233</v>
      </c>
      <c r="BI311" s="7"/>
      <c r="BJ311" s="4">
        <v>14</v>
      </c>
      <c r="BK311" s="8">
        <v>334.26</v>
      </c>
      <c r="BL311" s="2" t="s">
        <v>2025</v>
      </c>
      <c r="BM311" s="7"/>
      <c r="BN311" s="7"/>
      <c r="BO311" s="4"/>
      <c r="BP311" s="8"/>
      <c r="BQ311" s="4"/>
      <c r="BR311" s="8"/>
      <c r="BS311" s="7"/>
      <c r="BT311" s="7"/>
      <c r="BU311" s="2" t="s">
        <v>2019</v>
      </c>
      <c r="BV311" s="2" t="s">
        <v>233</v>
      </c>
      <c r="BW311" s="2" t="s">
        <v>233</v>
      </c>
      <c r="BX311" s="2" t="s">
        <v>241</v>
      </c>
      <c r="BY311" s="2" t="s">
        <v>242</v>
      </c>
      <c r="BZ311" s="2" t="s">
        <v>230</v>
      </c>
      <c r="CA311" s="2" t="s">
        <v>1862</v>
      </c>
      <c r="CB311" s="2" t="s">
        <v>2026</v>
      </c>
      <c r="CC311" s="2" t="s">
        <v>245</v>
      </c>
      <c r="CD311" s="2" t="s">
        <v>233</v>
      </c>
      <c r="CE311" s="4">
        <v>35</v>
      </c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>
        <v>160</v>
      </c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>
        <v>36</v>
      </c>
      <c r="GD311" s="4">
        <v>18</v>
      </c>
      <c r="GE311" s="4">
        <v>10</v>
      </c>
      <c r="GF311" s="4">
        <v>162</v>
      </c>
      <c r="GG311" s="4">
        <v>154</v>
      </c>
      <c r="GH311" s="4">
        <v>143</v>
      </c>
      <c r="GI311" s="4">
        <v>133</v>
      </c>
      <c r="GJ311" s="4">
        <v>125</v>
      </c>
      <c r="GK311" s="4">
        <v>118</v>
      </c>
      <c r="GL311" s="4">
        <v>111</v>
      </c>
      <c r="GM311" s="4">
        <v>105</v>
      </c>
      <c r="GN311" s="4">
        <v>99</v>
      </c>
      <c r="GO311" s="4">
        <v>93</v>
      </c>
      <c r="GP311" s="4">
        <v>87</v>
      </c>
      <c r="GQ311" s="4">
        <v>81</v>
      </c>
      <c r="GR311" s="4">
        <v>75</v>
      </c>
      <c r="GS311" s="4">
        <v>69</v>
      </c>
      <c r="GT311" s="4">
        <v>62</v>
      </c>
      <c r="GU311" s="4">
        <v>56</v>
      </c>
      <c r="GV311" s="4">
        <v>50</v>
      </c>
      <c r="GW311" s="4">
        <v>44</v>
      </c>
      <c r="GX311" s="4">
        <v>38</v>
      </c>
      <c r="GY311" s="4">
        <v>32</v>
      </c>
      <c r="GZ311" s="4">
        <v>26</v>
      </c>
      <c r="HA311" s="4">
        <v>94</v>
      </c>
      <c r="HB311" s="4">
        <v>88</v>
      </c>
      <c r="HC311" s="19">
        <v>3.6</v>
      </c>
      <c r="HD311" s="19">
        <v>2</v>
      </c>
      <c r="HE311" s="19">
        <v>1.1</v>
      </c>
      <c r="HF311" s="19">
        <v>18</v>
      </c>
      <c r="HG311" s="19">
        <v>17.1</v>
      </c>
      <c r="HH311" s="19">
        <v>17.9</v>
      </c>
      <c r="HI311" s="19">
        <v>19</v>
      </c>
      <c r="HJ311" s="19">
        <v>20.8</v>
      </c>
      <c r="HK311" s="19">
        <v>19.7</v>
      </c>
      <c r="HL311" s="19">
        <v>18.5</v>
      </c>
      <c r="HM311" s="19">
        <v>17.5</v>
      </c>
      <c r="HN311" s="19">
        <v>16.5</v>
      </c>
      <c r="HO311" s="19">
        <v>15.5</v>
      </c>
      <c r="HP311" s="19">
        <v>14.5</v>
      </c>
      <c r="HQ311" s="19">
        <v>13.5</v>
      </c>
      <c r="HR311" s="19">
        <v>12.5</v>
      </c>
      <c r="HS311" s="19">
        <v>11.5</v>
      </c>
      <c r="HT311" s="19">
        <v>10.3</v>
      </c>
      <c r="HU311" s="19">
        <v>9.3</v>
      </c>
      <c r="HV311" s="19">
        <v>8.3</v>
      </c>
      <c r="HW311" s="19">
        <v>7.3</v>
      </c>
      <c r="HX311" s="19">
        <v>6.3</v>
      </c>
      <c r="HY311" s="19">
        <v>5.3</v>
      </c>
      <c r="HZ311" s="19">
        <v>4.3</v>
      </c>
      <c r="IA311" s="19">
        <v>15.7</v>
      </c>
      <c r="IB311" s="19">
        <v>14.7</v>
      </c>
    </row>
    <row r="312">
      <c r="A312" s="2" t="s">
        <v>2027</v>
      </c>
      <c r="B312" s="2" t="s">
        <v>872</v>
      </c>
      <c r="C312" s="2" t="s">
        <v>280</v>
      </c>
      <c r="D312" s="2" t="s">
        <v>884</v>
      </c>
      <c r="E312" s="2" t="s">
        <v>1753</v>
      </c>
      <c r="F312" s="2" t="s">
        <v>2028</v>
      </c>
      <c r="G312" s="2" t="s">
        <v>2029</v>
      </c>
      <c r="H312" s="2" t="s">
        <v>2030</v>
      </c>
      <c r="I312" s="2" t="s">
        <v>2031</v>
      </c>
      <c r="J312" s="2" t="s">
        <v>265</v>
      </c>
      <c r="K312" s="2" t="s">
        <v>434</v>
      </c>
      <c r="L312" s="3">
        <v>49.5</v>
      </c>
      <c r="M312" s="3">
        <v>51.98</v>
      </c>
      <c r="N312" s="3">
        <v>99.99</v>
      </c>
      <c r="O312" s="2" t="s">
        <v>230</v>
      </c>
      <c r="P312" s="2" t="s">
        <v>231</v>
      </c>
      <c r="Q312" s="2" t="s">
        <v>232</v>
      </c>
      <c r="R312" s="2" t="s">
        <v>233</v>
      </c>
      <c r="S312" s="2" t="s">
        <v>2032</v>
      </c>
      <c r="T312" s="2" t="s">
        <v>233</v>
      </c>
      <c r="U312" s="2" t="s">
        <v>665</v>
      </c>
      <c r="V312" s="2" t="s">
        <v>1033</v>
      </c>
      <c r="W312" s="2" t="s">
        <v>712</v>
      </c>
      <c r="X312" s="2" t="s">
        <v>2033</v>
      </c>
      <c r="Y312" s="2" t="s">
        <v>238</v>
      </c>
      <c r="Z312" s="4">
        <v>497</v>
      </c>
      <c r="AA312" s="4">
        <f>=ROUNDDOWN(82.8333333333333,0)</f>
      </c>
      <c r="AB312" s="5">
        <v>6</v>
      </c>
      <c r="AC312" s="2" t="s">
        <v>233</v>
      </c>
      <c r="AD312" s="4"/>
      <c r="AE312" s="4"/>
      <c r="AF312" s="6">
        <v>65</v>
      </c>
      <c r="AG312" s="6">
        <v>73</v>
      </c>
      <c r="AH312" s="7">
        <v>1</v>
      </c>
      <c r="AI312" s="4"/>
      <c r="AJ312" s="4">
        <f>=ROUNDDOWN({0},0)</f>
      </c>
      <c r="AK312" s="5"/>
      <c r="AL312" s="2" t="s">
        <v>233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233</v>
      </c>
      <c r="AW312" s="8" t="s">
        <v>233</v>
      </c>
      <c r="AX312" s="4" t="s">
        <v>233</v>
      </c>
      <c r="AY312" s="8" t="s">
        <v>233</v>
      </c>
      <c r="AZ312" s="7" t="s">
        <v>233</v>
      </c>
      <c r="BA312" s="7" t="s">
        <v>233</v>
      </c>
      <c r="BB312" s="7"/>
      <c r="BC312" s="4" t="s">
        <v>233</v>
      </c>
      <c r="BD312" s="8" t="s">
        <v>233</v>
      </c>
      <c r="BE312" s="4" t="s">
        <v>233</v>
      </c>
      <c r="BF312" s="8" t="s">
        <v>233</v>
      </c>
      <c r="BG312" s="7" t="s">
        <v>233</v>
      </c>
      <c r="BH312" s="7" t="s">
        <v>233</v>
      </c>
      <c r="BI312" s="7"/>
      <c r="BJ312" s="4">
        <v>33</v>
      </c>
      <c r="BK312" s="8">
        <v>1821.57</v>
      </c>
      <c r="BL312" s="2" t="s">
        <v>2034</v>
      </c>
      <c r="BM312" s="7"/>
      <c r="BN312" s="7"/>
      <c r="BO312" s="4"/>
      <c r="BP312" s="8"/>
      <c r="BQ312" s="4"/>
      <c r="BR312" s="8"/>
      <c r="BS312" s="7"/>
      <c r="BT312" s="7"/>
      <c r="BU312" s="2" t="s">
        <v>2035</v>
      </c>
      <c r="BV312" s="2" t="s">
        <v>233</v>
      </c>
      <c r="BW312" s="2" t="s">
        <v>233</v>
      </c>
      <c r="BX312" s="2" t="s">
        <v>241</v>
      </c>
      <c r="BY312" s="2" t="s">
        <v>242</v>
      </c>
      <c r="BZ312" s="2" t="s">
        <v>230</v>
      </c>
      <c r="CA312" s="2" t="s">
        <v>243</v>
      </c>
      <c r="CB312" s="2" t="s">
        <v>2036</v>
      </c>
      <c r="CC312" s="2" t="s">
        <v>245</v>
      </c>
      <c r="CD312" s="2" t="s">
        <v>233</v>
      </c>
      <c r="CE312" s="4">
        <v>342</v>
      </c>
      <c r="CF312" s="4"/>
      <c r="CG312" s="4"/>
      <c r="CH312" s="4">
        <v>155</v>
      </c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>
        <v>501</v>
      </c>
      <c r="GD312" s="4">
        <v>489</v>
      </c>
      <c r="GE312" s="4">
        <v>482</v>
      </c>
      <c r="GF312" s="4">
        <v>475</v>
      </c>
      <c r="GG312" s="4">
        <v>462</v>
      </c>
      <c r="GH312" s="4">
        <v>453</v>
      </c>
      <c r="GI312" s="4">
        <v>444</v>
      </c>
      <c r="GJ312" s="4">
        <v>438</v>
      </c>
      <c r="GK312" s="4">
        <v>433</v>
      </c>
      <c r="GL312" s="4">
        <v>427</v>
      </c>
      <c r="GM312" s="4">
        <v>421</v>
      </c>
      <c r="GN312" s="4">
        <v>415</v>
      </c>
      <c r="GO312" s="4">
        <v>409</v>
      </c>
      <c r="GP312" s="4">
        <v>403</v>
      </c>
      <c r="GQ312" s="4">
        <v>397</v>
      </c>
      <c r="GR312" s="4">
        <v>391</v>
      </c>
      <c r="GS312" s="4">
        <v>385</v>
      </c>
      <c r="GT312" s="4">
        <v>379</v>
      </c>
      <c r="GU312" s="4">
        <v>373</v>
      </c>
      <c r="GV312" s="4">
        <v>367</v>
      </c>
      <c r="GW312" s="4">
        <v>361</v>
      </c>
      <c r="GX312" s="4">
        <v>355</v>
      </c>
      <c r="GY312" s="4">
        <v>349</v>
      </c>
      <c r="GZ312" s="4">
        <v>343</v>
      </c>
      <c r="HA312" s="4">
        <v>337</v>
      </c>
      <c r="HB312" s="4">
        <v>331</v>
      </c>
      <c r="HC312" s="19">
        <v>60.6</v>
      </c>
      <c r="HD312" s="19">
        <v>62.5</v>
      </c>
      <c r="HE312" s="19">
        <v>58.8</v>
      </c>
      <c r="HF312" s="19">
        <v>61.1</v>
      </c>
      <c r="HG312" s="19">
        <v>63.4</v>
      </c>
      <c r="HH312" s="19">
        <v>104.1</v>
      </c>
      <c r="HI312" s="19">
        <v>102.4</v>
      </c>
      <c r="HJ312" s="19">
        <v>101.4</v>
      </c>
      <c r="HK312" s="19">
        <v>100.5</v>
      </c>
      <c r="HL312" s="19">
        <v>99.5</v>
      </c>
      <c r="HM312" s="19">
        <v>98.5</v>
      </c>
      <c r="HN312" s="19">
        <v>97.5</v>
      </c>
      <c r="HO312" s="19">
        <v>96.5</v>
      </c>
      <c r="HP312" s="19">
        <v>95.5</v>
      </c>
      <c r="HQ312" s="19">
        <v>94.5</v>
      </c>
      <c r="HR312" s="19">
        <v>93.5</v>
      </c>
      <c r="HS312" s="19">
        <v>92.5</v>
      </c>
      <c r="HT312" s="19">
        <v>91.5</v>
      </c>
      <c r="HU312" s="19">
        <v>90.5</v>
      </c>
      <c r="HV312" s="19">
        <v>89.5</v>
      </c>
      <c r="HW312" s="19">
        <v>88.5</v>
      </c>
      <c r="HX312" s="19">
        <v>87.5</v>
      </c>
      <c r="HY312" s="19">
        <v>86.5</v>
      </c>
      <c r="HZ312" s="19">
        <v>85.5</v>
      </c>
      <c r="IA312" s="19">
        <v>84.5</v>
      </c>
      <c r="IB312" s="19">
        <v>83.5</v>
      </c>
    </row>
    <row r="313">
      <c r="A313" s="2" t="s">
        <v>2037</v>
      </c>
      <c r="B313" s="2" t="s">
        <v>872</v>
      </c>
      <c r="C313" s="2" t="s">
        <v>280</v>
      </c>
      <c r="D313" s="2" t="s">
        <v>884</v>
      </c>
      <c r="E313" s="2" t="s">
        <v>1753</v>
      </c>
      <c r="F313" s="2" t="s">
        <v>2028</v>
      </c>
      <c r="G313" s="2" t="s">
        <v>2029</v>
      </c>
      <c r="H313" s="2" t="s">
        <v>2030</v>
      </c>
      <c r="I313" s="2" t="s">
        <v>2031</v>
      </c>
      <c r="J313" s="2" t="s">
        <v>275</v>
      </c>
      <c r="K313" s="2" t="s">
        <v>434</v>
      </c>
      <c r="L313" s="3">
        <v>53.99</v>
      </c>
      <c r="M313" s="3">
        <v>56.69</v>
      </c>
      <c r="N313" s="3">
        <v>109.99</v>
      </c>
      <c r="O313" s="2" t="s">
        <v>230</v>
      </c>
      <c r="P313" s="2" t="s">
        <v>231</v>
      </c>
      <c r="Q313" s="2" t="s">
        <v>232</v>
      </c>
      <c r="R313" s="2" t="s">
        <v>233</v>
      </c>
      <c r="S313" s="2" t="s">
        <v>2032</v>
      </c>
      <c r="T313" s="2" t="s">
        <v>233</v>
      </c>
      <c r="U313" s="2" t="s">
        <v>665</v>
      </c>
      <c r="V313" s="2" t="s">
        <v>1033</v>
      </c>
      <c r="W313" s="2" t="s">
        <v>712</v>
      </c>
      <c r="X313" s="2" t="s">
        <v>2033</v>
      </c>
      <c r="Y313" s="2" t="s">
        <v>238</v>
      </c>
      <c r="Z313" s="4">
        <v>818</v>
      </c>
      <c r="AA313" s="4">
        <f>=ROUNDDOWN(90.8888888888889,0)</f>
      </c>
      <c r="AB313" s="5">
        <v>9</v>
      </c>
      <c r="AC313" s="2" t="s">
        <v>233</v>
      </c>
      <c r="AD313" s="4"/>
      <c r="AE313" s="4"/>
      <c r="AF313" s="6">
        <v>65</v>
      </c>
      <c r="AG313" s="6">
        <v>73</v>
      </c>
      <c r="AH313" s="7">
        <v>1</v>
      </c>
      <c r="AI313" s="4"/>
      <c r="AJ313" s="4">
        <f>=ROUNDDOWN({0},0)</f>
      </c>
      <c r="AK313" s="5"/>
      <c r="AL313" s="2" t="s">
        <v>233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233</v>
      </c>
      <c r="AW313" s="8" t="s">
        <v>233</v>
      </c>
      <c r="AX313" s="4" t="s">
        <v>233</v>
      </c>
      <c r="AY313" s="8" t="s">
        <v>233</v>
      </c>
      <c r="AZ313" s="7" t="s">
        <v>233</v>
      </c>
      <c r="BA313" s="7" t="s">
        <v>233</v>
      </c>
      <c r="BB313" s="7"/>
      <c r="BC313" s="4" t="s">
        <v>233</v>
      </c>
      <c r="BD313" s="8" t="s">
        <v>233</v>
      </c>
      <c r="BE313" s="4" t="s">
        <v>233</v>
      </c>
      <c r="BF313" s="8" t="s">
        <v>233</v>
      </c>
      <c r="BG313" s="7" t="s">
        <v>233</v>
      </c>
      <c r="BH313" s="7" t="s">
        <v>233</v>
      </c>
      <c r="BI313" s="7"/>
      <c r="BJ313" s="4">
        <v>60</v>
      </c>
      <c r="BK313" s="8">
        <v>3719.95</v>
      </c>
      <c r="BL313" s="2" t="s">
        <v>2038</v>
      </c>
      <c r="BM313" s="7"/>
      <c r="BN313" s="7"/>
      <c r="BO313" s="4"/>
      <c r="BP313" s="8"/>
      <c r="BQ313" s="4"/>
      <c r="BR313" s="8"/>
      <c r="BS313" s="7"/>
      <c r="BT313" s="7"/>
      <c r="BU313" s="2" t="s">
        <v>2035</v>
      </c>
      <c r="BV313" s="2" t="s">
        <v>233</v>
      </c>
      <c r="BW313" s="2" t="s">
        <v>233</v>
      </c>
      <c r="BX313" s="2" t="s">
        <v>241</v>
      </c>
      <c r="BY313" s="2" t="s">
        <v>242</v>
      </c>
      <c r="BZ313" s="2" t="s">
        <v>230</v>
      </c>
      <c r="CA313" s="2" t="s">
        <v>243</v>
      </c>
      <c r="CB313" s="2" t="s">
        <v>2039</v>
      </c>
      <c r="CC313" s="2" t="s">
        <v>245</v>
      </c>
      <c r="CD313" s="2" t="s">
        <v>233</v>
      </c>
      <c r="CE313" s="4">
        <v>201</v>
      </c>
      <c r="CF313" s="4">
        <v>440</v>
      </c>
      <c r="CG313" s="4"/>
      <c r="CH313" s="4">
        <v>177</v>
      </c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>
        <v>830</v>
      </c>
      <c r="GD313" s="4">
        <v>823</v>
      </c>
      <c r="GE313" s="4">
        <v>814</v>
      </c>
      <c r="GF313" s="4">
        <v>805</v>
      </c>
      <c r="GG313" s="4">
        <v>789</v>
      </c>
      <c r="GH313" s="4">
        <v>777</v>
      </c>
      <c r="GI313" s="4">
        <v>765</v>
      </c>
      <c r="GJ313" s="4">
        <v>757</v>
      </c>
      <c r="GK313" s="4">
        <v>751</v>
      </c>
      <c r="GL313" s="4">
        <v>742</v>
      </c>
      <c r="GM313" s="4">
        <v>733</v>
      </c>
      <c r="GN313" s="4">
        <v>724</v>
      </c>
      <c r="GO313" s="4">
        <v>715</v>
      </c>
      <c r="GP313" s="4">
        <v>706</v>
      </c>
      <c r="GQ313" s="4">
        <v>697</v>
      </c>
      <c r="GR313" s="4">
        <v>688</v>
      </c>
      <c r="GS313" s="4">
        <v>679</v>
      </c>
      <c r="GT313" s="4">
        <v>670</v>
      </c>
      <c r="GU313" s="4">
        <v>661</v>
      </c>
      <c r="GV313" s="4">
        <v>652</v>
      </c>
      <c r="GW313" s="4">
        <v>643</v>
      </c>
      <c r="GX313" s="4">
        <v>634</v>
      </c>
      <c r="GY313" s="4">
        <v>625</v>
      </c>
      <c r="GZ313" s="4">
        <v>616</v>
      </c>
      <c r="HA313" s="4">
        <v>607</v>
      </c>
      <c r="HB313" s="4">
        <v>598</v>
      </c>
      <c r="HC313" s="19">
        <v>85.1</v>
      </c>
      <c r="HD313" s="19">
        <v>65.2</v>
      </c>
      <c r="HE313" s="19">
        <v>64.5</v>
      </c>
      <c r="HF313" s="19">
        <v>63.7</v>
      </c>
      <c r="HG313" s="19">
        <v>86.2</v>
      </c>
      <c r="HH313" s="19">
        <v>84.8</v>
      </c>
      <c r="HI313" s="19">
        <v>90.6</v>
      </c>
      <c r="HJ313" s="19">
        <v>89.6</v>
      </c>
      <c r="HK313" s="19">
        <v>81.9</v>
      </c>
      <c r="HL313" s="19">
        <v>80.9</v>
      </c>
      <c r="HM313" s="19">
        <v>79.9</v>
      </c>
      <c r="HN313" s="19">
        <v>78.9</v>
      </c>
      <c r="HO313" s="19">
        <v>77.9</v>
      </c>
      <c r="HP313" s="19">
        <v>76.9</v>
      </c>
      <c r="HQ313" s="19">
        <v>75.9</v>
      </c>
      <c r="HR313" s="19">
        <v>74.9</v>
      </c>
      <c r="HS313" s="19">
        <v>73.9</v>
      </c>
      <c r="HT313" s="19">
        <v>72.9</v>
      </c>
      <c r="HU313" s="19">
        <v>71.9</v>
      </c>
      <c r="HV313" s="19">
        <v>70.9</v>
      </c>
      <c r="HW313" s="19">
        <v>69.9</v>
      </c>
      <c r="HX313" s="19">
        <v>68.9</v>
      </c>
      <c r="HY313" s="19">
        <v>67.9</v>
      </c>
      <c r="HZ313" s="19">
        <v>66.9</v>
      </c>
      <c r="IA313" s="19">
        <v>65.9</v>
      </c>
      <c r="IB313" s="19">
        <v>64.9</v>
      </c>
    </row>
    <row r="314">
      <c r="A314" s="2" t="s">
        <v>2040</v>
      </c>
      <c r="B314" s="2" t="s">
        <v>825</v>
      </c>
      <c r="C314" s="2" t="s">
        <v>1772</v>
      </c>
      <c r="D314" s="2" t="s">
        <v>774</v>
      </c>
      <c r="E314" s="2" t="s">
        <v>827</v>
      </c>
      <c r="F314" s="2" t="s">
        <v>2041</v>
      </c>
      <c r="G314" s="2" t="s">
        <v>2042</v>
      </c>
      <c r="H314" s="2" t="s">
        <v>2043</v>
      </c>
      <c r="I314" s="2" t="s">
        <v>2044</v>
      </c>
      <c r="J314" s="2" t="s">
        <v>228</v>
      </c>
      <c r="K314" s="2" t="s">
        <v>1706</v>
      </c>
      <c r="L314" s="3">
        <v>35</v>
      </c>
      <c r="M314" s="3">
        <v>36.75</v>
      </c>
      <c r="N314" s="3">
        <v>69.99</v>
      </c>
      <c r="O314" s="2" t="s">
        <v>230</v>
      </c>
      <c r="P314" s="2" t="s">
        <v>231</v>
      </c>
      <c r="Q314" s="2" t="s">
        <v>232</v>
      </c>
      <c r="R314" s="2" t="s">
        <v>233</v>
      </c>
      <c r="S314" s="2" t="s">
        <v>2045</v>
      </c>
      <c r="T314" s="2" t="s">
        <v>348</v>
      </c>
      <c r="U314" s="2" t="s">
        <v>287</v>
      </c>
      <c r="V314" s="2" t="s">
        <v>1431</v>
      </c>
      <c r="W314" s="2" t="s">
        <v>237</v>
      </c>
      <c r="X314" s="2" t="s">
        <v>233</v>
      </c>
      <c r="Y314" s="2" t="s">
        <v>1965</v>
      </c>
      <c r="Z314" s="4">
        <v>125</v>
      </c>
      <c r="AA314" s="4">
        <f>=ROUNDDOWN(41.6666666666667,0)</f>
      </c>
      <c r="AB314" s="5">
        <v>3</v>
      </c>
      <c r="AC314" s="2" t="s">
        <v>437</v>
      </c>
      <c r="AD314" s="4">
        <v>100</v>
      </c>
      <c r="AE314" s="4">
        <v>130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233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/>
      <c r="BD314" s="8"/>
      <c r="BE314" s="4"/>
      <c r="BF314" s="8"/>
      <c r="BG314" s="7"/>
      <c r="BH314" s="7"/>
      <c r="BI314" s="7"/>
      <c r="BJ314" s="4">
        <v>11</v>
      </c>
      <c r="BK314" s="8">
        <v>372.48</v>
      </c>
      <c r="BL314" s="2" t="s">
        <v>1658</v>
      </c>
      <c r="BM314" s="7"/>
      <c r="BN314" s="7"/>
      <c r="BO314" s="4"/>
      <c r="BP314" s="8"/>
      <c r="BQ314" s="4"/>
      <c r="BR314" s="8"/>
      <c r="BS314" s="7"/>
      <c r="BT314" s="7"/>
      <c r="BU314" s="2" t="s">
        <v>2046</v>
      </c>
      <c r="BV314" s="2" t="s">
        <v>233</v>
      </c>
      <c r="BW314" s="2" t="s">
        <v>233</v>
      </c>
      <c r="BX314" s="2" t="s">
        <v>241</v>
      </c>
      <c r="BY314" s="2" t="s">
        <v>242</v>
      </c>
      <c r="BZ314" s="2" t="s">
        <v>230</v>
      </c>
      <c r="CA314" s="2" t="s">
        <v>2047</v>
      </c>
      <c r="CB314" s="2" t="s">
        <v>2048</v>
      </c>
      <c r="CC314" s="2" t="s">
        <v>245</v>
      </c>
      <c r="CD314" s="2" t="s">
        <v>233</v>
      </c>
      <c r="CE314" s="4">
        <v>125</v>
      </c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>
        <v>100</v>
      </c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>
        <v>30</v>
      </c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>
        <v>129</v>
      </c>
      <c r="GD314" s="4">
        <v>115</v>
      </c>
      <c r="GE314" s="4">
        <v>108</v>
      </c>
      <c r="GF314" s="4">
        <v>102</v>
      </c>
      <c r="GG314" s="4">
        <v>93</v>
      </c>
      <c r="GH314" s="4">
        <v>185</v>
      </c>
      <c r="GI314" s="4">
        <v>178</v>
      </c>
      <c r="GJ314" s="4">
        <v>173</v>
      </c>
      <c r="GK314" s="4">
        <v>168</v>
      </c>
      <c r="GL314" s="4">
        <v>164</v>
      </c>
      <c r="GM314" s="4">
        <v>160</v>
      </c>
      <c r="GN314" s="4">
        <v>156</v>
      </c>
      <c r="GO314" s="4">
        <v>152</v>
      </c>
      <c r="GP314" s="4">
        <v>178</v>
      </c>
      <c r="GQ314" s="4">
        <v>175</v>
      </c>
      <c r="GR314" s="4">
        <v>172</v>
      </c>
      <c r="GS314" s="4">
        <v>169</v>
      </c>
      <c r="GT314" s="4">
        <v>166</v>
      </c>
      <c r="GU314" s="4">
        <v>163</v>
      </c>
      <c r="GV314" s="4">
        <v>160</v>
      </c>
      <c r="GW314" s="4">
        <v>157</v>
      </c>
      <c r="GX314" s="4">
        <v>154</v>
      </c>
      <c r="GY314" s="4">
        <v>151</v>
      </c>
      <c r="GZ314" s="4">
        <v>148</v>
      </c>
      <c r="HA314" s="4">
        <v>145</v>
      </c>
      <c r="HB314" s="4">
        <v>142</v>
      </c>
      <c r="HC314" s="19">
        <v>14.3</v>
      </c>
      <c r="HD314" s="19">
        <v>14.4</v>
      </c>
      <c r="HE314" s="19">
        <v>13.5</v>
      </c>
      <c r="HF314" s="19">
        <v>14.6</v>
      </c>
      <c r="HG314" s="19">
        <v>15.5</v>
      </c>
      <c r="HH314" s="19">
        <v>37</v>
      </c>
      <c r="HI314" s="19">
        <v>44.5</v>
      </c>
      <c r="HJ314" s="19">
        <v>43.3</v>
      </c>
      <c r="HK314" s="19">
        <v>42</v>
      </c>
      <c r="HL314" s="19">
        <v>41</v>
      </c>
      <c r="HM314" s="19">
        <v>40</v>
      </c>
      <c r="HN314" s="19">
        <v>39</v>
      </c>
      <c r="HO314" s="19">
        <v>50.7</v>
      </c>
      <c r="HP314" s="19">
        <v>59.3</v>
      </c>
      <c r="HQ314" s="19">
        <v>58.3</v>
      </c>
      <c r="HR314" s="19">
        <v>57.3</v>
      </c>
      <c r="HS314" s="19">
        <v>56.3</v>
      </c>
      <c r="HT314" s="19">
        <v>55.3</v>
      </c>
      <c r="HU314" s="19">
        <v>54.3</v>
      </c>
      <c r="HV314" s="19">
        <v>53.3</v>
      </c>
      <c r="HW314" s="19">
        <v>52.3</v>
      </c>
      <c r="HX314" s="19">
        <v>51.3</v>
      </c>
      <c r="HY314" s="19">
        <v>50.3</v>
      </c>
      <c r="HZ314" s="19">
        <v>49.3</v>
      </c>
      <c r="IA314" s="19">
        <v>48.3</v>
      </c>
      <c r="IB314" s="19">
        <v>47.3</v>
      </c>
    </row>
    <row r="315">
      <c r="A315" s="2" t="s">
        <v>2049</v>
      </c>
      <c r="B315" s="2" t="s">
        <v>872</v>
      </c>
      <c r="C315" s="2" t="s">
        <v>2050</v>
      </c>
      <c r="D315" s="2" t="s">
        <v>261</v>
      </c>
      <c r="E315" s="2" t="s">
        <v>603</v>
      </c>
      <c r="F315" s="2" t="s">
        <v>2051</v>
      </c>
      <c r="G315" s="2" t="s">
        <v>2051</v>
      </c>
      <c r="H315" s="2" t="s">
        <v>2051</v>
      </c>
      <c r="I315" s="2" t="s">
        <v>2052</v>
      </c>
      <c r="J315" s="2" t="s">
        <v>252</v>
      </c>
      <c r="K315" s="2" t="s">
        <v>434</v>
      </c>
      <c r="L315" s="3">
        <v>95</v>
      </c>
      <c r="M315" s="3">
        <v>99.74</v>
      </c>
      <c r="N315" s="3">
        <v>204.99</v>
      </c>
      <c r="O315" s="2" t="s">
        <v>230</v>
      </c>
      <c r="P315" s="2" t="s">
        <v>586</v>
      </c>
      <c r="Q315" s="2" t="s">
        <v>232</v>
      </c>
      <c r="R315" s="2" t="s">
        <v>233</v>
      </c>
      <c r="S315" s="2" t="s">
        <v>2053</v>
      </c>
      <c r="T315" s="2" t="s">
        <v>233</v>
      </c>
      <c r="U315" s="2" t="s">
        <v>233</v>
      </c>
      <c r="V315" s="2" t="s">
        <v>1190</v>
      </c>
      <c r="W315" s="2" t="s">
        <v>1190</v>
      </c>
      <c r="X315" s="2" t="s">
        <v>916</v>
      </c>
      <c r="Y315" s="2" t="s">
        <v>238</v>
      </c>
      <c r="Z315" s="4">
        <v>133</v>
      </c>
      <c r="AA315" s="4">
        <f>=ROUNDDOWN(102.307692307692,0)</f>
      </c>
      <c r="AB315" s="5">
        <v>1.3</v>
      </c>
      <c r="AC315" s="2" t="s">
        <v>622</v>
      </c>
      <c r="AD315" s="4">
        <v>270</v>
      </c>
      <c r="AE315" s="4">
        <v>270</v>
      </c>
      <c r="AF315" s="6">
        <v>68</v>
      </c>
      <c r="AG315" s="6"/>
      <c r="AH315" s="7">
        <v>1</v>
      </c>
      <c r="AI315" s="4"/>
      <c r="AJ315" s="4">
        <f>=ROUNDDOWN({0},0)</f>
      </c>
      <c r="AK315" s="5"/>
      <c r="AL315" s="2" t="s">
        <v>233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/>
      <c r="BD315" s="8"/>
      <c r="BE315" s="4"/>
      <c r="BF315" s="8"/>
      <c r="BG315" s="7"/>
      <c r="BH315" s="7"/>
      <c r="BI315" s="7"/>
      <c r="BJ315" s="4">
        <v>2</v>
      </c>
      <c r="BK315" s="8">
        <v>210.16</v>
      </c>
      <c r="BL315" s="2" t="s">
        <v>351</v>
      </c>
      <c r="BM315" s="7"/>
      <c r="BN315" s="7"/>
      <c r="BO315" s="4"/>
      <c r="BP315" s="8"/>
      <c r="BQ315" s="4"/>
      <c r="BR315" s="8"/>
      <c r="BS315" s="7"/>
      <c r="BT315" s="7"/>
      <c r="BU315" s="2" t="s">
        <v>2054</v>
      </c>
      <c r="BV315" s="2" t="s">
        <v>233</v>
      </c>
      <c r="BW315" s="2" t="s">
        <v>233</v>
      </c>
      <c r="BX315" s="2" t="s">
        <v>241</v>
      </c>
      <c r="BY315" s="2" t="s">
        <v>242</v>
      </c>
      <c r="BZ315" s="2" t="s">
        <v>230</v>
      </c>
      <c r="CA315" s="2" t="s">
        <v>243</v>
      </c>
      <c r="CB315" s="2" t="s">
        <v>1102</v>
      </c>
      <c r="CC315" s="2" t="s">
        <v>245</v>
      </c>
      <c r="CD315" s="2" t="s">
        <v>233</v>
      </c>
      <c r="CE315" s="4">
        <v>132</v>
      </c>
      <c r="CF315" s="4"/>
      <c r="CG315" s="4"/>
      <c r="CH315" s="4"/>
      <c r="CI315" s="4"/>
      <c r="CJ315" s="4"/>
      <c r="CK315" s="4">
        <v>1</v>
      </c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>
        <v>270</v>
      </c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>
        <v>89</v>
      </c>
      <c r="GD315" s="4">
        <v>127</v>
      </c>
      <c r="GE315" s="4">
        <v>125</v>
      </c>
      <c r="GF315" s="4">
        <v>123</v>
      </c>
      <c r="GG315" s="4">
        <v>121</v>
      </c>
      <c r="GH315" s="4">
        <v>119</v>
      </c>
      <c r="GI315" s="4">
        <v>117</v>
      </c>
      <c r="GJ315" s="4">
        <v>115</v>
      </c>
      <c r="GK315" s="4">
        <v>113</v>
      </c>
      <c r="GL315" s="4">
        <v>111</v>
      </c>
      <c r="GM315" s="4">
        <v>109</v>
      </c>
      <c r="GN315" s="4">
        <v>107</v>
      </c>
      <c r="GO315" s="4">
        <v>105</v>
      </c>
      <c r="GP315" s="4">
        <v>103</v>
      </c>
      <c r="GQ315" s="4">
        <v>101</v>
      </c>
      <c r="GR315" s="4">
        <v>99</v>
      </c>
      <c r="GS315" s="4">
        <v>97</v>
      </c>
      <c r="GT315" s="4">
        <v>95</v>
      </c>
      <c r="GU315" s="4">
        <v>93</v>
      </c>
      <c r="GV315" s="4">
        <v>91</v>
      </c>
      <c r="GW315" s="4">
        <v>89</v>
      </c>
      <c r="GX315" s="4">
        <v>87</v>
      </c>
      <c r="GY315" s="4">
        <v>85</v>
      </c>
      <c r="GZ315" s="4">
        <v>83</v>
      </c>
      <c r="HA315" s="4">
        <v>81</v>
      </c>
      <c r="HB315" s="4">
        <v>79</v>
      </c>
      <c r="HC315" s="19">
        <v>29.7</v>
      </c>
      <c r="HD315" s="19">
        <v>63.5</v>
      </c>
      <c r="HE315" s="19">
        <v>62.5</v>
      </c>
      <c r="HF315" s="19">
        <v>61.5</v>
      </c>
      <c r="HG315" s="19">
        <v>60.5</v>
      </c>
      <c r="HH315" s="19">
        <v>59.5</v>
      </c>
      <c r="HI315" s="19">
        <v>58.5</v>
      </c>
      <c r="HJ315" s="19">
        <v>57.5</v>
      </c>
      <c r="HK315" s="19">
        <v>56.5</v>
      </c>
      <c r="HL315" s="19">
        <v>55.5</v>
      </c>
      <c r="HM315" s="19">
        <v>54.5</v>
      </c>
      <c r="HN315" s="19">
        <v>53.5</v>
      </c>
      <c r="HO315" s="19">
        <v>52.5</v>
      </c>
      <c r="HP315" s="19">
        <v>51.5</v>
      </c>
      <c r="HQ315" s="19">
        <v>50.5</v>
      </c>
      <c r="HR315" s="19">
        <v>49.5</v>
      </c>
      <c r="HS315" s="19">
        <v>48.5</v>
      </c>
      <c r="HT315" s="19">
        <v>47.5</v>
      </c>
      <c r="HU315" s="19">
        <v>46.5</v>
      </c>
      <c r="HV315" s="19">
        <v>45.5</v>
      </c>
      <c r="HW315" s="19">
        <v>44.5</v>
      </c>
      <c r="HX315" s="19">
        <v>43.5</v>
      </c>
      <c r="HY315" s="19">
        <v>42.5</v>
      </c>
      <c r="HZ315" s="19">
        <v>41.5</v>
      </c>
      <c r="IA315" s="19">
        <v>40.5</v>
      </c>
      <c r="IB315" s="19">
        <v>39.5</v>
      </c>
    </row>
    <row r="316">
      <c r="A316" s="2" t="s">
        <v>2055</v>
      </c>
      <c r="B316" s="2" t="s">
        <v>847</v>
      </c>
      <c r="C316" s="2" t="s">
        <v>848</v>
      </c>
      <c r="D316" s="2" t="s">
        <v>849</v>
      </c>
      <c r="E316" s="2" t="s">
        <v>850</v>
      </c>
      <c r="F316" s="2" t="s">
        <v>2056</v>
      </c>
      <c r="G316" s="2" t="s">
        <v>2056</v>
      </c>
      <c r="H316" s="2" t="s">
        <v>2056</v>
      </c>
      <c r="I316" s="2" t="s">
        <v>2057</v>
      </c>
      <c r="J316" s="2" t="s">
        <v>2058</v>
      </c>
      <c r="K316" s="2" t="s">
        <v>452</v>
      </c>
      <c r="L316" s="3">
        <v>21.02</v>
      </c>
      <c r="M316" s="3">
        <v>22.07</v>
      </c>
      <c r="N316" s="3">
        <v>39.99</v>
      </c>
      <c r="O316" s="2" t="s">
        <v>230</v>
      </c>
      <c r="P316" s="2" t="s">
        <v>231</v>
      </c>
      <c r="Q316" s="2" t="s">
        <v>232</v>
      </c>
      <c r="R316" s="2" t="s">
        <v>233</v>
      </c>
      <c r="S316" s="2" t="s">
        <v>233</v>
      </c>
      <c r="T316" s="2" t="s">
        <v>233</v>
      </c>
      <c r="U316" s="2" t="s">
        <v>329</v>
      </c>
      <c r="V316" s="2" t="s">
        <v>609</v>
      </c>
      <c r="W316" s="2" t="s">
        <v>233</v>
      </c>
      <c r="X316" s="2" t="s">
        <v>233</v>
      </c>
      <c r="Y316" s="2" t="s">
        <v>2059</v>
      </c>
      <c r="Z316" s="4">
        <v>812</v>
      </c>
      <c r="AA316" s="4">
        <f>=ROUNDDOWN(135.333333333333,0)</f>
      </c>
      <c r="AB316" s="5">
        <v>6</v>
      </c>
      <c r="AC316" s="2" t="s">
        <v>233</v>
      </c>
      <c r="AD316" s="4"/>
      <c r="AE316" s="4"/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233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233</v>
      </c>
      <c r="AW316" s="8" t="s">
        <v>233</v>
      </c>
      <c r="AX316" s="4" t="s">
        <v>233</v>
      </c>
      <c r="AY316" s="8" t="s">
        <v>233</v>
      </c>
      <c r="AZ316" s="7" t="s">
        <v>233</v>
      </c>
      <c r="BA316" s="7" t="s">
        <v>233</v>
      </c>
      <c r="BB316" s="7"/>
      <c r="BC316" s="4" t="s">
        <v>233</v>
      </c>
      <c r="BD316" s="8" t="s">
        <v>233</v>
      </c>
      <c r="BE316" s="4" t="s">
        <v>233</v>
      </c>
      <c r="BF316" s="8" t="s">
        <v>233</v>
      </c>
      <c r="BG316" s="7" t="s">
        <v>233</v>
      </c>
      <c r="BH316" s="7" t="s">
        <v>233</v>
      </c>
      <c r="BI316" s="7"/>
      <c r="BJ316" s="4">
        <v>23</v>
      </c>
      <c r="BK316" s="8">
        <v>502.09</v>
      </c>
      <c r="BL316" s="2" t="s">
        <v>2060</v>
      </c>
      <c r="BM316" s="7"/>
      <c r="BN316" s="7"/>
      <c r="BO316" s="4"/>
      <c r="BP316" s="8"/>
      <c r="BQ316" s="4"/>
      <c r="BR316" s="8"/>
      <c r="BS316" s="7"/>
      <c r="BT316" s="7"/>
      <c r="BU316" s="2" t="s">
        <v>2061</v>
      </c>
      <c r="BV316" s="2" t="s">
        <v>233</v>
      </c>
      <c r="BW316" s="2" t="s">
        <v>233</v>
      </c>
      <c r="BX316" s="2" t="s">
        <v>241</v>
      </c>
      <c r="BY316" s="2" t="s">
        <v>242</v>
      </c>
      <c r="BZ316" s="2" t="s">
        <v>230</v>
      </c>
      <c r="CA316" s="2" t="s">
        <v>1992</v>
      </c>
      <c r="CB316" s="2" t="s">
        <v>1243</v>
      </c>
      <c r="CC316" s="2" t="s">
        <v>245</v>
      </c>
      <c r="CD316" s="2" t="s">
        <v>233</v>
      </c>
      <c r="CE316" s="4">
        <v>62</v>
      </c>
      <c r="CF316" s="4">
        <v>750</v>
      </c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>
        <v>825</v>
      </c>
      <c r="GD316" s="4">
        <v>822</v>
      </c>
      <c r="GE316" s="4">
        <v>812</v>
      </c>
      <c r="GF316" s="4">
        <v>804</v>
      </c>
      <c r="GG316" s="4">
        <v>795</v>
      </c>
      <c r="GH316" s="4">
        <v>787</v>
      </c>
      <c r="GI316" s="4">
        <v>778</v>
      </c>
      <c r="GJ316" s="4">
        <v>746</v>
      </c>
      <c r="GK316" s="4">
        <v>744</v>
      </c>
      <c r="GL316" s="4">
        <v>742</v>
      </c>
      <c r="GM316" s="4">
        <v>740</v>
      </c>
      <c r="GN316" s="4">
        <v>738</v>
      </c>
      <c r="GO316" s="4">
        <v>736</v>
      </c>
      <c r="GP316" s="4">
        <v>734</v>
      </c>
      <c r="GQ316" s="4">
        <v>728</v>
      </c>
      <c r="GR316" s="4">
        <v>722</v>
      </c>
      <c r="GS316" s="4">
        <v>716</v>
      </c>
      <c r="GT316" s="4">
        <v>710</v>
      </c>
      <c r="GU316" s="4">
        <v>704</v>
      </c>
      <c r="GV316" s="4">
        <v>698</v>
      </c>
      <c r="GW316" s="4">
        <v>692</v>
      </c>
      <c r="GX316" s="4">
        <v>686</v>
      </c>
      <c r="GY316" s="4">
        <v>680</v>
      </c>
      <c r="GZ316" s="4">
        <v>674</v>
      </c>
      <c r="HA316" s="4">
        <v>668</v>
      </c>
      <c r="HB316" s="4">
        <v>662</v>
      </c>
      <c r="HC316" s="19">
        <v>103.1</v>
      </c>
      <c r="HD316" s="19">
        <v>91.3</v>
      </c>
      <c r="HE316" s="19">
        <v>101.5</v>
      </c>
      <c r="HF316" s="19">
        <v>57.4</v>
      </c>
      <c r="HG316" s="19">
        <v>61.2</v>
      </c>
      <c r="HH316" s="19">
        <v>71.5</v>
      </c>
      <c r="HI316" s="19">
        <v>77.8</v>
      </c>
      <c r="HJ316" s="19">
        <v>373</v>
      </c>
      <c r="HK316" s="19">
        <v>372</v>
      </c>
      <c r="HL316" s="19">
        <v>371</v>
      </c>
      <c r="HM316" s="19">
        <v>246.7</v>
      </c>
      <c r="HN316" s="19">
        <v>184.5</v>
      </c>
      <c r="HO316" s="19">
        <v>147.2</v>
      </c>
      <c r="HP316" s="19">
        <v>122.3</v>
      </c>
      <c r="HQ316" s="19">
        <v>121.3</v>
      </c>
      <c r="HR316" s="19">
        <v>120.3</v>
      </c>
      <c r="HS316" s="19">
        <v>119.3</v>
      </c>
      <c r="HT316" s="19">
        <v>118.3</v>
      </c>
      <c r="HU316" s="19">
        <v>117.3</v>
      </c>
      <c r="HV316" s="19">
        <v>116.3</v>
      </c>
      <c r="HW316" s="19">
        <v>115.3</v>
      </c>
      <c r="HX316" s="19">
        <v>114.3</v>
      </c>
      <c r="HY316" s="19">
        <v>113.3</v>
      </c>
      <c r="HZ316" s="19">
        <v>112.3</v>
      </c>
      <c r="IA316" s="19">
        <v>111.3</v>
      </c>
      <c r="IB316" s="19">
        <v>110.3</v>
      </c>
    </row>
    <row r="317">
      <c r="A317" s="2" t="s">
        <v>2062</v>
      </c>
      <c r="B317" s="2" t="s">
        <v>847</v>
      </c>
      <c r="C317" s="2" t="s">
        <v>848</v>
      </c>
      <c r="D317" s="2" t="s">
        <v>849</v>
      </c>
      <c r="E317" s="2" t="s">
        <v>850</v>
      </c>
      <c r="F317" s="2" t="s">
        <v>2056</v>
      </c>
      <c r="G317" s="2" t="s">
        <v>2056</v>
      </c>
      <c r="H317" s="2" t="s">
        <v>2056</v>
      </c>
      <c r="I317" s="2" t="s">
        <v>2057</v>
      </c>
      <c r="J317" s="2" t="s">
        <v>2063</v>
      </c>
      <c r="K317" s="2" t="s">
        <v>452</v>
      </c>
      <c r="L317" s="3">
        <v>26.83</v>
      </c>
      <c r="M317" s="3">
        <v>28.17</v>
      </c>
      <c r="N317" s="3">
        <v>49.99</v>
      </c>
      <c r="O317" s="2" t="s">
        <v>230</v>
      </c>
      <c r="P317" s="2" t="s">
        <v>231</v>
      </c>
      <c r="Q317" s="2" t="s">
        <v>232</v>
      </c>
      <c r="R317" s="2" t="s">
        <v>233</v>
      </c>
      <c r="S317" s="2" t="s">
        <v>233</v>
      </c>
      <c r="T317" s="2" t="s">
        <v>233</v>
      </c>
      <c r="U317" s="2" t="s">
        <v>329</v>
      </c>
      <c r="V317" s="2" t="s">
        <v>609</v>
      </c>
      <c r="W317" s="2" t="s">
        <v>233</v>
      </c>
      <c r="X317" s="2" t="s">
        <v>233</v>
      </c>
      <c r="Y317" s="2" t="s">
        <v>2059</v>
      </c>
      <c r="Z317" s="4">
        <v>687</v>
      </c>
      <c r="AA317" s="4">
        <f>=ROUNDDOWN(137.4,0)</f>
      </c>
      <c r="AB317" s="5">
        <v>5</v>
      </c>
      <c r="AC317" s="2" t="s">
        <v>233</v>
      </c>
      <c r="AD317" s="4"/>
      <c r="AE317" s="4"/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233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233</v>
      </c>
      <c r="AW317" s="8" t="s">
        <v>233</v>
      </c>
      <c r="AX317" s="4" t="s">
        <v>233</v>
      </c>
      <c r="AY317" s="8" t="s">
        <v>233</v>
      </c>
      <c r="AZ317" s="7" t="s">
        <v>233</v>
      </c>
      <c r="BA317" s="7" t="s">
        <v>233</v>
      </c>
      <c r="BB317" s="7"/>
      <c r="BC317" s="4" t="s">
        <v>233</v>
      </c>
      <c r="BD317" s="8" t="s">
        <v>233</v>
      </c>
      <c r="BE317" s="4" t="s">
        <v>233</v>
      </c>
      <c r="BF317" s="8" t="s">
        <v>233</v>
      </c>
      <c r="BG317" s="7" t="s">
        <v>233</v>
      </c>
      <c r="BH317" s="7" t="s">
        <v>233</v>
      </c>
      <c r="BI317" s="7"/>
      <c r="BJ317" s="4">
        <v>16</v>
      </c>
      <c r="BK317" s="8">
        <v>451.65</v>
      </c>
      <c r="BL317" s="2" t="s">
        <v>2064</v>
      </c>
      <c r="BM317" s="7"/>
      <c r="BN317" s="7"/>
      <c r="BO317" s="4"/>
      <c r="BP317" s="8"/>
      <c r="BQ317" s="4"/>
      <c r="BR317" s="8"/>
      <c r="BS317" s="7"/>
      <c r="BT317" s="7"/>
      <c r="BU317" s="2" t="s">
        <v>2061</v>
      </c>
      <c r="BV317" s="2" t="s">
        <v>233</v>
      </c>
      <c r="BW317" s="2" t="s">
        <v>233</v>
      </c>
      <c r="BX317" s="2" t="s">
        <v>241</v>
      </c>
      <c r="BY317" s="2" t="s">
        <v>242</v>
      </c>
      <c r="BZ317" s="2" t="s">
        <v>230</v>
      </c>
      <c r="CA317" s="2" t="s">
        <v>1992</v>
      </c>
      <c r="CB317" s="2" t="s">
        <v>2065</v>
      </c>
      <c r="CC317" s="2" t="s">
        <v>245</v>
      </c>
      <c r="CD317" s="2" t="s">
        <v>233</v>
      </c>
      <c r="CE317" s="4"/>
      <c r="CF317" s="4">
        <v>687</v>
      </c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>
        <v>690</v>
      </c>
      <c r="GD317" s="4">
        <v>653</v>
      </c>
      <c r="GE317" s="4">
        <v>647</v>
      </c>
      <c r="GF317" s="4">
        <v>640</v>
      </c>
      <c r="GG317" s="4">
        <v>632</v>
      </c>
      <c r="GH317" s="4">
        <v>625</v>
      </c>
      <c r="GI317" s="4">
        <v>617</v>
      </c>
      <c r="GJ317" s="4">
        <v>610</v>
      </c>
      <c r="GK317" s="4">
        <v>605</v>
      </c>
      <c r="GL317" s="4">
        <v>600</v>
      </c>
      <c r="GM317" s="4">
        <v>595</v>
      </c>
      <c r="GN317" s="4">
        <v>590</v>
      </c>
      <c r="GO317" s="4">
        <v>585</v>
      </c>
      <c r="GP317" s="4">
        <v>580</v>
      </c>
      <c r="GQ317" s="4">
        <v>575</v>
      </c>
      <c r="GR317" s="4">
        <v>570</v>
      </c>
      <c r="GS317" s="4">
        <v>565</v>
      </c>
      <c r="GT317" s="4">
        <v>560</v>
      </c>
      <c r="GU317" s="4">
        <v>555</v>
      </c>
      <c r="GV317" s="4">
        <v>550</v>
      </c>
      <c r="GW317" s="4">
        <v>545</v>
      </c>
      <c r="GX317" s="4">
        <v>540</v>
      </c>
      <c r="GY317" s="4">
        <v>535</v>
      </c>
      <c r="GZ317" s="4">
        <v>530</v>
      </c>
      <c r="HA317" s="4">
        <v>525</v>
      </c>
      <c r="HB317" s="4">
        <v>520</v>
      </c>
      <c r="HC317" s="19">
        <v>49.3</v>
      </c>
      <c r="HD317" s="19">
        <v>93.3</v>
      </c>
      <c r="HE317" s="19">
        <v>80.9</v>
      </c>
      <c r="HF317" s="19">
        <v>80</v>
      </c>
      <c r="HG317" s="19">
        <v>90.3</v>
      </c>
      <c r="HH317" s="19">
        <v>104.2</v>
      </c>
      <c r="HI317" s="19">
        <v>102.8</v>
      </c>
      <c r="HJ317" s="19">
        <v>122</v>
      </c>
      <c r="HK317" s="19">
        <v>121</v>
      </c>
      <c r="HL317" s="19">
        <v>120</v>
      </c>
      <c r="HM317" s="19">
        <v>119</v>
      </c>
      <c r="HN317" s="19">
        <v>118</v>
      </c>
      <c r="HO317" s="19">
        <v>117</v>
      </c>
      <c r="HP317" s="19">
        <v>116</v>
      </c>
      <c r="HQ317" s="19">
        <v>115</v>
      </c>
      <c r="HR317" s="19">
        <v>114</v>
      </c>
      <c r="HS317" s="19">
        <v>113</v>
      </c>
      <c r="HT317" s="19">
        <v>112</v>
      </c>
      <c r="HU317" s="19">
        <v>111</v>
      </c>
      <c r="HV317" s="19">
        <v>110</v>
      </c>
      <c r="HW317" s="19">
        <v>109</v>
      </c>
      <c r="HX317" s="19">
        <v>108</v>
      </c>
      <c r="HY317" s="19">
        <v>107</v>
      </c>
      <c r="HZ317" s="19">
        <v>106</v>
      </c>
      <c r="IA317" s="19">
        <v>105</v>
      </c>
      <c r="IB317" s="19">
        <v>104</v>
      </c>
    </row>
    <row r="318">
      <c r="A318" s="2" t="s">
        <v>2066</v>
      </c>
      <c r="B318" s="2" t="s">
        <v>847</v>
      </c>
      <c r="C318" s="2" t="s">
        <v>848</v>
      </c>
      <c r="D318" s="2" t="s">
        <v>849</v>
      </c>
      <c r="E318" s="2" t="s">
        <v>850</v>
      </c>
      <c r="F318" s="2" t="s">
        <v>2056</v>
      </c>
      <c r="G318" s="2" t="s">
        <v>2056</v>
      </c>
      <c r="H318" s="2" t="s">
        <v>2056</v>
      </c>
      <c r="I318" s="2" t="s">
        <v>2057</v>
      </c>
      <c r="J318" s="2" t="s">
        <v>2058</v>
      </c>
      <c r="K318" s="2" t="s">
        <v>1706</v>
      </c>
      <c r="L318" s="3">
        <v>21.02</v>
      </c>
      <c r="M318" s="3">
        <v>22.07</v>
      </c>
      <c r="N318" s="3">
        <v>39.99</v>
      </c>
      <c r="O318" s="2" t="s">
        <v>230</v>
      </c>
      <c r="P318" s="2" t="s">
        <v>597</v>
      </c>
      <c r="Q318" s="2" t="s">
        <v>232</v>
      </c>
      <c r="R318" s="2" t="s">
        <v>233</v>
      </c>
      <c r="S318" s="2" t="s">
        <v>233</v>
      </c>
      <c r="T318" s="2" t="s">
        <v>233</v>
      </c>
      <c r="U318" s="2" t="s">
        <v>329</v>
      </c>
      <c r="V318" s="2" t="s">
        <v>609</v>
      </c>
      <c r="W318" s="2" t="s">
        <v>233</v>
      </c>
      <c r="X318" s="2" t="s">
        <v>233</v>
      </c>
      <c r="Y318" s="2" t="s">
        <v>2067</v>
      </c>
      <c r="Z318" s="4">
        <v>1734</v>
      </c>
      <c r="AA318" s="4">
        <f>=ROUNDDOWN(192.666666666667,0)</f>
      </c>
      <c r="AB318" s="5">
        <v>9</v>
      </c>
      <c r="AC318" s="2" t="s">
        <v>233</v>
      </c>
      <c r="AD318" s="4"/>
      <c r="AE318" s="4"/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233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 t="s">
        <v>233</v>
      </c>
      <c r="BD318" s="8" t="s">
        <v>233</v>
      </c>
      <c r="BE318" s="4" t="s">
        <v>233</v>
      </c>
      <c r="BF318" s="8" t="s">
        <v>233</v>
      </c>
      <c r="BG318" s="7" t="s">
        <v>233</v>
      </c>
      <c r="BH318" s="7" t="s">
        <v>233</v>
      </c>
      <c r="BI318" s="7"/>
      <c r="BJ318" s="4">
        <v>52</v>
      </c>
      <c r="BK318" s="8">
        <v>1161.36</v>
      </c>
      <c r="BL318" s="2" t="s">
        <v>2064</v>
      </c>
      <c r="BM318" s="7"/>
      <c r="BN318" s="7"/>
      <c r="BO318" s="4"/>
      <c r="BP318" s="8"/>
      <c r="BQ318" s="4"/>
      <c r="BR318" s="8"/>
      <c r="BS318" s="7"/>
      <c r="BT318" s="7"/>
      <c r="BU318" s="2" t="s">
        <v>2061</v>
      </c>
      <c r="BV318" s="2" t="s">
        <v>233</v>
      </c>
      <c r="BW318" s="2" t="s">
        <v>233</v>
      </c>
      <c r="BX318" s="2" t="s">
        <v>241</v>
      </c>
      <c r="BY318" s="2" t="s">
        <v>242</v>
      </c>
      <c r="BZ318" s="2" t="s">
        <v>230</v>
      </c>
      <c r="CA318" s="2" t="s">
        <v>1992</v>
      </c>
      <c r="CB318" s="2" t="s">
        <v>1998</v>
      </c>
      <c r="CC318" s="2" t="s">
        <v>245</v>
      </c>
      <c r="CD318" s="2" t="s">
        <v>233</v>
      </c>
      <c r="CE318" s="4"/>
      <c r="CF318" s="4">
        <v>1734</v>
      </c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>
        <v>1734</v>
      </c>
      <c r="GD318" s="4">
        <v>1681</v>
      </c>
      <c r="GE318" s="4">
        <v>1670</v>
      </c>
      <c r="GF318" s="4">
        <v>1658</v>
      </c>
      <c r="GG318" s="4">
        <v>1644</v>
      </c>
      <c r="GH318" s="4">
        <v>1630</v>
      </c>
      <c r="GI318" s="4">
        <v>1614</v>
      </c>
      <c r="GJ318" s="4">
        <v>1600</v>
      </c>
      <c r="GK318" s="4">
        <v>1591</v>
      </c>
      <c r="GL318" s="4">
        <v>1581</v>
      </c>
      <c r="GM318" s="4">
        <v>1571</v>
      </c>
      <c r="GN318" s="4">
        <v>1561</v>
      </c>
      <c r="GO318" s="4">
        <v>1551</v>
      </c>
      <c r="GP318" s="4">
        <v>1541</v>
      </c>
      <c r="GQ318" s="4">
        <v>1531</v>
      </c>
      <c r="GR318" s="4">
        <v>1521</v>
      </c>
      <c r="GS318" s="4">
        <v>1511</v>
      </c>
      <c r="GT318" s="4">
        <v>1501</v>
      </c>
      <c r="GU318" s="4">
        <v>1491</v>
      </c>
      <c r="GV318" s="4">
        <v>1482</v>
      </c>
      <c r="GW318" s="4">
        <v>1473</v>
      </c>
      <c r="GX318" s="4">
        <v>1464</v>
      </c>
      <c r="GY318" s="4">
        <v>1455</v>
      </c>
      <c r="GZ318" s="4">
        <v>1446</v>
      </c>
      <c r="HA318" s="4">
        <v>1437</v>
      </c>
      <c r="HB318" s="4">
        <v>1428</v>
      </c>
      <c r="HC318" s="19">
        <v>78.8</v>
      </c>
      <c r="HD318" s="19">
        <v>129.3</v>
      </c>
      <c r="HE318" s="19">
        <v>119.3</v>
      </c>
      <c r="HF318" s="19">
        <v>118.4</v>
      </c>
      <c r="HG318" s="19">
        <v>126.5</v>
      </c>
      <c r="HH318" s="19">
        <v>135.8</v>
      </c>
      <c r="HI318" s="19">
        <v>146.7</v>
      </c>
      <c r="HJ318" s="19">
        <v>160</v>
      </c>
      <c r="HK318" s="19">
        <v>159.1</v>
      </c>
      <c r="HL318" s="19">
        <v>158.1</v>
      </c>
      <c r="HM318" s="19">
        <v>157.1</v>
      </c>
      <c r="HN318" s="19">
        <v>156.1</v>
      </c>
      <c r="HO318" s="19">
        <v>155.1</v>
      </c>
      <c r="HP318" s="19">
        <v>154.1</v>
      </c>
      <c r="HQ318" s="19">
        <v>153.1</v>
      </c>
      <c r="HR318" s="19">
        <v>152.1</v>
      </c>
      <c r="HS318" s="19">
        <v>151.1</v>
      </c>
      <c r="HT318" s="19">
        <v>166.8</v>
      </c>
      <c r="HU318" s="19">
        <v>165.7</v>
      </c>
      <c r="HV318" s="19">
        <v>164.7</v>
      </c>
      <c r="HW318" s="19">
        <v>163.7</v>
      </c>
      <c r="HX318" s="19">
        <v>162.7</v>
      </c>
      <c r="HY318" s="19">
        <v>161.7</v>
      </c>
      <c r="HZ318" s="19">
        <v>160.7</v>
      </c>
      <c r="IA318" s="19">
        <v>159.7</v>
      </c>
      <c r="IB318" s="19">
        <v>158.7</v>
      </c>
    </row>
    <row r="319">
      <c r="A319" s="2" t="s">
        <v>2068</v>
      </c>
      <c r="B319" s="2" t="s">
        <v>872</v>
      </c>
      <c r="C319" s="2" t="s">
        <v>1981</v>
      </c>
      <c r="D319" s="2" t="s">
        <v>774</v>
      </c>
      <c r="E319" s="2" t="s">
        <v>775</v>
      </c>
      <c r="F319" s="2" t="s">
        <v>2069</v>
      </c>
      <c r="G319" s="2" t="s">
        <v>2069</v>
      </c>
      <c r="H319" s="2" t="s">
        <v>2069</v>
      </c>
      <c r="I319" s="2" t="s">
        <v>2070</v>
      </c>
      <c r="J319" s="2" t="s">
        <v>265</v>
      </c>
      <c r="K319" s="2" t="s">
        <v>266</v>
      </c>
      <c r="L319" s="3">
        <v>67.5</v>
      </c>
      <c r="M319" s="3">
        <v>70.88</v>
      </c>
      <c r="N319" s="3">
        <v>149.99</v>
      </c>
      <c r="O319" s="2" t="s">
        <v>230</v>
      </c>
      <c r="P319" s="2" t="s">
        <v>231</v>
      </c>
      <c r="Q319" s="2" t="s">
        <v>232</v>
      </c>
      <c r="R319" s="2" t="s">
        <v>233</v>
      </c>
      <c r="S319" s="2" t="s">
        <v>2071</v>
      </c>
      <c r="T319" s="2" t="s">
        <v>469</v>
      </c>
      <c r="U319" s="2" t="s">
        <v>781</v>
      </c>
      <c r="V319" s="2" t="s">
        <v>236</v>
      </c>
      <c r="W319" s="2" t="s">
        <v>620</v>
      </c>
      <c r="X319" s="2" t="s">
        <v>233</v>
      </c>
      <c r="Y319" s="2" t="s">
        <v>2072</v>
      </c>
      <c r="Z319" s="4">
        <v>65</v>
      </c>
      <c r="AA319" s="4">
        <f>=ROUNDDOWN(43.3333333333333,0)</f>
      </c>
      <c r="AB319" s="5">
        <v>1.5</v>
      </c>
      <c r="AC319" s="2" t="s">
        <v>233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233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233</v>
      </c>
      <c r="AW319" s="8" t="s">
        <v>233</v>
      </c>
      <c r="AX319" s="4" t="s">
        <v>233</v>
      </c>
      <c r="AY319" s="8" t="s">
        <v>233</v>
      </c>
      <c r="AZ319" s="7" t="s">
        <v>233</v>
      </c>
      <c r="BA319" s="7" t="s">
        <v>233</v>
      </c>
      <c r="BB319" s="7"/>
      <c r="BC319" s="4" t="s">
        <v>233</v>
      </c>
      <c r="BD319" s="8" t="s">
        <v>233</v>
      </c>
      <c r="BE319" s="4" t="s">
        <v>233</v>
      </c>
      <c r="BF319" s="8" t="s">
        <v>233</v>
      </c>
      <c r="BG319" s="7" t="s">
        <v>233</v>
      </c>
      <c r="BH319" s="7" t="s">
        <v>233</v>
      </c>
      <c r="BI319" s="7"/>
      <c r="BJ319" s="4">
        <v>11</v>
      </c>
      <c r="BK319" s="8">
        <v>916.68</v>
      </c>
      <c r="BL319" s="2" t="s">
        <v>2073</v>
      </c>
      <c r="BM319" s="7"/>
      <c r="BN319" s="7"/>
      <c r="BO319" s="4"/>
      <c r="BP319" s="8"/>
      <c r="BQ319" s="4"/>
      <c r="BR319" s="8"/>
      <c r="BS319" s="7"/>
      <c r="BT319" s="7"/>
      <c r="BU319" s="2" t="s">
        <v>2074</v>
      </c>
      <c r="BV319" s="2" t="s">
        <v>233</v>
      </c>
      <c r="BW319" s="2" t="s">
        <v>233</v>
      </c>
      <c r="BX319" s="2" t="s">
        <v>241</v>
      </c>
      <c r="BY319" s="2" t="s">
        <v>242</v>
      </c>
      <c r="BZ319" s="2" t="s">
        <v>230</v>
      </c>
      <c r="CA319" s="2" t="s">
        <v>2075</v>
      </c>
      <c r="CB319" s="2" t="s">
        <v>2076</v>
      </c>
      <c r="CC319" s="2" t="s">
        <v>245</v>
      </c>
      <c r="CD319" s="2" t="s">
        <v>233</v>
      </c>
      <c r="CE319" s="4">
        <v>65</v>
      </c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>
        <v>67</v>
      </c>
      <c r="GD319" s="4">
        <v>65</v>
      </c>
      <c r="GE319" s="4">
        <v>63</v>
      </c>
      <c r="GF319" s="4">
        <v>62</v>
      </c>
      <c r="GG319" s="4">
        <v>59</v>
      </c>
      <c r="GH319" s="4">
        <v>58</v>
      </c>
      <c r="GI319" s="4">
        <v>57</v>
      </c>
      <c r="GJ319" s="4">
        <v>56</v>
      </c>
      <c r="GK319" s="4">
        <v>55</v>
      </c>
      <c r="GL319" s="4">
        <v>54</v>
      </c>
      <c r="GM319" s="4">
        <v>53</v>
      </c>
      <c r="GN319" s="4">
        <v>52</v>
      </c>
      <c r="GO319" s="4">
        <v>51</v>
      </c>
      <c r="GP319" s="4">
        <v>50</v>
      </c>
      <c r="GQ319" s="4">
        <v>49</v>
      </c>
      <c r="GR319" s="4">
        <v>48</v>
      </c>
      <c r="GS319" s="4">
        <v>47</v>
      </c>
      <c r="GT319" s="4">
        <v>46</v>
      </c>
      <c r="GU319" s="4">
        <v>45</v>
      </c>
      <c r="GV319" s="4">
        <v>44</v>
      </c>
      <c r="GW319" s="4">
        <v>43</v>
      </c>
      <c r="GX319" s="4">
        <v>42</v>
      </c>
      <c r="GY319" s="4">
        <v>41</v>
      </c>
      <c r="GZ319" s="4">
        <v>40</v>
      </c>
      <c r="HA319" s="4">
        <v>39</v>
      </c>
      <c r="HB319" s="4">
        <v>38</v>
      </c>
      <c r="HC319" s="19">
        <v>33.5</v>
      </c>
      <c r="HD319" s="19">
        <v>32.5</v>
      </c>
      <c r="HE319" s="19">
        <v>31.5</v>
      </c>
      <c r="HF319" s="19">
        <v>31</v>
      </c>
      <c r="HG319" s="19">
        <v>59</v>
      </c>
      <c r="HH319" s="19">
        <v>58</v>
      </c>
      <c r="HI319" s="19">
        <v>57</v>
      </c>
      <c r="HJ319" s="19">
        <v>56</v>
      </c>
      <c r="HK319" s="19">
        <v>55</v>
      </c>
      <c r="HL319" s="19">
        <v>54</v>
      </c>
      <c r="HM319" s="19">
        <v>53</v>
      </c>
      <c r="HN319" s="19">
        <v>52</v>
      </c>
      <c r="HO319" s="19">
        <v>51</v>
      </c>
      <c r="HP319" s="19">
        <v>50</v>
      </c>
      <c r="HQ319" s="19">
        <v>49</v>
      </c>
      <c r="HR319" s="19">
        <v>48</v>
      </c>
      <c r="HS319" s="19">
        <v>47</v>
      </c>
      <c r="HT319" s="19">
        <v>46</v>
      </c>
      <c r="HU319" s="19">
        <v>45</v>
      </c>
      <c r="HV319" s="19">
        <v>44</v>
      </c>
      <c r="HW319" s="19">
        <v>43</v>
      </c>
      <c r="HX319" s="19">
        <v>42</v>
      </c>
      <c r="HY319" s="19">
        <v>41</v>
      </c>
      <c r="HZ319" s="19">
        <v>40</v>
      </c>
      <c r="IA319" s="19">
        <v>39</v>
      </c>
      <c r="IB319" s="19">
        <v>38</v>
      </c>
    </row>
    <row r="320">
      <c r="A320" s="2" t="s">
        <v>2077</v>
      </c>
      <c r="B320" s="2" t="s">
        <v>872</v>
      </c>
      <c r="C320" s="2" t="s">
        <v>1981</v>
      </c>
      <c r="D320" s="2" t="s">
        <v>774</v>
      </c>
      <c r="E320" s="2" t="s">
        <v>775</v>
      </c>
      <c r="F320" s="2" t="s">
        <v>2069</v>
      </c>
      <c r="G320" s="2" t="s">
        <v>2069</v>
      </c>
      <c r="H320" s="2" t="s">
        <v>2069</v>
      </c>
      <c r="I320" s="2" t="s">
        <v>2070</v>
      </c>
      <c r="J320" s="2" t="s">
        <v>275</v>
      </c>
      <c r="K320" s="2" t="s">
        <v>266</v>
      </c>
      <c r="L320" s="3">
        <v>76.5</v>
      </c>
      <c r="M320" s="3">
        <v>80.33</v>
      </c>
      <c r="N320" s="3">
        <v>169.99</v>
      </c>
      <c r="O320" s="2" t="s">
        <v>230</v>
      </c>
      <c r="P320" s="2" t="s">
        <v>231</v>
      </c>
      <c r="Q320" s="2" t="s">
        <v>232</v>
      </c>
      <c r="R320" s="2" t="s">
        <v>233</v>
      </c>
      <c r="S320" s="2" t="s">
        <v>2071</v>
      </c>
      <c r="T320" s="2" t="s">
        <v>469</v>
      </c>
      <c r="U320" s="2" t="s">
        <v>781</v>
      </c>
      <c r="V320" s="2" t="s">
        <v>236</v>
      </c>
      <c r="W320" s="2" t="s">
        <v>620</v>
      </c>
      <c r="X320" s="2" t="s">
        <v>233</v>
      </c>
      <c r="Y320" s="2" t="s">
        <v>2072</v>
      </c>
      <c r="Z320" s="4">
        <v>118</v>
      </c>
      <c r="AA320" s="4">
        <f>=ROUNDDOWN(73.75,0)</f>
      </c>
      <c r="AB320" s="5">
        <v>1.6</v>
      </c>
      <c r="AC320" s="2" t="s">
        <v>233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233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233</v>
      </c>
      <c r="AW320" s="8" t="s">
        <v>233</v>
      </c>
      <c r="AX320" s="4" t="s">
        <v>233</v>
      </c>
      <c r="AY320" s="8" t="s">
        <v>233</v>
      </c>
      <c r="AZ320" s="7" t="s">
        <v>233</v>
      </c>
      <c r="BA320" s="7" t="s">
        <v>233</v>
      </c>
      <c r="BB320" s="7"/>
      <c r="BC320" s="4" t="s">
        <v>233</v>
      </c>
      <c r="BD320" s="8" t="s">
        <v>233</v>
      </c>
      <c r="BE320" s="4" t="s">
        <v>233</v>
      </c>
      <c r="BF320" s="8" t="s">
        <v>233</v>
      </c>
      <c r="BG320" s="7" t="s">
        <v>233</v>
      </c>
      <c r="BH320" s="7" t="s">
        <v>233</v>
      </c>
      <c r="BI320" s="7"/>
      <c r="BJ320" s="4">
        <v>14</v>
      </c>
      <c r="BK320" s="8">
        <v>1304.26</v>
      </c>
      <c r="BL320" s="2" t="s">
        <v>2078</v>
      </c>
      <c r="BM320" s="7"/>
      <c r="BN320" s="7"/>
      <c r="BO320" s="4"/>
      <c r="BP320" s="8"/>
      <c r="BQ320" s="4"/>
      <c r="BR320" s="8"/>
      <c r="BS320" s="7"/>
      <c r="BT320" s="7"/>
      <c r="BU320" s="2" t="s">
        <v>2074</v>
      </c>
      <c r="BV320" s="2" t="s">
        <v>233</v>
      </c>
      <c r="BW320" s="2" t="s">
        <v>233</v>
      </c>
      <c r="BX320" s="2" t="s">
        <v>241</v>
      </c>
      <c r="BY320" s="2" t="s">
        <v>242</v>
      </c>
      <c r="BZ320" s="2" t="s">
        <v>230</v>
      </c>
      <c r="CA320" s="2" t="s">
        <v>2075</v>
      </c>
      <c r="CB320" s="2" t="s">
        <v>1195</v>
      </c>
      <c r="CC320" s="2" t="s">
        <v>245</v>
      </c>
      <c r="CD320" s="2" t="s">
        <v>233</v>
      </c>
      <c r="CE320" s="4">
        <v>118</v>
      </c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>
        <v>120</v>
      </c>
      <c r="GD320" s="4">
        <v>116</v>
      </c>
      <c r="GE320" s="4">
        <v>113</v>
      </c>
      <c r="GF320" s="4">
        <v>110</v>
      </c>
      <c r="GG320" s="4">
        <v>104</v>
      </c>
      <c r="GH320" s="4">
        <v>101</v>
      </c>
      <c r="GI320" s="4">
        <v>99</v>
      </c>
      <c r="GJ320" s="4">
        <v>97</v>
      </c>
      <c r="GK320" s="4">
        <v>96</v>
      </c>
      <c r="GL320" s="4">
        <v>94</v>
      </c>
      <c r="GM320" s="4">
        <v>92</v>
      </c>
      <c r="GN320" s="4">
        <v>90</v>
      </c>
      <c r="GO320" s="4">
        <v>88</v>
      </c>
      <c r="GP320" s="4">
        <v>86</v>
      </c>
      <c r="GQ320" s="4">
        <v>84</v>
      </c>
      <c r="GR320" s="4">
        <v>82</v>
      </c>
      <c r="GS320" s="4">
        <v>80</v>
      </c>
      <c r="GT320" s="4">
        <v>78</v>
      </c>
      <c r="GU320" s="4">
        <v>76</v>
      </c>
      <c r="GV320" s="4">
        <v>74</v>
      </c>
      <c r="GW320" s="4">
        <v>72</v>
      </c>
      <c r="GX320" s="4">
        <v>70</v>
      </c>
      <c r="GY320" s="4">
        <v>68</v>
      </c>
      <c r="GZ320" s="4">
        <v>66</v>
      </c>
      <c r="HA320" s="4">
        <v>64</v>
      </c>
      <c r="HB320" s="4">
        <v>62</v>
      </c>
      <c r="HC320" s="19">
        <v>30</v>
      </c>
      <c r="HD320" s="19">
        <v>29</v>
      </c>
      <c r="HE320" s="19">
        <v>28.3</v>
      </c>
      <c r="HF320" s="19">
        <v>36.7</v>
      </c>
      <c r="HG320" s="19">
        <v>52</v>
      </c>
      <c r="HH320" s="19">
        <v>50.5</v>
      </c>
      <c r="HI320" s="19">
        <v>49.5</v>
      </c>
      <c r="HJ320" s="19">
        <v>48.5</v>
      </c>
      <c r="HK320" s="19">
        <v>48</v>
      </c>
      <c r="HL320" s="19">
        <v>47</v>
      </c>
      <c r="HM320" s="19">
        <v>46</v>
      </c>
      <c r="HN320" s="19">
        <v>45</v>
      </c>
      <c r="HO320" s="19">
        <v>44</v>
      </c>
      <c r="HP320" s="19">
        <v>43</v>
      </c>
      <c r="HQ320" s="19">
        <v>42</v>
      </c>
      <c r="HR320" s="19">
        <v>41</v>
      </c>
      <c r="HS320" s="19">
        <v>40</v>
      </c>
      <c r="HT320" s="19">
        <v>39</v>
      </c>
      <c r="HU320" s="19">
        <v>38</v>
      </c>
      <c r="HV320" s="19">
        <v>37</v>
      </c>
      <c r="HW320" s="19">
        <v>36</v>
      </c>
      <c r="HX320" s="19">
        <v>35</v>
      </c>
      <c r="HY320" s="19">
        <v>34</v>
      </c>
      <c r="HZ320" s="19">
        <v>33</v>
      </c>
      <c r="IA320" s="19">
        <v>32</v>
      </c>
      <c r="IB320" s="19">
        <v>31</v>
      </c>
    </row>
    <row r="321">
      <c r="A321" s="2" t="s">
        <v>2079</v>
      </c>
      <c r="B321" s="2" t="s">
        <v>923</v>
      </c>
      <c r="C321" s="2" t="s">
        <v>762</v>
      </c>
      <c r="D321" s="2" t="s">
        <v>951</v>
      </c>
      <c r="E321" s="2" t="s">
        <v>952</v>
      </c>
      <c r="F321" s="2" t="s">
        <v>1050</v>
      </c>
      <c r="G321" s="2" t="s">
        <v>1050</v>
      </c>
      <c r="H321" s="2" t="s">
        <v>1050</v>
      </c>
      <c r="I321" s="2" t="s">
        <v>2080</v>
      </c>
      <c r="J321" s="2" t="s">
        <v>954</v>
      </c>
      <c r="K321" s="2" t="s">
        <v>2081</v>
      </c>
      <c r="L321" s="3">
        <v>24</v>
      </c>
      <c r="M321" s="3">
        <v>25.2</v>
      </c>
      <c r="N321" s="3">
        <v>49.99</v>
      </c>
      <c r="O321" s="2" t="s">
        <v>230</v>
      </c>
      <c r="P321" s="2" t="s">
        <v>231</v>
      </c>
      <c r="Q321" s="2" t="s">
        <v>232</v>
      </c>
      <c r="R321" s="2" t="s">
        <v>233</v>
      </c>
      <c r="S321" s="2" t="s">
        <v>2082</v>
      </c>
      <c r="T321" s="2" t="s">
        <v>233</v>
      </c>
      <c r="U321" s="2" t="s">
        <v>329</v>
      </c>
      <c r="V321" s="2" t="s">
        <v>349</v>
      </c>
      <c r="W321" s="2" t="s">
        <v>1034</v>
      </c>
      <c r="X321" s="2" t="s">
        <v>2083</v>
      </c>
      <c r="Y321" s="2" t="s">
        <v>2084</v>
      </c>
      <c r="Z321" s="4">
        <v>2</v>
      </c>
      <c r="AA321" s="4">
        <f>=ROUNDDOWN(0.105263157894737,0)</f>
      </c>
      <c r="AB321" s="5">
        <v>19</v>
      </c>
      <c r="AC321" s="2" t="s">
        <v>140</v>
      </c>
      <c r="AD321" s="4">
        <v>620</v>
      </c>
      <c r="AE321" s="4">
        <v>620</v>
      </c>
      <c r="AF321" s="6">
        <v>67</v>
      </c>
      <c r="AG321" s="6"/>
      <c r="AH321" s="7">
        <v>0</v>
      </c>
      <c r="AI321" s="4"/>
      <c r="AJ321" s="4">
        <f>=ROUNDDOWN({0},0)</f>
      </c>
      <c r="AK321" s="5"/>
      <c r="AL321" s="2" t="s">
        <v>233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/>
      <c r="BD321" s="8"/>
      <c r="BE321" s="4"/>
      <c r="BF321" s="8"/>
      <c r="BG321" s="7"/>
      <c r="BH321" s="7"/>
      <c r="BI321" s="7"/>
      <c r="BJ321" s="4">
        <v>23</v>
      </c>
      <c r="BK321" s="8">
        <v>627.6</v>
      </c>
      <c r="BL321" s="2" t="s">
        <v>599</v>
      </c>
      <c r="BM321" s="7"/>
      <c r="BN321" s="7"/>
      <c r="BO321" s="4"/>
      <c r="BP321" s="8"/>
      <c r="BQ321" s="4"/>
      <c r="BR321" s="8"/>
      <c r="BS321" s="7"/>
      <c r="BT321" s="7"/>
      <c r="BU321" s="2" t="s">
        <v>2085</v>
      </c>
      <c r="BV321" s="2" t="s">
        <v>233</v>
      </c>
      <c r="BW321" s="2" t="s">
        <v>233</v>
      </c>
      <c r="BX321" s="2" t="s">
        <v>241</v>
      </c>
      <c r="BY321" s="2" t="s">
        <v>242</v>
      </c>
      <c r="BZ321" s="2" t="s">
        <v>230</v>
      </c>
      <c r="CA321" s="2" t="s">
        <v>2086</v>
      </c>
      <c r="CB321" s="2" t="s">
        <v>2087</v>
      </c>
      <c r="CC321" s="2" t="s">
        <v>245</v>
      </c>
      <c r="CD321" s="2" t="s">
        <v>233</v>
      </c>
      <c r="CE321" s="4">
        <v>2</v>
      </c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>
        <v>620</v>
      </c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>
        <v>2</v>
      </c>
      <c r="GD321" s="4"/>
      <c r="GE321" s="4">
        <v>620</v>
      </c>
      <c r="GF321" s="4">
        <v>481</v>
      </c>
      <c r="GG321" s="4">
        <v>449</v>
      </c>
      <c r="GH321" s="4">
        <v>423</v>
      </c>
      <c r="GI321" s="4">
        <v>397</v>
      </c>
      <c r="GJ321" s="4">
        <v>379</v>
      </c>
      <c r="GK321" s="4">
        <v>364</v>
      </c>
      <c r="GL321" s="4">
        <v>344</v>
      </c>
      <c r="GM321" s="4">
        <v>324</v>
      </c>
      <c r="GN321" s="4">
        <v>305</v>
      </c>
      <c r="GO321" s="4">
        <v>286</v>
      </c>
      <c r="GP321" s="4">
        <v>267</v>
      </c>
      <c r="GQ321" s="4">
        <v>248</v>
      </c>
      <c r="GR321" s="4">
        <v>229</v>
      </c>
      <c r="GS321" s="4">
        <v>210</v>
      </c>
      <c r="GT321" s="4">
        <v>190</v>
      </c>
      <c r="GU321" s="4">
        <v>171</v>
      </c>
      <c r="GV321" s="4">
        <v>152</v>
      </c>
      <c r="GW321" s="4">
        <v>133</v>
      </c>
      <c r="GX321" s="4">
        <v>114</v>
      </c>
      <c r="GY321" s="4">
        <v>95</v>
      </c>
      <c r="GZ321" s="4">
        <v>76</v>
      </c>
      <c r="HA321" s="4">
        <v>56</v>
      </c>
      <c r="HB321" s="4">
        <v>37</v>
      </c>
      <c r="HC321" s="20">
        <v>0</v>
      </c>
      <c r="HD321" s="20">
        <v>0</v>
      </c>
      <c r="HE321" s="19">
        <v>11.1</v>
      </c>
      <c r="HF321" s="19">
        <v>18.5</v>
      </c>
      <c r="HG321" s="19">
        <v>21.4</v>
      </c>
      <c r="HH321" s="19">
        <v>21.2</v>
      </c>
      <c r="HI321" s="19">
        <v>22.1</v>
      </c>
      <c r="HJ321" s="19">
        <v>21.1</v>
      </c>
      <c r="HK321" s="19">
        <v>18.2</v>
      </c>
      <c r="HL321" s="19">
        <v>18.1</v>
      </c>
      <c r="HM321" s="19">
        <v>17.1</v>
      </c>
      <c r="HN321" s="19">
        <v>16.1</v>
      </c>
      <c r="HO321" s="19">
        <v>15.1</v>
      </c>
      <c r="HP321" s="19">
        <v>14.1</v>
      </c>
      <c r="HQ321" s="19">
        <v>13.1</v>
      </c>
      <c r="HR321" s="19">
        <v>12.1</v>
      </c>
      <c r="HS321" s="19">
        <v>11.1</v>
      </c>
      <c r="HT321" s="19">
        <v>10</v>
      </c>
      <c r="HU321" s="19">
        <v>9</v>
      </c>
      <c r="HV321" s="19">
        <v>8</v>
      </c>
      <c r="HW321" s="19">
        <v>7</v>
      </c>
      <c r="HX321" s="19">
        <v>6</v>
      </c>
      <c r="HY321" s="19">
        <v>5</v>
      </c>
      <c r="HZ321" s="19">
        <v>4</v>
      </c>
      <c r="IA321" s="19">
        <v>2.9</v>
      </c>
      <c r="IB321" s="19">
        <v>1.9</v>
      </c>
    </row>
    <row r="322">
      <c r="A322" s="2" t="s">
        <v>2088</v>
      </c>
      <c r="B322" s="2" t="s">
        <v>222</v>
      </c>
      <c r="C322" s="2" t="s">
        <v>280</v>
      </c>
      <c r="D322" s="2" t="s">
        <v>1573</v>
      </c>
      <c r="E322" s="2" t="s">
        <v>2089</v>
      </c>
      <c r="F322" s="2" t="s">
        <v>2090</v>
      </c>
      <c r="G322" s="2" t="s">
        <v>2091</v>
      </c>
      <c r="H322" s="2" t="s">
        <v>2091</v>
      </c>
      <c r="I322" s="2" t="s">
        <v>2092</v>
      </c>
      <c r="J322" s="2" t="s">
        <v>265</v>
      </c>
      <c r="K322" s="2" t="s">
        <v>1511</v>
      </c>
      <c r="L322" s="3">
        <v>25.39</v>
      </c>
      <c r="M322" s="3">
        <v>26.66</v>
      </c>
      <c r="N322" s="3">
        <v>54.99</v>
      </c>
      <c r="O322" s="2" t="s">
        <v>230</v>
      </c>
      <c r="P322" s="2" t="s">
        <v>231</v>
      </c>
      <c r="Q322" s="2" t="s">
        <v>232</v>
      </c>
      <c r="R322" s="2" t="s">
        <v>233</v>
      </c>
      <c r="S322" s="2" t="s">
        <v>2093</v>
      </c>
      <c r="T322" s="2" t="s">
        <v>469</v>
      </c>
      <c r="U322" s="2" t="s">
        <v>329</v>
      </c>
      <c r="V322" s="2" t="s">
        <v>236</v>
      </c>
      <c r="W322" s="2" t="s">
        <v>237</v>
      </c>
      <c r="X322" s="2" t="s">
        <v>916</v>
      </c>
      <c r="Y322" s="2" t="s">
        <v>2094</v>
      </c>
      <c r="Z322" s="4">
        <v>196</v>
      </c>
      <c r="AA322" s="4">
        <f>=ROUNDDOWN(17.8181818181818,0)</f>
      </c>
      <c r="AB322" s="5">
        <v>11</v>
      </c>
      <c r="AC322" s="2" t="s">
        <v>746</v>
      </c>
      <c r="AD322" s="4">
        <v>220</v>
      </c>
      <c r="AE322" s="4">
        <v>380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233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/>
      <c r="BD322" s="8"/>
      <c r="BE322" s="4"/>
      <c r="BF322" s="8"/>
      <c r="BG322" s="7"/>
      <c r="BH322" s="7"/>
      <c r="BI322" s="7"/>
      <c r="BJ322" s="4">
        <v>57</v>
      </c>
      <c r="BK322" s="8">
        <v>1541.88</v>
      </c>
      <c r="BL322" s="2" t="s">
        <v>2095</v>
      </c>
      <c r="BM322" s="7"/>
      <c r="BN322" s="7"/>
      <c r="BO322" s="4"/>
      <c r="BP322" s="8"/>
      <c r="BQ322" s="4"/>
      <c r="BR322" s="8"/>
      <c r="BS322" s="7"/>
      <c r="BT322" s="7"/>
      <c r="BU322" s="2" t="s">
        <v>2096</v>
      </c>
      <c r="BV322" s="2" t="s">
        <v>233</v>
      </c>
      <c r="BW322" s="2" t="s">
        <v>233</v>
      </c>
      <c r="BX322" s="2" t="s">
        <v>241</v>
      </c>
      <c r="BY322" s="2" t="s">
        <v>242</v>
      </c>
      <c r="BZ322" s="2" t="s">
        <v>230</v>
      </c>
      <c r="CA322" s="2" t="s">
        <v>2097</v>
      </c>
      <c r="CB322" s="2" t="s">
        <v>1920</v>
      </c>
      <c r="CC322" s="2" t="s">
        <v>245</v>
      </c>
      <c r="CD322" s="2" t="s">
        <v>233</v>
      </c>
      <c r="CE322" s="4">
        <v>101</v>
      </c>
      <c r="CF322" s="4"/>
      <c r="CG322" s="4"/>
      <c r="CH322" s="4">
        <v>95</v>
      </c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>
        <v>220</v>
      </c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>
        <v>160</v>
      </c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>
        <v>195</v>
      </c>
      <c r="GD322" s="4">
        <v>155</v>
      </c>
      <c r="GE322" s="4">
        <v>102</v>
      </c>
      <c r="GF322" s="4">
        <v>57</v>
      </c>
      <c r="GG322" s="4"/>
      <c r="GH322" s="4">
        <v>220</v>
      </c>
      <c r="GI322" s="4">
        <v>197</v>
      </c>
      <c r="GJ322" s="4">
        <v>186</v>
      </c>
      <c r="GK322" s="4">
        <v>180</v>
      </c>
      <c r="GL322" s="4">
        <v>166</v>
      </c>
      <c r="GM322" s="4">
        <v>153</v>
      </c>
      <c r="GN322" s="4">
        <v>141</v>
      </c>
      <c r="GO322" s="4">
        <v>130</v>
      </c>
      <c r="GP322" s="4">
        <v>280</v>
      </c>
      <c r="GQ322" s="4">
        <v>270</v>
      </c>
      <c r="GR322" s="4">
        <v>259</v>
      </c>
      <c r="GS322" s="4">
        <v>247</v>
      </c>
      <c r="GT322" s="4">
        <v>236</v>
      </c>
      <c r="GU322" s="4">
        <v>225</v>
      </c>
      <c r="GV322" s="4">
        <v>214</v>
      </c>
      <c r="GW322" s="4">
        <v>203</v>
      </c>
      <c r="GX322" s="4">
        <v>192</v>
      </c>
      <c r="GY322" s="4">
        <v>181</v>
      </c>
      <c r="GZ322" s="4">
        <v>170</v>
      </c>
      <c r="HA322" s="4">
        <v>159</v>
      </c>
      <c r="HB322" s="4">
        <v>148</v>
      </c>
      <c r="HC322" s="19">
        <v>3.8</v>
      </c>
      <c r="HD322" s="19">
        <v>3.4</v>
      </c>
      <c r="HE322" s="19">
        <v>2.7</v>
      </c>
      <c r="HF322" s="19">
        <v>1.9</v>
      </c>
      <c r="HG322" s="20">
        <v>0</v>
      </c>
      <c r="HH322" s="19">
        <v>15.7</v>
      </c>
      <c r="HI322" s="19">
        <v>17.9</v>
      </c>
      <c r="HJ322" s="19">
        <v>16.9</v>
      </c>
      <c r="HK322" s="19">
        <v>15</v>
      </c>
      <c r="HL322" s="19">
        <v>13.8</v>
      </c>
      <c r="HM322" s="19">
        <v>13.9</v>
      </c>
      <c r="HN322" s="19">
        <v>14.1</v>
      </c>
      <c r="HO322" s="19">
        <v>11.8</v>
      </c>
      <c r="HP322" s="19">
        <v>25.5</v>
      </c>
      <c r="HQ322" s="19">
        <v>24.5</v>
      </c>
      <c r="HR322" s="19">
        <v>23.5</v>
      </c>
      <c r="HS322" s="19">
        <v>22.5</v>
      </c>
      <c r="HT322" s="19">
        <v>21.5</v>
      </c>
      <c r="HU322" s="19">
        <v>20.5</v>
      </c>
      <c r="HV322" s="19">
        <v>19.5</v>
      </c>
      <c r="HW322" s="19">
        <v>18.5</v>
      </c>
      <c r="HX322" s="19">
        <v>17.5</v>
      </c>
      <c r="HY322" s="19">
        <v>16.5</v>
      </c>
      <c r="HZ322" s="19">
        <v>15.5</v>
      </c>
      <c r="IA322" s="19">
        <v>14.5</v>
      </c>
      <c r="IB322" s="19">
        <v>13.5</v>
      </c>
    </row>
    <row r="323">
      <c r="A323" s="2" t="s">
        <v>2098</v>
      </c>
      <c r="B323" s="2" t="s">
        <v>761</v>
      </c>
      <c r="C323" s="2" t="s">
        <v>280</v>
      </c>
      <c r="D323" s="2" t="s">
        <v>763</v>
      </c>
      <c r="E323" s="2" t="s">
        <v>2099</v>
      </c>
      <c r="F323" s="2" t="s">
        <v>2100</v>
      </c>
      <c r="G323" s="2" t="s">
        <v>2101</v>
      </c>
      <c r="H323" s="2" t="s">
        <v>2102</v>
      </c>
      <c r="I323" s="2" t="s">
        <v>2103</v>
      </c>
      <c r="J323" s="2" t="s">
        <v>741</v>
      </c>
      <c r="K323" s="2" t="s">
        <v>1157</v>
      </c>
      <c r="L323" s="3">
        <v>99.75</v>
      </c>
      <c r="M323" s="3">
        <v>104.74</v>
      </c>
      <c r="N323" s="3">
        <v>209</v>
      </c>
      <c r="O323" s="2" t="s">
        <v>230</v>
      </c>
      <c r="P323" s="2" t="s">
        <v>231</v>
      </c>
      <c r="Q323" s="2" t="s">
        <v>232</v>
      </c>
      <c r="R323" s="2" t="s">
        <v>233</v>
      </c>
      <c r="S323" s="2" t="s">
        <v>2104</v>
      </c>
      <c r="T323" s="2" t="s">
        <v>233</v>
      </c>
      <c r="U323" s="2" t="s">
        <v>233</v>
      </c>
      <c r="V323" s="2" t="s">
        <v>236</v>
      </c>
      <c r="W323" s="2" t="s">
        <v>712</v>
      </c>
      <c r="X323" s="2" t="s">
        <v>233</v>
      </c>
      <c r="Y323" s="2" t="s">
        <v>1114</v>
      </c>
      <c r="Z323" s="4">
        <v>333</v>
      </c>
      <c r="AA323" s="4">
        <f>=ROUNDDOWN(111,0)</f>
      </c>
      <c r="AB323" s="5">
        <v>3</v>
      </c>
      <c r="AC323" s="2" t="s">
        <v>233</v>
      </c>
      <c r="AD323" s="4"/>
      <c r="AE323" s="4"/>
      <c r="AF323" s="6">
        <v>76</v>
      </c>
      <c r="AG323" s="6">
        <v>67</v>
      </c>
      <c r="AH323" s="7">
        <v>1</v>
      </c>
      <c r="AI323" s="4"/>
      <c r="AJ323" s="4">
        <f>=ROUNDDOWN({0},0)</f>
      </c>
      <c r="AK323" s="5"/>
      <c r="AL323" s="2" t="s">
        <v>233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 t="s">
        <v>233</v>
      </c>
      <c r="BD323" s="8" t="s">
        <v>233</v>
      </c>
      <c r="BE323" s="4" t="s">
        <v>233</v>
      </c>
      <c r="BF323" s="8" t="s">
        <v>233</v>
      </c>
      <c r="BG323" s="7" t="s">
        <v>233</v>
      </c>
      <c r="BH323" s="7" t="s">
        <v>233</v>
      </c>
      <c r="BI323" s="7"/>
      <c r="BJ323" s="4">
        <v>13</v>
      </c>
      <c r="BK323" s="8">
        <v>1333.66</v>
      </c>
      <c r="BL323" s="2" t="s">
        <v>2105</v>
      </c>
      <c r="BM323" s="7"/>
      <c r="BN323" s="7"/>
      <c r="BO323" s="4"/>
      <c r="BP323" s="8"/>
      <c r="BQ323" s="4"/>
      <c r="BR323" s="8"/>
      <c r="BS323" s="7"/>
      <c r="BT323" s="7"/>
      <c r="BU323" s="2" t="s">
        <v>2106</v>
      </c>
      <c r="BV323" s="2" t="s">
        <v>233</v>
      </c>
      <c r="BW323" s="2" t="s">
        <v>233</v>
      </c>
      <c r="BX323" s="2" t="s">
        <v>241</v>
      </c>
      <c r="BY323" s="2" t="s">
        <v>242</v>
      </c>
      <c r="BZ323" s="2" t="s">
        <v>230</v>
      </c>
      <c r="CA323" s="2" t="s">
        <v>2107</v>
      </c>
      <c r="CB323" s="2" t="s">
        <v>425</v>
      </c>
      <c r="CC323" s="2" t="s">
        <v>245</v>
      </c>
      <c r="CD323" s="2" t="s">
        <v>233</v>
      </c>
      <c r="CE323" s="4"/>
      <c r="CF323" s="4">
        <v>333</v>
      </c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>
        <v>335</v>
      </c>
      <c r="GD323" s="4">
        <v>330</v>
      </c>
      <c r="GE323" s="4">
        <v>325</v>
      </c>
      <c r="GF323" s="4">
        <v>322</v>
      </c>
      <c r="GG323" s="4">
        <v>313</v>
      </c>
      <c r="GH323" s="4">
        <v>309</v>
      </c>
      <c r="GI323" s="4">
        <v>306</v>
      </c>
      <c r="GJ323" s="4">
        <v>304</v>
      </c>
      <c r="GK323" s="4">
        <v>302</v>
      </c>
      <c r="GL323" s="4">
        <v>299</v>
      </c>
      <c r="GM323" s="4">
        <v>297</v>
      </c>
      <c r="GN323" s="4">
        <v>294</v>
      </c>
      <c r="GO323" s="4">
        <v>292</v>
      </c>
      <c r="GP323" s="4">
        <v>290</v>
      </c>
      <c r="GQ323" s="4">
        <v>288</v>
      </c>
      <c r="GR323" s="4">
        <v>286</v>
      </c>
      <c r="GS323" s="4">
        <v>284</v>
      </c>
      <c r="GT323" s="4">
        <v>281</v>
      </c>
      <c r="GU323" s="4">
        <v>279</v>
      </c>
      <c r="GV323" s="4">
        <v>276</v>
      </c>
      <c r="GW323" s="4">
        <v>273</v>
      </c>
      <c r="GX323" s="4">
        <v>270</v>
      </c>
      <c r="GY323" s="4">
        <v>267</v>
      </c>
      <c r="GZ323" s="4">
        <v>264</v>
      </c>
      <c r="HA323" s="4">
        <v>261</v>
      </c>
      <c r="HB323" s="4">
        <v>258</v>
      </c>
      <c r="HC323" s="19">
        <v>27.9</v>
      </c>
      <c r="HD323" s="19">
        <v>33</v>
      </c>
      <c r="HE323" s="19">
        <v>32.5</v>
      </c>
      <c r="HF323" s="19">
        <v>40.3</v>
      </c>
      <c r="HG323" s="19">
        <v>52.2</v>
      </c>
      <c r="HH323" s="19">
        <v>77.3</v>
      </c>
      <c r="HI323" s="19">
        <v>76.5</v>
      </c>
      <c r="HJ323" s="19">
        <v>76</v>
      </c>
      <c r="HK323" s="19">
        <v>75.5</v>
      </c>
      <c r="HL323" s="19">
        <v>74.8</v>
      </c>
      <c r="HM323" s="19">
        <v>74.3</v>
      </c>
      <c r="HN323" s="19">
        <v>73.5</v>
      </c>
      <c r="HO323" s="19">
        <v>73</v>
      </c>
      <c r="HP323" s="19">
        <v>72.5</v>
      </c>
      <c r="HQ323" s="19">
        <v>72</v>
      </c>
      <c r="HR323" s="19">
        <v>71.5</v>
      </c>
      <c r="HS323" s="19">
        <v>47.4</v>
      </c>
      <c r="HT323" s="19">
        <v>46.9</v>
      </c>
      <c r="HU323" s="19">
        <v>46.5</v>
      </c>
      <c r="HV323" s="19">
        <v>46</v>
      </c>
      <c r="HW323" s="19">
        <v>45.5</v>
      </c>
      <c r="HX323" s="19">
        <v>45</v>
      </c>
      <c r="HY323" s="19">
        <v>44.5</v>
      </c>
      <c r="HZ323" s="19">
        <v>44</v>
      </c>
      <c r="IA323" s="19">
        <v>43.5</v>
      </c>
      <c r="IB323" s="19">
        <v>43</v>
      </c>
    </row>
    <row r="324">
      <c r="A324" s="2" t="s">
        <v>2108</v>
      </c>
      <c r="B324" s="2" t="s">
        <v>761</v>
      </c>
      <c r="C324" s="2" t="s">
        <v>280</v>
      </c>
      <c r="D324" s="2" t="s">
        <v>763</v>
      </c>
      <c r="E324" s="2" t="s">
        <v>2109</v>
      </c>
      <c r="F324" s="2" t="s">
        <v>2100</v>
      </c>
      <c r="G324" s="2" t="s">
        <v>2101</v>
      </c>
      <c r="H324" s="2" t="s">
        <v>2102</v>
      </c>
      <c r="I324" s="2" t="s">
        <v>2109</v>
      </c>
      <c r="J324" s="2" t="s">
        <v>741</v>
      </c>
      <c r="K324" s="2" t="s">
        <v>300</v>
      </c>
      <c r="L324" s="3">
        <v>95</v>
      </c>
      <c r="M324" s="3">
        <v>99.75</v>
      </c>
      <c r="N324" s="3">
        <v>199</v>
      </c>
      <c r="O324" s="2" t="s">
        <v>230</v>
      </c>
      <c r="P324" s="2" t="s">
        <v>721</v>
      </c>
      <c r="Q324" s="2" t="s">
        <v>232</v>
      </c>
      <c r="R324" s="2" t="s">
        <v>233</v>
      </c>
      <c r="S324" s="2" t="s">
        <v>2110</v>
      </c>
      <c r="T324" s="2" t="s">
        <v>233</v>
      </c>
      <c r="U324" s="2" t="s">
        <v>233</v>
      </c>
      <c r="V324" s="2" t="s">
        <v>236</v>
      </c>
      <c r="W324" s="2" t="s">
        <v>712</v>
      </c>
      <c r="X324" s="2" t="s">
        <v>233</v>
      </c>
      <c r="Y324" s="2" t="s">
        <v>238</v>
      </c>
      <c r="Z324" s="4">
        <v>184</v>
      </c>
      <c r="AA324" s="4">
        <f>=ROUNDDOWN(184,0)</f>
      </c>
      <c r="AB324" s="5">
        <v>1</v>
      </c>
      <c r="AC324" s="2" t="s">
        <v>233</v>
      </c>
      <c r="AD324" s="4"/>
      <c r="AE324" s="4"/>
      <c r="AF324" s="6">
        <v>76</v>
      </c>
      <c r="AG324" s="6"/>
      <c r="AH324" s="7">
        <v>1</v>
      </c>
      <c r="AI324" s="4"/>
      <c r="AJ324" s="4">
        <f>=ROUNDDOWN({0},0)</f>
      </c>
      <c r="AK324" s="5"/>
      <c r="AL324" s="2" t="s">
        <v>233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 t="s">
        <v>233</v>
      </c>
      <c r="BD324" s="8" t="s">
        <v>233</v>
      </c>
      <c r="BE324" s="4" t="s">
        <v>233</v>
      </c>
      <c r="BF324" s="8" t="s">
        <v>233</v>
      </c>
      <c r="BG324" s="7" t="s">
        <v>233</v>
      </c>
      <c r="BH324" s="7" t="s">
        <v>233</v>
      </c>
      <c r="BI324" s="7"/>
      <c r="BJ324" s="4">
        <v>4</v>
      </c>
      <c r="BK324" s="8">
        <v>368.92</v>
      </c>
      <c r="BL324" s="2" t="s">
        <v>2111</v>
      </c>
      <c r="BM324" s="7"/>
      <c r="BN324" s="7"/>
      <c r="BO324" s="4"/>
      <c r="BP324" s="8"/>
      <c r="BQ324" s="4"/>
      <c r="BR324" s="8"/>
      <c r="BS324" s="7"/>
      <c r="BT324" s="7"/>
      <c r="BU324" s="2" t="s">
        <v>2106</v>
      </c>
      <c r="BV324" s="2" t="s">
        <v>233</v>
      </c>
      <c r="BW324" s="2" t="s">
        <v>233</v>
      </c>
      <c r="BX324" s="2" t="s">
        <v>241</v>
      </c>
      <c r="BY324" s="2" t="s">
        <v>242</v>
      </c>
      <c r="BZ324" s="2" t="s">
        <v>230</v>
      </c>
      <c r="CA324" s="2" t="s">
        <v>243</v>
      </c>
      <c r="CB324" s="2" t="s">
        <v>2112</v>
      </c>
      <c r="CC324" s="2" t="s">
        <v>245</v>
      </c>
      <c r="CD324" s="2" t="s">
        <v>233</v>
      </c>
      <c r="CE324" s="4"/>
      <c r="CF324" s="4">
        <v>184</v>
      </c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>
        <v>184</v>
      </c>
      <c r="GD324" s="4">
        <v>183</v>
      </c>
      <c r="GE324" s="4">
        <v>181</v>
      </c>
      <c r="GF324" s="4">
        <v>180</v>
      </c>
      <c r="GG324" s="4">
        <v>172</v>
      </c>
      <c r="GH324" s="4">
        <v>171</v>
      </c>
      <c r="GI324" s="4">
        <v>170</v>
      </c>
      <c r="GJ324" s="4">
        <v>169</v>
      </c>
      <c r="GK324" s="4">
        <v>168</v>
      </c>
      <c r="GL324" s="4">
        <v>167</v>
      </c>
      <c r="GM324" s="4">
        <v>166</v>
      </c>
      <c r="GN324" s="4">
        <v>165</v>
      </c>
      <c r="GO324" s="4">
        <v>164</v>
      </c>
      <c r="GP324" s="4">
        <v>163</v>
      </c>
      <c r="GQ324" s="4">
        <v>162</v>
      </c>
      <c r="GR324" s="4">
        <v>161</v>
      </c>
      <c r="GS324" s="4">
        <v>160</v>
      </c>
      <c r="GT324" s="4">
        <v>159</v>
      </c>
      <c r="GU324" s="4">
        <v>158</v>
      </c>
      <c r="GV324" s="4">
        <v>157</v>
      </c>
      <c r="GW324" s="4">
        <v>156</v>
      </c>
      <c r="GX324" s="4">
        <v>155</v>
      </c>
      <c r="GY324" s="4">
        <v>154</v>
      </c>
      <c r="GZ324" s="4">
        <v>153</v>
      </c>
      <c r="HA324" s="4">
        <v>152</v>
      </c>
      <c r="HB324" s="4">
        <v>151</v>
      </c>
      <c r="HC324" s="19">
        <v>61.3</v>
      </c>
      <c r="HD324" s="19">
        <v>61</v>
      </c>
      <c r="HE324" s="19">
        <v>60.3</v>
      </c>
      <c r="HF324" s="19">
        <v>60</v>
      </c>
      <c r="HG324" s="19">
        <v>172</v>
      </c>
      <c r="HH324" s="19">
        <v>171</v>
      </c>
      <c r="HI324" s="19">
        <v>170</v>
      </c>
      <c r="HJ324" s="19">
        <v>169</v>
      </c>
      <c r="HK324" s="19">
        <v>168</v>
      </c>
      <c r="HL324" s="19">
        <v>167</v>
      </c>
      <c r="HM324" s="19">
        <v>166</v>
      </c>
      <c r="HN324" s="19">
        <v>165</v>
      </c>
      <c r="HO324" s="19">
        <v>164</v>
      </c>
      <c r="HP324" s="19">
        <v>163</v>
      </c>
      <c r="HQ324" s="19">
        <v>162</v>
      </c>
      <c r="HR324" s="19">
        <v>161</v>
      </c>
      <c r="HS324" s="19">
        <v>160</v>
      </c>
      <c r="HT324" s="19">
        <v>159</v>
      </c>
      <c r="HU324" s="19">
        <v>158</v>
      </c>
      <c r="HV324" s="19">
        <v>157</v>
      </c>
      <c r="HW324" s="19">
        <v>156</v>
      </c>
      <c r="HX324" s="19">
        <v>155</v>
      </c>
      <c r="HY324" s="19">
        <v>154</v>
      </c>
      <c r="HZ324" s="19">
        <v>153</v>
      </c>
      <c r="IA324" s="19">
        <v>152</v>
      </c>
      <c r="IB324" s="19">
        <v>151</v>
      </c>
    </row>
    <row r="325">
      <c r="A325" s="2" t="s">
        <v>2113</v>
      </c>
      <c r="B325" s="2" t="s">
        <v>872</v>
      </c>
      <c r="C325" s="2" t="s">
        <v>280</v>
      </c>
      <c r="D325" s="2" t="s">
        <v>261</v>
      </c>
      <c r="E325" s="2" t="s">
        <v>603</v>
      </c>
      <c r="F325" s="2" t="s">
        <v>2114</v>
      </c>
      <c r="G325" s="2" t="s">
        <v>2115</v>
      </c>
      <c r="H325" s="2" t="s">
        <v>2116</v>
      </c>
      <c r="I325" s="2" t="s">
        <v>2117</v>
      </c>
      <c r="J325" s="2" t="s">
        <v>256</v>
      </c>
      <c r="K325" s="2" t="s">
        <v>870</v>
      </c>
      <c r="L325" s="3">
        <v>75.2</v>
      </c>
      <c r="M325" s="3">
        <v>78.96</v>
      </c>
      <c r="N325" s="3">
        <v>159.99</v>
      </c>
      <c r="O325" s="2" t="s">
        <v>230</v>
      </c>
      <c r="P325" s="2" t="s">
        <v>231</v>
      </c>
      <c r="Q325" s="2" t="s">
        <v>232</v>
      </c>
      <c r="R325" s="2" t="s">
        <v>233</v>
      </c>
      <c r="S325" s="2" t="s">
        <v>2118</v>
      </c>
      <c r="T325" s="2" t="s">
        <v>233</v>
      </c>
      <c r="U325" s="2" t="s">
        <v>635</v>
      </c>
      <c r="V325" s="2" t="s">
        <v>945</v>
      </c>
      <c r="W325" s="2" t="s">
        <v>620</v>
      </c>
      <c r="X325" s="2" t="s">
        <v>233</v>
      </c>
      <c r="Y325" s="2" t="s">
        <v>238</v>
      </c>
      <c r="Z325" s="4">
        <v>272</v>
      </c>
      <c r="AA325" s="4">
        <f>=ROUNDDOWN(15.1111111111111,0)</f>
      </c>
      <c r="AB325" s="5">
        <v>18</v>
      </c>
      <c r="AC325" s="2" t="s">
        <v>140</v>
      </c>
      <c r="AD325" s="4">
        <v>50</v>
      </c>
      <c r="AE325" s="4">
        <v>250</v>
      </c>
      <c r="AF325" s="6">
        <v>65</v>
      </c>
      <c r="AG325" s="6">
        <v>48</v>
      </c>
      <c r="AH325" s="7">
        <v>1</v>
      </c>
      <c r="AI325" s="4"/>
      <c r="AJ325" s="4">
        <f>=ROUNDDOWN({0},0)</f>
      </c>
      <c r="AK325" s="5"/>
      <c r="AL325" s="2" t="s">
        <v>233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/>
      <c r="BD325" s="8"/>
      <c r="BE325" s="4"/>
      <c r="BF325" s="8"/>
      <c r="BG325" s="7"/>
      <c r="BH325" s="7"/>
      <c r="BI325" s="7"/>
      <c r="BJ325" s="4">
        <v>136</v>
      </c>
      <c r="BK325" s="8">
        <v>10411</v>
      </c>
      <c r="BL325" s="2" t="s">
        <v>2119</v>
      </c>
      <c r="BM325" s="7"/>
      <c r="BN325" s="7"/>
      <c r="BO325" s="4"/>
      <c r="BP325" s="8"/>
      <c r="BQ325" s="4"/>
      <c r="BR325" s="8"/>
      <c r="BS325" s="7"/>
      <c r="BT325" s="7"/>
      <c r="BU325" s="2" t="s">
        <v>2120</v>
      </c>
      <c r="BV325" s="2" t="s">
        <v>233</v>
      </c>
      <c r="BW325" s="2" t="s">
        <v>233</v>
      </c>
      <c r="BX325" s="2" t="s">
        <v>241</v>
      </c>
      <c r="BY325" s="2" t="s">
        <v>242</v>
      </c>
      <c r="BZ325" s="2" t="s">
        <v>230</v>
      </c>
      <c r="CA325" s="2" t="s">
        <v>243</v>
      </c>
      <c r="CB325" s="2" t="s">
        <v>2121</v>
      </c>
      <c r="CC325" s="2" t="s">
        <v>245</v>
      </c>
      <c r="CD325" s="2" t="s">
        <v>233</v>
      </c>
      <c r="CE325" s="4">
        <v>213</v>
      </c>
      <c r="CF325" s="4"/>
      <c r="CG325" s="4"/>
      <c r="CH325" s="4">
        <v>59</v>
      </c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>
        <v>50</v>
      </c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>
        <v>200</v>
      </c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>
        <v>296</v>
      </c>
      <c r="GD325" s="4">
        <v>221</v>
      </c>
      <c r="GE325" s="4">
        <v>199</v>
      </c>
      <c r="GF325" s="4">
        <v>228</v>
      </c>
      <c r="GG325" s="4">
        <v>401</v>
      </c>
      <c r="GH325" s="4">
        <v>380</v>
      </c>
      <c r="GI325" s="4">
        <v>359</v>
      </c>
      <c r="GJ325" s="4">
        <v>341</v>
      </c>
      <c r="GK325" s="4">
        <v>324</v>
      </c>
      <c r="GL325" s="4">
        <v>306</v>
      </c>
      <c r="GM325" s="4">
        <v>287</v>
      </c>
      <c r="GN325" s="4">
        <v>269</v>
      </c>
      <c r="GO325" s="4">
        <v>251</v>
      </c>
      <c r="GP325" s="4">
        <v>233</v>
      </c>
      <c r="GQ325" s="4">
        <v>215</v>
      </c>
      <c r="GR325" s="4">
        <v>197</v>
      </c>
      <c r="GS325" s="4">
        <v>179</v>
      </c>
      <c r="GT325" s="4">
        <v>161</v>
      </c>
      <c r="GU325" s="4">
        <v>143</v>
      </c>
      <c r="GV325" s="4">
        <v>325</v>
      </c>
      <c r="GW325" s="4">
        <v>307</v>
      </c>
      <c r="GX325" s="4">
        <v>289</v>
      </c>
      <c r="GY325" s="4">
        <v>351</v>
      </c>
      <c r="GZ325" s="4">
        <v>333</v>
      </c>
      <c r="HA325" s="4">
        <v>314</v>
      </c>
      <c r="HB325" s="4">
        <v>446</v>
      </c>
      <c r="HC325" s="19">
        <v>8.9</v>
      </c>
      <c r="HD325" s="19">
        <v>11</v>
      </c>
      <c r="HE325" s="19">
        <v>10</v>
      </c>
      <c r="HF325" s="19">
        <v>15.2</v>
      </c>
      <c r="HG325" s="19">
        <v>20.6</v>
      </c>
      <c r="HH325" s="19">
        <v>23.6</v>
      </c>
      <c r="HI325" s="19">
        <v>22.4</v>
      </c>
      <c r="HJ325" s="19">
        <v>21.4</v>
      </c>
      <c r="HK325" s="19">
        <v>20.4</v>
      </c>
      <c r="HL325" s="19">
        <v>19.4</v>
      </c>
      <c r="HM325" s="19">
        <v>18.4</v>
      </c>
      <c r="HN325" s="19">
        <v>17.4</v>
      </c>
      <c r="HO325" s="19">
        <v>16.4</v>
      </c>
      <c r="HP325" s="19">
        <v>15.4</v>
      </c>
      <c r="HQ325" s="19">
        <v>14.4</v>
      </c>
      <c r="HR325" s="19">
        <v>13.4</v>
      </c>
      <c r="HS325" s="19">
        <v>12.4</v>
      </c>
      <c r="HT325" s="19">
        <v>11.4</v>
      </c>
      <c r="HU325" s="19">
        <v>10.4</v>
      </c>
      <c r="HV325" s="19">
        <v>16.1</v>
      </c>
      <c r="HW325" s="19">
        <v>15.1</v>
      </c>
      <c r="HX325" s="19">
        <v>14.1</v>
      </c>
      <c r="HY325" s="19">
        <v>26.4</v>
      </c>
      <c r="HZ325" s="19">
        <v>25.4</v>
      </c>
      <c r="IA325" s="19">
        <v>24.4</v>
      </c>
      <c r="IB325" s="19">
        <v>28.4</v>
      </c>
    </row>
    <row r="326">
      <c r="A326" s="2" t="s">
        <v>2122</v>
      </c>
      <c r="B326" s="2" t="s">
        <v>938</v>
      </c>
      <c r="C326" s="2" t="s">
        <v>789</v>
      </c>
      <c r="D326" s="2" t="s">
        <v>972</v>
      </c>
      <c r="E326" s="2" t="s">
        <v>1092</v>
      </c>
      <c r="F326" s="2" t="s">
        <v>2123</v>
      </c>
      <c r="G326" s="2" t="s">
        <v>2124</v>
      </c>
      <c r="H326" s="2" t="s">
        <v>2125</v>
      </c>
      <c r="I326" s="2" t="s">
        <v>2126</v>
      </c>
      <c r="J326" s="2" t="s">
        <v>2127</v>
      </c>
      <c r="K326" s="2" t="s">
        <v>452</v>
      </c>
      <c r="L326" s="3">
        <v>17.02</v>
      </c>
      <c r="M326" s="3">
        <v>17.87</v>
      </c>
      <c r="N326" s="3">
        <v>36.99</v>
      </c>
      <c r="O326" s="2" t="s">
        <v>230</v>
      </c>
      <c r="P326" s="2" t="s">
        <v>597</v>
      </c>
      <c r="Q326" s="2" t="s">
        <v>232</v>
      </c>
      <c r="R326" s="2" t="s">
        <v>233</v>
      </c>
      <c r="S326" s="2" t="s">
        <v>2128</v>
      </c>
      <c r="T326" s="2" t="s">
        <v>2129</v>
      </c>
      <c r="U326" s="2" t="s">
        <v>711</v>
      </c>
      <c r="V326" s="2" t="s">
        <v>236</v>
      </c>
      <c r="W326" s="2" t="s">
        <v>620</v>
      </c>
      <c r="X326" s="2" t="s">
        <v>2130</v>
      </c>
      <c r="Y326" s="2" t="s">
        <v>2131</v>
      </c>
      <c r="Z326" s="4">
        <v>103</v>
      </c>
      <c r="AA326" s="4">
        <f>=ROUNDDOWN(14.7142857142857,0)</f>
      </c>
      <c r="AB326" s="5">
        <v>7</v>
      </c>
      <c r="AC326" s="2" t="s">
        <v>140</v>
      </c>
      <c r="AD326" s="4">
        <v>136</v>
      </c>
      <c r="AE326" s="4">
        <v>348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233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/>
      <c r="BD326" s="8"/>
      <c r="BE326" s="4"/>
      <c r="BF326" s="8"/>
      <c r="BG326" s="7"/>
      <c r="BH326" s="7"/>
      <c r="BI326" s="7"/>
      <c r="BJ326" s="4">
        <v>33</v>
      </c>
      <c r="BK326" s="8">
        <v>591.69</v>
      </c>
      <c r="BL326" s="2" t="s">
        <v>2132</v>
      </c>
      <c r="BM326" s="7"/>
      <c r="BN326" s="7"/>
      <c r="BO326" s="4"/>
      <c r="BP326" s="8"/>
      <c r="BQ326" s="4"/>
      <c r="BR326" s="8"/>
      <c r="BS326" s="7"/>
      <c r="BT326" s="7"/>
      <c r="BU326" s="2" t="s">
        <v>2133</v>
      </c>
      <c r="BV326" s="2" t="s">
        <v>233</v>
      </c>
      <c r="BW326" s="2" t="s">
        <v>233</v>
      </c>
      <c r="BX326" s="2" t="s">
        <v>241</v>
      </c>
      <c r="BY326" s="2" t="s">
        <v>242</v>
      </c>
      <c r="BZ326" s="2" t="s">
        <v>230</v>
      </c>
      <c r="CA326" s="2" t="s">
        <v>2134</v>
      </c>
      <c r="CB326" s="2" t="s">
        <v>2135</v>
      </c>
      <c r="CC326" s="2" t="s">
        <v>245</v>
      </c>
      <c r="CD326" s="2" t="s">
        <v>233</v>
      </c>
      <c r="CE326" s="4">
        <v>103</v>
      </c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>
        <v>136</v>
      </c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>
        <v>112</v>
      </c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>
        <v>100</v>
      </c>
      <c r="GB326" s="4"/>
      <c r="GC326" s="4">
        <v>106</v>
      </c>
      <c r="GD326" s="4">
        <v>89</v>
      </c>
      <c r="GE326" s="4">
        <v>212</v>
      </c>
      <c r="GF326" s="4">
        <v>204</v>
      </c>
      <c r="GG326" s="4">
        <v>179</v>
      </c>
      <c r="GH326" s="4">
        <v>161</v>
      </c>
      <c r="GI326" s="4">
        <v>148</v>
      </c>
      <c r="GJ326" s="4">
        <v>138</v>
      </c>
      <c r="GK326" s="4">
        <v>232</v>
      </c>
      <c r="GL326" s="4">
        <v>212</v>
      </c>
      <c r="GM326" s="4">
        <v>199</v>
      </c>
      <c r="GN326" s="4">
        <v>181</v>
      </c>
      <c r="GO326" s="4">
        <v>172</v>
      </c>
      <c r="GP326" s="4">
        <v>163</v>
      </c>
      <c r="GQ326" s="4">
        <v>152</v>
      </c>
      <c r="GR326" s="4">
        <v>142</v>
      </c>
      <c r="GS326" s="4">
        <v>129</v>
      </c>
      <c r="GT326" s="4">
        <v>121</v>
      </c>
      <c r="GU326" s="4">
        <v>110</v>
      </c>
      <c r="GV326" s="4">
        <v>103</v>
      </c>
      <c r="GW326" s="4">
        <v>193</v>
      </c>
      <c r="GX326" s="4">
        <v>186</v>
      </c>
      <c r="GY326" s="4">
        <v>179</v>
      </c>
      <c r="GZ326" s="4">
        <v>172</v>
      </c>
      <c r="HA326" s="4">
        <v>165</v>
      </c>
      <c r="HB326" s="4">
        <v>158</v>
      </c>
      <c r="HC326" s="19">
        <v>6.6</v>
      </c>
      <c r="HD326" s="19">
        <v>5.6</v>
      </c>
      <c r="HE326" s="19">
        <v>13.3</v>
      </c>
      <c r="HF326" s="19">
        <v>12.8</v>
      </c>
      <c r="HG326" s="19">
        <v>11.9</v>
      </c>
      <c r="HH326" s="19">
        <v>10.7</v>
      </c>
      <c r="HI326" s="19">
        <v>9.9</v>
      </c>
      <c r="HJ326" s="19">
        <v>8.1</v>
      </c>
      <c r="HK326" s="19">
        <v>15.5</v>
      </c>
      <c r="HL326" s="19">
        <v>17.7</v>
      </c>
      <c r="HM326" s="19">
        <v>16.6</v>
      </c>
      <c r="HN326" s="19">
        <v>18.1</v>
      </c>
      <c r="HO326" s="19">
        <v>15.6</v>
      </c>
      <c r="HP326" s="19">
        <v>16.3</v>
      </c>
      <c r="HQ326" s="19">
        <v>15.2</v>
      </c>
      <c r="HR326" s="19">
        <v>14.2</v>
      </c>
      <c r="HS326" s="19">
        <v>14.3</v>
      </c>
      <c r="HT326" s="19">
        <v>13.4</v>
      </c>
      <c r="HU326" s="19">
        <v>13.8</v>
      </c>
      <c r="HV326" s="19">
        <v>12.9</v>
      </c>
      <c r="HW326" s="19">
        <v>27.6</v>
      </c>
      <c r="HX326" s="19">
        <v>26.6</v>
      </c>
      <c r="HY326" s="19">
        <v>25.6</v>
      </c>
      <c r="HZ326" s="19">
        <v>24.6</v>
      </c>
      <c r="IA326" s="19">
        <v>23.6</v>
      </c>
      <c r="IB326" s="19">
        <v>22.6</v>
      </c>
    </row>
    <row r="327">
      <c r="A327" s="2" t="s">
        <v>2136</v>
      </c>
      <c r="B327" s="2" t="s">
        <v>761</v>
      </c>
      <c r="C327" s="2" t="s">
        <v>280</v>
      </c>
      <c r="D327" s="2" t="s">
        <v>1531</v>
      </c>
      <c r="E327" s="2" t="s">
        <v>1532</v>
      </c>
      <c r="F327" s="2" t="s">
        <v>2137</v>
      </c>
      <c r="G327" s="2" t="s">
        <v>2138</v>
      </c>
      <c r="H327" s="2" t="s">
        <v>2139</v>
      </c>
      <c r="I327" s="2" t="s">
        <v>2140</v>
      </c>
      <c r="J327" s="2" t="s">
        <v>741</v>
      </c>
      <c r="K327" s="2" t="s">
        <v>229</v>
      </c>
      <c r="L327" s="3">
        <v>180.5</v>
      </c>
      <c r="M327" s="3">
        <v>189.52</v>
      </c>
      <c r="N327" s="3">
        <v>379</v>
      </c>
      <c r="O327" s="2" t="s">
        <v>230</v>
      </c>
      <c r="P327" s="2" t="s">
        <v>721</v>
      </c>
      <c r="Q327" s="2" t="s">
        <v>232</v>
      </c>
      <c r="R327" s="2" t="s">
        <v>233</v>
      </c>
      <c r="S327" s="2" t="s">
        <v>2141</v>
      </c>
      <c r="T327" s="2" t="s">
        <v>233</v>
      </c>
      <c r="U327" s="2" t="s">
        <v>233</v>
      </c>
      <c r="V327" s="2" t="s">
        <v>236</v>
      </c>
      <c r="W327" s="2" t="s">
        <v>712</v>
      </c>
      <c r="X327" s="2" t="s">
        <v>233</v>
      </c>
      <c r="Y327" s="2" t="s">
        <v>238</v>
      </c>
      <c r="Z327" s="4">
        <v>195</v>
      </c>
      <c r="AA327" s="4">
        <f>=ROUNDDOWN(65,0)</f>
      </c>
      <c r="AB327" s="5">
        <v>3</v>
      </c>
      <c r="AC327" s="2" t="s">
        <v>233</v>
      </c>
      <c r="AD327" s="4"/>
      <c r="AE327" s="4"/>
      <c r="AF327" s="6">
        <v>66</v>
      </c>
      <c r="AG327" s="6">
        <v>49</v>
      </c>
      <c r="AH327" s="7">
        <v>1</v>
      </c>
      <c r="AI327" s="4"/>
      <c r="AJ327" s="4">
        <f>=ROUNDDOWN({0},0)</f>
      </c>
      <c r="AK327" s="5"/>
      <c r="AL327" s="2" t="s">
        <v>233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 t="s">
        <v>233</v>
      </c>
      <c r="BD327" s="8" t="s">
        <v>233</v>
      </c>
      <c r="BE327" s="4" t="s">
        <v>233</v>
      </c>
      <c r="BF327" s="8" t="s">
        <v>233</v>
      </c>
      <c r="BG327" s="7" t="s">
        <v>233</v>
      </c>
      <c r="BH327" s="7" t="s">
        <v>233</v>
      </c>
      <c r="BI327" s="7"/>
      <c r="BJ327" s="4">
        <v>5</v>
      </c>
      <c r="BK327" s="8">
        <v>934.62</v>
      </c>
      <c r="BL327" s="2" t="s">
        <v>2142</v>
      </c>
      <c r="BM327" s="7"/>
      <c r="BN327" s="7"/>
      <c r="BO327" s="4"/>
      <c r="BP327" s="8"/>
      <c r="BQ327" s="4"/>
      <c r="BR327" s="8"/>
      <c r="BS327" s="7"/>
      <c r="BT327" s="7"/>
      <c r="BU327" s="2" t="s">
        <v>2143</v>
      </c>
      <c r="BV327" s="2" t="s">
        <v>233</v>
      </c>
      <c r="BW327" s="2" t="s">
        <v>233</v>
      </c>
      <c r="BX327" s="2" t="s">
        <v>293</v>
      </c>
      <c r="BY327" s="2" t="s">
        <v>242</v>
      </c>
      <c r="BZ327" s="2" t="s">
        <v>230</v>
      </c>
      <c r="CA327" s="2" t="s">
        <v>243</v>
      </c>
      <c r="CB327" s="2" t="s">
        <v>1057</v>
      </c>
      <c r="CC327" s="2" t="s">
        <v>245</v>
      </c>
      <c r="CD327" s="2" t="s">
        <v>233</v>
      </c>
      <c r="CE327" s="4"/>
      <c r="CF327" s="4">
        <v>195</v>
      </c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>
        <v>196</v>
      </c>
      <c r="GD327" s="4">
        <v>191</v>
      </c>
      <c r="GE327" s="4">
        <v>187</v>
      </c>
      <c r="GF327" s="4">
        <v>183</v>
      </c>
      <c r="GG327" s="4">
        <v>177</v>
      </c>
      <c r="GH327" s="4">
        <v>141</v>
      </c>
      <c r="GI327" s="4">
        <v>138</v>
      </c>
      <c r="GJ327" s="4">
        <v>136</v>
      </c>
      <c r="GK327" s="4">
        <v>134</v>
      </c>
      <c r="GL327" s="4">
        <v>131</v>
      </c>
      <c r="GM327" s="4">
        <v>129</v>
      </c>
      <c r="GN327" s="4">
        <v>126</v>
      </c>
      <c r="GO327" s="4">
        <v>124</v>
      </c>
      <c r="GP327" s="4">
        <v>122</v>
      </c>
      <c r="GQ327" s="4">
        <v>119</v>
      </c>
      <c r="GR327" s="4">
        <v>116</v>
      </c>
      <c r="GS327" s="4">
        <v>113</v>
      </c>
      <c r="GT327" s="4">
        <v>109</v>
      </c>
      <c r="GU327" s="4">
        <v>107</v>
      </c>
      <c r="GV327" s="4">
        <v>104</v>
      </c>
      <c r="GW327" s="4">
        <v>101</v>
      </c>
      <c r="GX327" s="4">
        <v>98</v>
      </c>
      <c r="GY327" s="4">
        <v>95</v>
      </c>
      <c r="GZ327" s="4">
        <v>92</v>
      </c>
      <c r="HA327" s="4">
        <v>89</v>
      </c>
      <c r="HB327" s="4">
        <v>86</v>
      </c>
      <c r="HC327" s="19">
        <v>19.6</v>
      </c>
      <c r="HD327" s="19">
        <v>8</v>
      </c>
      <c r="HE327" s="19">
        <v>7.8</v>
      </c>
      <c r="HF327" s="19">
        <v>7.7</v>
      </c>
      <c r="HG327" s="19">
        <v>8.1</v>
      </c>
      <c r="HH327" s="19">
        <v>35.3</v>
      </c>
      <c r="HI327" s="19">
        <v>34.5</v>
      </c>
      <c r="HJ327" s="19">
        <v>34</v>
      </c>
      <c r="HK327" s="19">
        <v>33.5</v>
      </c>
      <c r="HL327" s="19">
        <v>32.8</v>
      </c>
      <c r="HM327" s="19">
        <v>32.3</v>
      </c>
      <c r="HN327" s="19">
        <v>31.5</v>
      </c>
      <c r="HO327" s="19">
        <v>20.7</v>
      </c>
      <c r="HP327" s="19">
        <v>20.4</v>
      </c>
      <c r="HQ327" s="19">
        <v>19.9</v>
      </c>
      <c r="HR327" s="19">
        <v>19.4</v>
      </c>
      <c r="HS327" s="19">
        <v>18.9</v>
      </c>
      <c r="HT327" s="19">
        <v>18.2</v>
      </c>
      <c r="HU327" s="19">
        <v>17.9</v>
      </c>
      <c r="HV327" s="19">
        <v>17.4</v>
      </c>
      <c r="HW327" s="19">
        <v>16.9</v>
      </c>
      <c r="HX327" s="19">
        <v>16.4</v>
      </c>
      <c r="HY327" s="19">
        <v>15.9</v>
      </c>
      <c r="HZ327" s="19">
        <v>15.4</v>
      </c>
      <c r="IA327" s="19">
        <v>14.9</v>
      </c>
      <c r="IB327" s="19">
        <v>14.4</v>
      </c>
    </row>
    <row r="328">
      <c r="A328" s="2" t="s">
        <v>2144</v>
      </c>
      <c r="B328" s="2" t="s">
        <v>761</v>
      </c>
      <c r="C328" s="2" t="s">
        <v>280</v>
      </c>
      <c r="D328" s="2" t="s">
        <v>1531</v>
      </c>
      <c r="E328" s="2" t="s">
        <v>1532</v>
      </c>
      <c r="F328" s="2" t="s">
        <v>2137</v>
      </c>
      <c r="G328" s="2" t="s">
        <v>2138</v>
      </c>
      <c r="H328" s="2" t="s">
        <v>2139</v>
      </c>
      <c r="I328" s="2" t="s">
        <v>2140</v>
      </c>
      <c r="J328" s="2" t="s">
        <v>741</v>
      </c>
      <c r="K328" s="2" t="s">
        <v>300</v>
      </c>
      <c r="L328" s="3">
        <v>180.5</v>
      </c>
      <c r="M328" s="3">
        <v>189.52</v>
      </c>
      <c r="N328" s="3">
        <v>379</v>
      </c>
      <c r="O328" s="2" t="s">
        <v>230</v>
      </c>
      <c r="P328" s="2" t="s">
        <v>231</v>
      </c>
      <c r="Q328" s="2" t="s">
        <v>232</v>
      </c>
      <c r="R328" s="2" t="s">
        <v>233</v>
      </c>
      <c r="S328" s="2" t="s">
        <v>2145</v>
      </c>
      <c r="T328" s="2" t="s">
        <v>233</v>
      </c>
      <c r="U328" s="2" t="s">
        <v>233</v>
      </c>
      <c r="V328" s="2" t="s">
        <v>236</v>
      </c>
      <c r="W328" s="2" t="s">
        <v>712</v>
      </c>
      <c r="X328" s="2" t="s">
        <v>233</v>
      </c>
      <c r="Y328" s="2" t="s">
        <v>238</v>
      </c>
      <c r="Z328" s="4">
        <v>132</v>
      </c>
      <c r="AA328" s="4">
        <f>=ROUNDDOWN(26.4,0)</f>
      </c>
      <c r="AB328" s="5">
        <v>5</v>
      </c>
      <c r="AC328" s="2" t="s">
        <v>2146</v>
      </c>
      <c r="AD328" s="4">
        <v>100</v>
      </c>
      <c r="AE328" s="4">
        <v>100</v>
      </c>
      <c r="AF328" s="6">
        <v>66</v>
      </c>
      <c r="AG328" s="6">
        <v>49</v>
      </c>
      <c r="AH328" s="7">
        <v>1</v>
      </c>
      <c r="AI328" s="4"/>
      <c r="AJ328" s="4">
        <f>=ROUNDDOWN({0},0)</f>
      </c>
      <c r="AK328" s="5"/>
      <c r="AL328" s="2" t="s">
        <v>233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 t="s">
        <v>233</v>
      </c>
      <c r="BD328" s="8" t="s">
        <v>233</v>
      </c>
      <c r="BE328" s="4" t="s">
        <v>233</v>
      </c>
      <c r="BF328" s="8" t="s">
        <v>233</v>
      </c>
      <c r="BG328" s="7" t="s">
        <v>233</v>
      </c>
      <c r="BH328" s="7" t="s">
        <v>233</v>
      </c>
      <c r="BI328" s="7"/>
      <c r="BJ328" s="4">
        <v>20</v>
      </c>
      <c r="BK328" s="8">
        <v>2955.93</v>
      </c>
      <c r="BL328" s="2" t="s">
        <v>2147</v>
      </c>
      <c r="BM328" s="7"/>
      <c r="BN328" s="7"/>
      <c r="BO328" s="4"/>
      <c r="BP328" s="8"/>
      <c r="BQ328" s="4"/>
      <c r="BR328" s="8"/>
      <c r="BS328" s="7"/>
      <c r="BT328" s="7"/>
      <c r="BU328" s="2" t="s">
        <v>2143</v>
      </c>
      <c r="BV328" s="2" t="s">
        <v>233</v>
      </c>
      <c r="BW328" s="2" t="s">
        <v>233</v>
      </c>
      <c r="BX328" s="2" t="s">
        <v>293</v>
      </c>
      <c r="BY328" s="2" t="s">
        <v>242</v>
      </c>
      <c r="BZ328" s="2" t="s">
        <v>230</v>
      </c>
      <c r="CA328" s="2" t="s">
        <v>243</v>
      </c>
      <c r="CB328" s="2" t="s">
        <v>1057</v>
      </c>
      <c r="CC328" s="2" t="s">
        <v>245</v>
      </c>
      <c r="CD328" s="2" t="s">
        <v>233</v>
      </c>
      <c r="CE328" s="4"/>
      <c r="CF328" s="4">
        <v>127</v>
      </c>
      <c r="CG328" s="4"/>
      <c r="CH328" s="4">
        <v>5</v>
      </c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>
        <v>100</v>
      </c>
      <c r="FX328" s="4"/>
      <c r="FY328" s="4"/>
      <c r="FZ328" s="4"/>
      <c r="GA328" s="4"/>
      <c r="GB328" s="4"/>
      <c r="GC328" s="4">
        <v>167</v>
      </c>
      <c r="GD328" s="4">
        <v>143</v>
      </c>
      <c r="GE328" s="4">
        <v>136</v>
      </c>
      <c r="GF328" s="4">
        <v>130</v>
      </c>
      <c r="GG328" s="4">
        <v>120</v>
      </c>
      <c r="GH328" s="4">
        <v>114</v>
      </c>
      <c r="GI328" s="4">
        <v>109</v>
      </c>
      <c r="GJ328" s="4">
        <v>106</v>
      </c>
      <c r="GK328" s="4">
        <v>103</v>
      </c>
      <c r="GL328" s="4">
        <v>98</v>
      </c>
      <c r="GM328" s="4">
        <v>94</v>
      </c>
      <c r="GN328" s="4">
        <v>89</v>
      </c>
      <c r="GO328" s="4">
        <v>85</v>
      </c>
      <c r="GP328" s="4">
        <v>81</v>
      </c>
      <c r="GQ328" s="4">
        <v>76</v>
      </c>
      <c r="GR328" s="4">
        <v>71</v>
      </c>
      <c r="GS328" s="4">
        <v>66</v>
      </c>
      <c r="GT328" s="4">
        <v>60</v>
      </c>
      <c r="GU328" s="4">
        <v>156</v>
      </c>
      <c r="GV328" s="4">
        <v>151</v>
      </c>
      <c r="GW328" s="4">
        <v>146</v>
      </c>
      <c r="GX328" s="4">
        <v>141</v>
      </c>
      <c r="GY328" s="4">
        <v>136</v>
      </c>
      <c r="GZ328" s="4">
        <v>131</v>
      </c>
      <c r="HA328" s="4">
        <v>126</v>
      </c>
      <c r="HB328" s="4">
        <v>121</v>
      </c>
      <c r="HC328" s="19">
        <v>10.6</v>
      </c>
      <c r="HD328" s="19">
        <v>13.6</v>
      </c>
      <c r="HE328" s="19">
        <v>12.6</v>
      </c>
      <c r="HF328" s="19">
        <v>10.7</v>
      </c>
      <c r="HG328" s="19">
        <v>15</v>
      </c>
      <c r="HH328" s="19">
        <v>14.3</v>
      </c>
      <c r="HI328" s="19">
        <v>13.7</v>
      </c>
      <c r="HJ328" s="19">
        <v>13.3</v>
      </c>
      <c r="HK328" s="19">
        <v>12.9</v>
      </c>
      <c r="HL328" s="19">
        <v>12.3</v>
      </c>
      <c r="HM328" s="19">
        <v>11.8</v>
      </c>
      <c r="HN328" s="19">
        <v>11.2</v>
      </c>
      <c r="HO328" s="19">
        <v>8.5</v>
      </c>
      <c r="HP328" s="19">
        <v>8.1</v>
      </c>
      <c r="HQ328" s="19">
        <v>7.6</v>
      </c>
      <c r="HR328" s="19">
        <v>7.1</v>
      </c>
      <c r="HS328" s="19">
        <v>6.6</v>
      </c>
      <c r="HT328" s="19">
        <v>6</v>
      </c>
      <c r="HU328" s="19">
        <v>15.6</v>
      </c>
      <c r="HV328" s="19">
        <v>15.1</v>
      </c>
      <c r="HW328" s="19">
        <v>14.6</v>
      </c>
      <c r="HX328" s="19">
        <v>14.1</v>
      </c>
      <c r="HY328" s="19">
        <v>13.6</v>
      </c>
      <c r="HZ328" s="19">
        <v>13.1</v>
      </c>
      <c r="IA328" s="19">
        <v>12.6</v>
      </c>
      <c r="IB328" s="19">
        <v>12.1</v>
      </c>
    </row>
    <row r="329">
      <c r="A329" s="2" t="s">
        <v>2148</v>
      </c>
      <c r="B329" s="2" t="s">
        <v>222</v>
      </c>
      <c r="C329" s="2" t="s">
        <v>1625</v>
      </c>
      <c r="D329" s="2" t="s">
        <v>261</v>
      </c>
      <c r="E329" s="2" t="s">
        <v>262</v>
      </c>
      <c r="F329" s="2" t="s">
        <v>2149</v>
      </c>
      <c r="G329" s="2" t="s">
        <v>2149</v>
      </c>
      <c r="H329" s="2" t="s">
        <v>2149</v>
      </c>
      <c r="I329" s="2" t="s">
        <v>2150</v>
      </c>
      <c r="J329" s="2" t="s">
        <v>1052</v>
      </c>
      <c r="K329" s="2" t="s">
        <v>1511</v>
      </c>
      <c r="L329" s="3">
        <v>21.42</v>
      </c>
      <c r="M329" s="3">
        <v>22.49</v>
      </c>
      <c r="N329" s="3">
        <v>49.99</v>
      </c>
      <c r="O329" s="2" t="s">
        <v>230</v>
      </c>
      <c r="P329" s="2" t="s">
        <v>231</v>
      </c>
      <c r="Q329" s="2" t="s">
        <v>232</v>
      </c>
      <c r="R329" s="2" t="s">
        <v>233</v>
      </c>
      <c r="S329" s="2" t="s">
        <v>2151</v>
      </c>
      <c r="T329" s="2" t="s">
        <v>2152</v>
      </c>
      <c r="U329" s="2" t="s">
        <v>329</v>
      </c>
      <c r="V329" s="2" t="s">
        <v>236</v>
      </c>
      <c r="W329" s="2" t="s">
        <v>237</v>
      </c>
      <c r="X329" s="2" t="s">
        <v>233</v>
      </c>
      <c r="Y329" s="2" t="s">
        <v>2153</v>
      </c>
      <c r="Z329" s="4">
        <v>271</v>
      </c>
      <c r="AA329" s="4">
        <f>=ROUNDDOWN(30.1111111111111,0)</f>
      </c>
      <c r="AB329" s="5">
        <v>9</v>
      </c>
      <c r="AC329" s="2" t="s">
        <v>145</v>
      </c>
      <c r="AD329" s="4">
        <v>150</v>
      </c>
      <c r="AE329" s="4">
        <v>150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233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233</v>
      </c>
      <c r="AW329" s="8" t="s">
        <v>233</v>
      </c>
      <c r="AX329" s="4" t="s">
        <v>233</v>
      </c>
      <c r="AY329" s="8" t="s">
        <v>233</v>
      </c>
      <c r="AZ329" s="7" t="s">
        <v>233</v>
      </c>
      <c r="BA329" s="7" t="s">
        <v>233</v>
      </c>
      <c r="BB329" s="7"/>
      <c r="BC329" s="4" t="s">
        <v>233</v>
      </c>
      <c r="BD329" s="8" t="s">
        <v>233</v>
      </c>
      <c r="BE329" s="4" t="s">
        <v>233</v>
      </c>
      <c r="BF329" s="8" t="s">
        <v>233</v>
      </c>
      <c r="BG329" s="7" t="s">
        <v>233</v>
      </c>
      <c r="BH329" s="7" t="s">
        <v>233</v>
      </c>
      <c r="BI329" s="7"/>
      <c r="BJ329" s="4"/>
      <c r="BK329" s="8"/>
      <c r="BL329" s="2" t="s">
        <v>233</v>
      </c>
      <c r="BM329" s="7"/>
      <c r="BN329" s="7"/>
      <c r="BO329" s="4"/>
      <c r="BP329" s="8"/>
      <c r="BQ329" s="4"/>
      <c r="BR329" s="8"/>
      <c r="BS329" s="7"/>
      <c r="BT329" s="7"/>
      <c r="BU329" s="2" t="s">
        <v>2154</v>
      </c>
      <c r="BV329" s="2" t="s">
        <v>233</v>
      </c>
      <c r="BW329" s="2" t="s">
        <v>233</v>
      </c>
      <c r="BX329" s="2" t="s">
        <v>241</v>
      </c>
      <c r="BY329" s="2" t="s">
        <v>242</v>
      </c>
      <c r="BZ329" s="2" t="s">
        <v>230</v>
      </c>
      <c r="CA329" s="2" t="s">
        <v>2155</v>
      </c>
      <c r="CB329" s="2" t="s">
        <v>2156</v>
      </c>
      <c r="CC329" s="2" t="s">
        <v>245</v>
      </c>
      <c r="CD329" s="2" t="s">
        <v>233</v>
      </c>
      <c r="CE329" s="4">
        <v>271</v>
      </c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>
        <v>150</v>
      </c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>
        <v>271</v>
      </c>
      <c r="GD329" s="4">
        <v>252</v>
      </c>
      <c r="GE329" s="4">
        <v>229</v>
      </c>
      <c r="GF329" s="4">
        <v>358</v>
      </c>
      <c r="GG329" s="4">
        <v>315</v>
      </c>
      <c r="GH329" s="4">
        <v>292</v>
      </c>
      <c r="GI329" s="4">
        <v>270</v>
      </c>
      <c r="GJ329" s="4">
        <v>255</v>
      </c>
      <c r="GK329" s="4">
        <v>247</v>
      </c>
      <c r="GL329" s="4">
        <v>240</v>
      </c>
      <c r="GM329" s="4">
        <v>234</v>
      </c>
      <c r="GN329" s="4">
        <v>229</v>
      </c>
      <c r="GO329" s="4">
        <v>224</v>
      </c>
      <c r="GP329" s="4">
        <v>219</v>
      </c>
      <c r="GQ329" s="4">
        <v>214</v>
      </c>
      <c r="GR329" s="4">
        <v>205</v>
      </c>
      <c r="GS329" s="4">
        <v>196</v>
      </c>
      <c r="GT329" s="4">
        <v>187</v>
      </c>
      <c r="GU329" s="4">
        <v>178</v>
      </c>
      <c r="GV329" s="4">
        <v>167</v>
      </c>
      <c r="GW329" s="4">
        <v>156</v>
      </c>
      <c r="GX329" s="4">
        <v>145</v>
      </c>
      <c r="GY329" s="4">
        <v>134</v>
      </c>
      <c r="GZ329" s="4">
        <v>124</v>
      </c>
      <c r="HA329" s="4">
        <v>114</v>
      </c>
      <c r="HB329" s="4">
        <v>120</v>
      </c>
      <c r="HC329" s="19">
        <v>10.4</v>
      </c>
      <c r="HD329" s="19">
        <v>9</v>
      </c>
      <c r="HE329" s="19">
        <v>8.5</v>
      </c>
      <c r="HF329" s="19">
        <v>13.8</v>
      </c>
      <c r="HG329" s="19">
        <v>18.5</v>
      </c>
      <c r="HH329" s="19">
        <v>22.5</v>
      </c>
      <c r="HI329" s="19">
        <v>30</v>
      </c>
      <c r="HJ329" s="19">
        <v>42.5</v>
      </c>
      <c r="HK329" s="19">
        <v>41.2</v>
      </c>
      <c r="HL329" s="19">
        <v>48</v>
      </c>
      <c r="HM329" s="19">
        <v>46.8</v>
      </c>
      <c r="HN329" s="19">
        <v>38.2</v>
      </c>
      <c r="HO329" s="19">
        <v>32</v>
      </c>
      <c r="HP329" s="19">
        <v>27.4</v>
      </c>
      <c r="HQ329" s="19">
        <v>23.8</v>
      </c>
      <c r="HR329" s="19">
        <v>20.5</v>
      </c>
      <c r="HS329" s="19">
        <v>19.6</v>
      </c>
      <c r="HT329" s="19">
        <v>18.7</v>
      </c>
      <c r="HU329" s="19">
        <v>16.2</v>
      </c>
      <c r="HV329" s="19">
        <v>15.2</v>
      </c>
      <c r="HW329" s="19">
        <v>15.6</v>
      </c>
      <c r="HX329" s="19">
        <v>14.5</v>
      </c>
      <c r="HY329" s="19">
        <v>13.4</v>
      </c>
      <c r="HZ329" s="19">
        <v>11.3</v>
      </c>
      <c r="IA329" s="19">
        <v>11.4</v>
      </c>
      <c r="IB329" s="19">
        <v>13.3</v>
      </c>
    </row>
    <row r="330">
      <c r="A330" s="2" t="s">
        <v>2157</v>
      </c>
      <c r="B330" s="2" t="s">
        <v>222</v>
      </c>
      <c r="C330" s="2" t="s">
        <v>1625</v>
      </c>
      <c r="D330" s="2" t="s">
        <v>261</v>
      </c>
      <c r="E330" s="2" t="s">
        <v>262</v>
      </c>
      <c r="F330" s="2" t="s">
        <v>2149</v>
      </c>
      <c r="G330" s="2" t="s">
        <v>2149</v>
      </c>
      <c r="H330" s="2" t="s">
        <v>2149</v>
      </c>
      <c r="I330" s="2" t="s">
        <v>2150</v>
      </c>
      <c r="J330" s="2" t="s">
        <v>265</v>
      </c>
      <c r="K330" s="2" t="s">
        <v>1511</v>
      </c>
      <c r="L330" s="3">
        <v>25.14</v>
      </c>
      <c r="M330" s="3">
        <v>26.4</v>
      </c>
      <c r="N330" s="3">
        <v>54.99</v>
      </c>
      <c r="O330" s="2" t="s">
        <v>230</v>
      </c>
      <c r="P330" s="2" t="s">
        <v>231</v>
      </c>
      <c r="Q330" s="2" t="s">
        <v>232</v>
      </c>
      <c r="R330" s="2" t="s">
        <v>233</v>
      </c>
      <c r="S330" s="2" t="s">
        <v>2151</v>
      </c>
      <c r="T330" s="2" t="s">
        <v>2152</v>
      </c>
      <c r="U330" s="2" t="s">
        <v>329</v>
      </c>
      <c r="V330" s="2" t="s">
        <v>236</v>
      </c>
      <c r="W330" s="2" t="s">
        <v>237</v>
      </c>
      <c r="X330" s="2" t="s">
        <v>233</v>
      </c>
      <c r="Y330" s="2" t="s">
        <v>2158</v>
      </c>
      <c r="Z330" s="4">
        <v>334</v>
      </c>
      <c r="AA330" s="4">
        <f>=ROUNDDOWN(27.8333333333333,0)</f>
      </c>
      <c r="AB330" s="5">
        <v>12</v>
      </c>
      <c r="AC330" s="2" t="s">
        <v>145</v>
      </c>
      <c r="AD330" s="4">
        <v>80</v>
      </c>
      <c r="AE330" s="4">
        <v>150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233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233</v>
      </c>
      <c r="AW330" s="8" t="s">
        <v>233</v>
      </c>
      <c r="AX330" s="4" t="s">
        <v>233</v>
      </c>
      <c r="AY330" s="8" t="s">
        <v>233</v>
      </c>
      <c r="AZ330" s="7" t="s">
        <v>233</v>
      </c>
      <c r="BA330" s="7" t="s">
        <v>233</v>
      </c>
      <c r="BB330" s="7"/>
      <c r="BC330" s="4" t="s">
        <v>233</v>
      </c>
      <c r="BD330" s="8" t="s">
        <v>233</v>
      </c>
      <c r="BE330" s="4" t="s">
        <v>233</v>
      </c>
      <c r="BF330" s="8" t="s">
        <v>233</v>
      </c>
      <c r="BG330" s="7" t="s">
        <v>233</v>
      </c>
      <c r="BH330" s="7" t="s">
        <v>233</v>
      </c>
      <c r="BI330" s="7"/>
      <c r="BJ330" s="4">
        <v>28</v>
      </c>
      <c r="BK330" s="8">
        <v>801.26</v>
      </c>
      <c r="BL330" s="2" t="s">
        <v>2159</v>
      </c>
      <c r="BM330" s="7"/>
      <c r="BN330" s="7"/>
      <c r="BO330" s="4"/>
      <c r="BP330" s="8"/>
      <c r="BQ330" s="4"/>
      <c r="BR330" s="8"/>
      <c r="BS330" s="7"/>
      <c r="BT330" s="7"/>
      <c r="BU330" s="2" t="s">
        <v>2154</v>
      </c>
      <c r="BV330" s="2" t="s">
        <v>233</v>
      </c>
      <c r="BW330" s="2" t="s">
        <v>233</v>
      </c>
      <c r="BX330" s="2" t="s">
        <v>241</v>
      </c>
      <c r="BY330" s="2" t="s">
        <v>242</v>
      </c>
      <c r="BZ330" s="2" t="s">
        <v>230</v>
      </c>
      <c r="CA330" s="2" t="s">
        <v>2155</v>
      </c>
      <c r="CB330" s="2" t="s">
        <v>2160</v>
      </c>
      <c r="CC330" s="2" t="s">
        <v>245</v>
      </c>
      <c r="CD330" s="2" t="s">
        <v>233</v>
      </c>
      <c r="CE330" s="4">
        <v>334</v>
      </c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>
        <v>80</v>
      </c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>
        <v>70</v>
      </c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>
        <v>340</v>
      </c>
      <c r="GD330" s="4">
        <v>260</v>
      </c>
      <c r="GE330" s="4">
        <v>231</v>
      </c>
      <c r="GF330" s="4">
        <v>287</v>
      </c>
      <c r="GG330" s="4">
        <v>237</v>
      </c>
      <c r="GH330" s="4">
        <v>283</v>
      </c>
      <c r="GI330" s="4">
        <v>261</v>
      </c>
      <c r="GJ330" s="4">
        <v>246</v>
      </c>
      <c r="GK330" s="4">
        <v>235</v>
      </c>
      <c r="GL330" s="4">
        <v>224</v>
      </c>
      <c r="GM330" s="4">
        <v>215</v>
      </c>
      <c r="GN330" s="4">
        <v>206</v>
      </c>
      <c r="GO330" s="4">
        <v>196</v>
      </c>
      <c r="GP330" s="4">
        <v>186</v>
      </c>
      <c r="GQ330" s="4">
        <v>177</v>
      </c>
      <c r="GR330" s="4">
        <v>164</v>
      </c>
      <c r="GS330" s="4">
        <v>152</v>
      </c>
      <c r="GT330" s="4">
        <v>139</v>
      </c>
      <c r="GU330" s="4">
        <v>127</v>
      </c>
      <c r="GV330" s="4">
        <v>113</v>
      </c>
      <c r="GW330" s="4">
        <v>99</v>
      </c>
      <c r="GX330" s="4">
        <v>86</v>
      </c>
      <c r="GY330" s="4">
        <v>73</v>
      </c>
      <c r="GZ330" s="4">
        <v>61</v>
      </c>
      <c r="HA330" s="4">
        <v>49</v>
      </c>
      <c r="HB330" s="4">
        <v>126</v>
      </c>
      <c r="HC330" s="19">
        <v>7.4</v>
      </c>
      <c r="HD330" s="19">
        <v>8.1</v>
      </c>
      <c r="HE330" s="19">
        <v>7.7</v>
      </c>
      <c r="HF330" s="19">
        <v>10.3</v>
      </c>
      <c r="HG330" s="19">
        <v>13.2</v>
      </c>
      <c r="HH330" s="19">
        <v>18.9</v>
      </c>
      <c r="HI330" s="19">
        <v>21.8</v>
      </c>
      <c r="HJ330" s="19">
        <v>24.6</v>
      </c>
      <c r="HK330" s="19">
        <v>23.5</v>
      </c>
      <c r="HL330" s="19">
        <v>22.4</v>
      </c>
      <c r="HM330" s="19">
        <v>21.5</v>
      </c>
      <c r="HN330" s="19">
        <v>20.6</v>
      </c>
      <c r="HO330" s="19">
        <v>17.8</v>
      </c>
      <c r="HP330" s="19">
        <v>15.5</v>
      </c>
      <c r="HQ330" s="19">
        <v>14.8</v>
      </c>
      <c r="HR330" s="19">
        <v>12.6</v>
      </c>
      <c r="HS330" s="19">
        <v>11.7</v>
      </c>
      <c r="HT330" s="19">
        <v>10.7</v>
      </c>
      <c r="HU330" s="19">
        <v>9.1</v>
      </c>
      <c r="HV330" s="19">
        <v>8.7</v>
      </c>
      <c r="HW330" s="19">
        <v>8.3</v>
      </c>
      <c r="HX330" s="19">
        <v>7.2</v>
      </c>
      <c r="HY330" s="19">
        <v>6.1</v>
      </c>
      <c r="HZ330" s="19">
        <v>4.7</v>
      </c>
      <c r="IA330" s="19">
        <v>4.1</v>
      </c>
      <c r="IB330" s="19">
        <v>11.5</v>
      </c>
    </row>
    <row r="331">
      <c r="A331" s="2" t="s">
        <v>2161</v>
      </c>
      <c r="B331" s="2" t="s">
        <v>222</v>
      </c>
      <c r="C331" s="2" t="s">
        <v>1625</v>
      </c>
      <c r="D331" s="2" t="s">
        <v>261</v>
      </c>
      <c r="E331" s="2" t="s">
        <v>262</v>
      </c>
      <c r="F331" s="2" t="s">
        <v>2149</v>
      </c>
      <c r="G331" s="2" t="s">
        <v>2149</v>
      </c>
      <c r="H331" s="2" t="s">
        <v>2149</v>
      </c>
      <c r="I331" s="2" t="s">
        <v>2150</v>
      </c>
      <c r="J331" s="2" t="s">
        <v>275</v>
      </c>
      <c r="K331" s="2" t="s">
        <v>1511</v>
      </c>
      <c r="L331" s="3">
        <v>28.57</v>
      </c>
      <c r="M331" s="3">
        <v>30</v>
      </c>
      <c r="N331" s="3">
        <v>59.99</v>
      </c>
      <c r="O331" s="2" t="s">
        <v>230</v>
      </c>
      <c r="P331" s="2" t="s">
        <v>231</v>
      </c>
      <c r="Q331" s="2" t="s">
        <v>232</v>
      </c>
      <c r="R331" s="2" t="s">
        <v>233</v>
      </c>
      <c r="S331" s="2" t="s">
        <v>2151</v>
      </c>
      <c r="T331" s="2" t="s">
        <v>2152</v>
      </c>
      <c r="U331" s="2" t="s">
        <v>329</v>
      </c>
      <c r="V331" s="2" t="s">
        <v>236</v>
      </c>
      <c r="W331" s="2" t="s">
        <v>237</v>
      </c>
      <c r="X331" s="2" t="s">
        <v>233</v>
      </c>
      <c r="Y331" s="2" t="s">
        <v>2158</v>
      </c>
      <c r="Z331" s="4">
        <v>486</v>
      </c>
      <c r="AA331" s="4">
        <f>=ROUNDDOWN(37.3846153846154,0)</f>
      </c>
      <c r="AB331" s="5">
        <v>13</v>
      </c>
      <c r="AC331" s="2" t="s">
        <v>145</v>
      </c>
      <c r="AD331" s="4">
        <v>30</v>
      </c>
      <c r="AE331" s="4">
        <v>30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233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233</v>
      </c>
      <c r="AW331" s="8" t="s">
        <v>233</v>
      </c>
      <c r="AX331" s="4" t="s">
        <v>233</v>
      </c>
      <c r="AY331" s="8" t="s">
        <v>233</v>
      </c>
      <c r="AZ331" s="7" t="s">
        <v>233</v>
      </c>
      <c r="BA331" s="7" t="s">
        <v>233</v>
      </c>
      <c r="BB331" s="7"/>
      <c r="BC331" s="4" t="s">
        <v>233</v>
      </c>
      <c r="BD331" s="8" t="s">
        <v>233</v>
      </c>
      <c r="BE331" s="4" t="s">
        <v>233</v>
      </c>
      <c r="BF331" s="8" t="s">
        <v>233</v>
      </c>
      <c r="BG331" s="7" t="s">
        <v>233</v>
      </c>
      <c r="BH331" s="7" t="s">
        <v>233</v>
      </c>
      <c r="BI331" s="7"/>
      <c r="BJ331" s="4">
        <v>29</v>
      </c>
      <c r="BK331" s="8">
        <v>939.36</v>
      </c>
      <c r="BL331" s="2" t="s">
        <v>2162</v>
      </c>
      <c r="BM331" s="7"/>
      <c r="BN331" s="7"/>
      <c r="BO331" s="4"/>
      <c r="BP331" s="8"/>
      <c r="BQ331" s="4"/>
      <c r="BR331" s="8"/>
      <c r="BS331" s="7"/>
      <c r="BT331" s="7"/>
      <c r="BU331" s="2" t="s">
        <v>2154</v>
      </c>
      <c r="BV331" s="2" t="s">
        <v>233</v>
      </c>
      <c r="BW331" s="2" t="s">
        <v>233</v>
      </c>
      <c r="BX331" s="2" t="s">
        <v>241</v>
      </c>
      <c r="BY331" s="2" t="s">
        <v>242</v>
      </c>
      <c r="BZ331" s="2" t="s">
        <v>230</v>
      </c>
      <c r="CA331" s="2" t="s">
        <v>2155</v>
      </c>
      <c r="CB331" s="2" t="s">
        <v>2163</v>
      </c>
      <c r="CC331" s="2" t="s">
        <v>245</v>
      </c>
      <c r="CD331" s="2" t="s">
        <v>233</v>
      </c>
      <c r="CE331" s="4">
        <v>486</v>
      </c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>
        <v>30</v>
      </c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>
        <v>491</v>
      </c>
      <c r="GD331" s="4">
        <v>434</v>
      </c>
      <c r="GE331" s="4">
        <v>404</v>
      </c>
      <c r="GF331" s="4">
        <v>407</v>
      </c>
      <c r="GG331" s="4">
        <v>352</v>
      </c>
      <c r="GH331" s="4">
        <v>328</v>
      </c>
      <c r="GI331" s="4">
        <v>306</v>
      </c>
      <c r="GJ331" s="4">
        <v>291</v>
      </c>
      <c r="GK331" s="4">
        <v>281</v>
      </c>
      <c r="GL331" s="4">
        <v>269</v>
      </c>
      <c r="GM331" s="4">
        <v>259</v>
      </c>
      <c r="GN331" s="4">
        <v>250</v>
      </c>
      <c r="GO331" s="4">
        <v>240</v>
      </c>
      <c r="GP331" s="4">
        <v>230</v>
      </c>
      <c r="GQ331" s="4">
        <v>221</v>
      </c>
      <c r="GR331" s="4">
        <v>206</v>
      </c>
      <c r="GS331" s="4">
        <v>191</v>
      </c>
      <c r="GT331" s="4">
        <v>175</v>
      </c>
      <c r="GU331" s="4">
        <v>160</v>
      </c>
      <c r="GV331" s="4">
        <v>143</v>
      </c>
      <c r="GW331" s="4">
        <v>126</v>
      </c>
      <c r="GX331" s="4">
        <v>111</v>
      </c>
      <c r="GY331" s="4">
        <v>96</v>
      </c>
      <c r="GZ331" s="4">
        <v>81</v>
      </c>
      <c r="HA331" s="4">
        <v>66</v>
      </c>
      <c r="HB331" s="4">
        <v>117</v>
      </c>
      <c r="HC331" s="19">
        <v>11.7</v>
      </c>
      <c r="HD331" s="19">
        <v>12.8</v>
      </c>
      <c r="HE331" s="19">
        <v>12.6</v>
      </c>
      <c r="HF331" s="19">
        <v>14</v>
      </c>
      <c r="HG331" s="19">
        <v>19.6</v>
      </c>
      <c r="HH331" s="19">
        <v>21.9</v>
      </c>
      <c r="HI331" s="19">
        <v>25.5</v>
      </c>
      <c r="HJ331" s="19">
        <v>29.1</v>
      </c>
      <c r="HK331" s="19">
        <v>28.1</v>
      </c>
      <c r="HL331" s="19">
        <v>26.9</v>
      </c>
      <c r="HM331" s="19">
        <v>25.9</v>
      </c>
      <c r="HN331" s="19">
        <v>22.7</v>
      </c>
      <c r="HO331" s="19">
        <v>20</v>
      </c>
      <c r="HP331" s="19">
        <v>16.4</v>
      </c>
      <c r="HQ331" s="19">
        <v>14.7</v>
      </c>
      <c r="HR331" s="19">
        <v>12.9</v>
      </c>
      <c r="HS331" s="19">
        <v>11.9</v>
      </c>
      <c r="HT331" s="19">
        <v>10.9</v>
      </c>
      <c r="HU331" s="19">
        <v>10</v>
      </c>
      <c r="HV331" s="19">
        <v>8.9</v>
      </c>
      <c r="HW331" s="19">
        <v>8.4</v>
      </c>
      <c r="HX331" s="19">
        <v>7.4</v>
      </c>
      <c r="HY331" s="19">
        <v>6.4</v>
      </c>
      <c r="HZ331" s="19">
        <v>5.4</v>
      </c>
      <c r="IA331" s="19">
        <v>4.7</v>
      </c>
      <c r="IB331" s="19">
        <v>9.8</v>
      </c>
    </row>
    <row r="332">
      <c r="A332" s="2" t="s">
        <v>2164</v>
      </c>
      <c r="B332" s="2" t="s">
        <v>222</v>
      </c>
      <c r="C332" s="2" t="s">
        <v>1625</v>
      </c>
      <c r="D332" s="2" t="s">
        <v>261</v>
      </c>
      <c r="E332" s="2" t="s">
        <v>262</v>
      </c>
      <c r="F332" s="2" t="s">
        <v>2149</v>
      </c>
      <c r="G332" s="2" t="s">
        <v>2149</v>
      </c>
      <c r="H332" s="2" t="s">
        <v>2149</v>
      </c>
      <c r="I332" s="2" t="s">
        <v>2150</v>
      </c>
      <c r="J332" s="2" t="s">
        <v>1052</v>
      </c>
      <c r="K332" s="2" t="s">
        <v>300</v>
      </c>
      <c r="L332" s="3">
        <v>21.42</v>
      </c>
      <c r="M332" s="3">
        <v>22.49</v>
      </c>
      <c r="N332" s="3">
        <v>49.99</v>
      </c>
      <c r="O332" s="2" t="s">
        <v>230</v>
      </c>
      <c r="P332" s="2" t="s">
        <v>231</v>
      </c>
      <c r="Q332" s="2" t="s">
        <v>232</v>
      </c>
      <c r="R332" s="2" t="s">
        <v>233</v>
      </c>
      <c r="S332" s="2" t="s">
        <v>2165</v>
      </c>
      <c r="T332" s="2" t="s">
        <v>2152</v>
      </c>
      <c r="U332" s="2" t="s">
        <v>329</v>
      </c>
      <c r="V332" s="2" t="s">
        <v>236</v>
      </c>
      <c r="W332" s="2" t="s">
        <v>237</v>
      </c>
      <c r="X332" s="2" t="s">
        <v>233</v>
      </c>
      <c r="Y332" s="2" t="s">
        <v>2158</v>
      </c>
      <c r="Z332" s="4">
        <v>253</v>
      </c>
      <c r="AA332" s="4">
        <f>=ROUNDDOWN(25.3,0)</f>
      </c>
      <c r="AB332" s="5">
        <v>10</v>
      </c>
      <c r="AC332" s="2" t="s">
        <v>145</v>
      </c>
      <c r="AD332" s="4">
        <v>130</v>
      </c>
      <c r="AE332" s="4">
        <v>180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233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233</v>
      </c>
      <c r="AW332" s="8" t="s">
        <v>233</v>
      </c>
      <c r="AX332" s="4" t="s">
        <v>233</v>
      </c>
      <c r="AY332" s="8" t="s">
        <v>233</v>
      </c>
      <c r="AZ332" s="7" t="s">
        <v>233</v>
      </c>
      <c r="BA332" s="7" t="s">
        <v>233</v>
      </c>
      <c r="BB332" s="7"/>
      <c r="BC332" s="4" t="s">
        <v>233</v>
      </c>
      <c r="BD332" s="8" t="s">
        <v>233</v>
      </c>
      <c r="BE332" s="4" t="s">
        <v>233</v>
      </c>
      <c r="BF332" s="8" t="s">
        <v>233</v>
      </c>
      <c r="BG332" s="7" t="s">
        <v>233</v>
      </c>
      <c r="BH332" s="7" t="s">
        <v>233</v>
      </c>
      <c r="BI332" s="7"/>
      <c r="BJ332" s="4">
        <v>16</v>
      </c>
      <c r="BK332" s="8">
        <v>393.53</v>
      </c>
      <c r="BL332" s="2" t="s">
        <v>2166</v>
      </c>
      <c r="BM332" s="7"/>
      <c r="BN332" s="7"/>
      <c r="BO332" s="4"/>
      <c r="BP332" s="8"/>
      <c r="BQ332" s="4"/>
      <c r="BR332" s="8"/>
      <c r="BS332" s="7"/>
      <c r="BT332" s="7"/>
      <c r="BU332" s="2" t="s">
        <v>2154</v>
      </c>
      <c r="BV332" s="2" t="s">
        <v>233</v>
      </c>
      <c r="BW332" s="2" t="s">
        <v>233</v>
      </c>
      <c r="BX332" s="2" t="s">
        <v>241</v>
      </c>
      <c r="BY332" s="2" t="s">
        <v>242</v>
      </c>
      <c r="BZ332" s="2" t="s">
        <v>230</v>
      </c>
      <c r="CA332" s="2" t="s">
        <v>2155</v>
      </c>
      <c r="CB332" s="2" t="s">
        <v>2163</v>
      </c>
      <c r="CC332" s="2" t="s">
        <v>245</v>
      </c>
      <c r="CD332" s="2" t="s">
        <v>233</v>
      </c>
      <c r="CE332" s="4">
        <v>253</v>
      </c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>
        <v>130</v>
      </c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>
        <v>50</v>
      </c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>
        <v>255</v>
      </c>
      <c r="GD332" s="4">
        <v>226</v>
      </c>
      <c r="GE332" s="4">
        <v>201</v>
      </c>
      <c r="GF332" s="4">
        <v>307</v>
      </c>
      <c r="GG332" s="4">
        <v>258</v>
      </c>
      <c r="GH332" s="4">
        <v>282</v>
      </c>
      <c r="GI332" s="4">
        <v>258</v>
      </c>
      <c r="GJ332" s="4">
        <v>242</v>
      </c>
      <c r="GK332" s="4">
        <v>233</v>
      </c>
      <c r="GL332" s="4">
        <v>225</v>
      </c>
      <c r="GM332" s="4">
        <v>219</v>
      </c>
      <c r="GN332" s="4">
        <v>213</v>
      </c>
      <c r="GO332" s="4">
        <v>207</v>
      </c>
      <c r="GP332" s="4">
        <v>201</v>
      </c>
      <c r="GQ332" s="4">
        <v>195</v>
      </c>
      <c r="GR332" s="4">
        <v>185</v>
      </c>
      <c r="GS332" s="4">
        <v>175</v>
      </c>
      <c r="GT332" s="4">
        <v>165</v>
      </c>
      <c r="GU332" s="4">
        <v>155</v>
      </c>
      <c r="GV332" s="4">
        <v>142</v>
      </c>
      <c r="GW332" s="4">
        <v>129</v>
      </c>
      <c r="GX332" s="4">
        <v>116</v>
      </c>
      <c r="GY332" s="4">
        <v>103</v>
      </c>
      <c r="GZ332" s="4">
        <v>92</v>
      </c>
      <c r="HA332" s="4">
        <v>81</v>
      </c>
      <c r="HB332" s="4">
        <v>128</v>
      </c>
      <c r="HC332" s="19">
        <v>8</v>
      </c>
      <c r="HD332" s="19">
        <v>7.3</v>
      </c>
      <c r="HE332" s="19">
        <v>6.5</v>
      </c>
      <c r="HF332" s="19">
        <v>10.6</v>
      </c>
      <c r="HG332" s="19">
        <v>13.6</v>
      </c>
      <c r="HH332" s="19">
        <v>20.1</v>
      </c>
      <c r="HI332" s="19">
        <v>25.8</v>
      </c>
      <c r="HJ332" s="19">
        <v>34.6</v>
      </c>
      <c r="HK332" s="19">
        <v>38.8</v>
      </c>
      <c r="HL332" s="19">
        <v>37.5</v>
      </c>
      <c r="HM332" s="19">
        <v>36.5</v>
      </c>
      <c r="HN332" s="19">
        <v>30.4</v>
      </c>
      <c r="HO332" s="19">
        <v>25.9</v>
      </c>
      <c r="HP332" s="19">
        <v>22.3</v>
      </c>
      <c r="HQ332" s="19">
        <v>19.5</v>
      </c>
      <c r="HR332" s="19">
        <v>16.8</v>
      </c>
      <c r="HS332" s="19">
        <v>14.6</v>
      </c>
      <c r="HT332" s="19">
        <v>13.8</v>
      </c>
      <c r="HU332" s="19">
        <v>11.9</v>
      </c>
      <c r="HV332" s="19">
        <v>11.8</v>
      </c>
      <c r="HW332" s="19">
        <v>10.8</v>
      </c>
      <c r="HX332" s="19">
        <v>9.7</v>
      </c>
      <c r="HY332" s="19">
        <v>8.6</v>
      </c>
      <c r="HZ332" s="19">
        <v>7.7</v>
      </c>
      <c r="IA332" s="19">
        <v>7.4</v>
      </c>
      <c r="IB332" s="19">
        <v>12.8</v>
      </c>
    </row>
    <row r="333">
      <c r="A333" s="2" t="s">
        <v>2167</v>
      </c>
      <c r="B333" s="2" t="s">
        <v>222</v>
      </c>
      <c r="C333" s="2" t="s">
        <v>1625</v>
      </c>
      <c r="D333" s="2" t="s">
        <v>261</v>
      </c>
      <c r="E333" s="2" t="s">
        <v>262</v>
      </c>
      <c r="F333" s="2" t="s">
        <v>2149</v>
      </c>
      <c r="G333" s="2" t="s">
        <v>2149</v>
      </c>
      <c r="H333" s="2" t="s">
        <v>2149</v>
      </c>
      <c r="I333" s="2" t="s">
        <v>2150</v>
      </c>
      <c r="J333" s="2" t="s">
        <v>275</v>
      </c>
      <c r="K333" s="2" t="s">
        <v>300</v>
      </c>
      <c r="L333" s="3">
        <v>28.57</v>
      </c>
      <c r="M333" s="3">
        <v>30</v>
      </c>
      <c r="N333" s="3">
        <v>59.99</v>
      </c>
      <c r="O333" s="2" t="s">
        <v>230</v>
      </c>
      <c r="P333" s="2" t="s">
        <v>231</v>
      </c>
      <c r="Q333" s="2" t="s">
        <v>232</v>
      </c>
      <c r="R333" s="2" t="s">
        <v>233</v>
      </c>
      <c r="S333" s="2" t="s">
        <v>2165</v>
      </c>
      <c r="T333" s="2" t="s">
        <v>2152</v>
      </c>
      <c r="U333" s="2" t="s">
        <v>329</v>
      </c>
      <c r="V333" s="2" t="s">
        <v>236</v>
      </c>
      <c r="W333" s="2" t="s">
        <v>237</v>
      </c>
      <c r="X333" s="2" t="s">
        <v>233</v>
      </c>
      <c r="Y333" s="2" t="s">
        <v>2158</v>
      </c>
      <c r="Z333" s="4">
        <v>404</v>
      </c>
      <c r="AA333" s="4">
        <f>=ROUNDDOWN(33.6666666666667,0)</f>
      </c>
      <c r="AB333" s="5">
        <v>12</v>
      </c>
      <c r="AC333" s="2" t="s">
        <v>746</v>
      </c>
      <c r="AD333" s="4">
        <v>80</v>
      </c>
      <c r="AE333" s="4">
        <v>80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233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233</v>
      </c>
      <c r="AW333" s="8" t="s">
        <v>233</v>
      </c>
      <c r="AX333" s="4" t="s">
        <v>233</v>
      </c>
      <c r="AY333" s="8" t="s">
        <v>233</v>
      </c>
      <c r="AZ333" s="7" t="s">
        <v>233</v>
      </c>
      <c r="BA333" s="7" t="s">
        <v>233</v>
      </c>
      <c r="BB333" s="7"/>
      <c r="BC333" s="4" t="s">
        <v>233</v>
      </c>
      <c r="BD333" s="8" t="s">
        <v>233</v>
      </c>
      <c r="BE333" s="4" t="s">
        <v>233</v>
      </c>
      <c r="BF333" s="8" t="s">
        <v>233</v>
      </c>
      <c r="BG333" s="7" t="s">
        <v>233</v>
      </c>
      <c r="BH333" s="7" t="s">
        <v>233</v>
      </c>
      <c r="BI333" s="7"/>
      <c r="BJ333" s="4">
        <v>37</v>
      </c>
      <c r="BK333" s="8">
        <v>1198.1</v>
      </c>
      <c r="BL333" s="2" t="s">
        <v>2168</v>
      </c>
      <c r="BM333" s="7"/>
      <c r="BN333" s="7"/>
      <c r="BO333" s="4"/>
      <c r="BP333" s="8"/>
      <c r="BQ333" s="4"/>
      <c r="BR333" s="8"/>
      <c r="BS333" s="7"/>
      <c r="BT333" s="7"/>
      <c r="BU333" s="2" t="s">
        <v>2154</v>
      </c>
      <c r="BV333" s="2" t="s">
        <v>233</v>
      </c>
      <c r="BW333" s="2" t="s">
        <v>233</v>
      </c>
      <c r="BX333" s="2" t="s">
        <v>241</v>
      </c>
      <c r="BY333" s="2" t="s">
        <v>242</v>
      </c>
      <c r="BZ333" s="2" t="s">
        <v>230</v>
      </c>
      <c r="CA333" s="2" t="s">
        <v>2155</v>
      </c>
      <c r="CB333" s="2" t="s">
        <v>2169</v>
      </c>
      <c r="CC333" s="2" t="s">
        <v>245</v>
      </c>
      <c r="CD333" s="2" t="s">
        <v>233</v>
      </c>
      <c r="CE333" s="4">
        <v>404</v>
      </c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>
        <v>80</v>
      </c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>
        <v>406</v>
      </c>
      <c r="GD333" s="4">
        <v>358</v>
      </c>
      <c r="GE333" s="4">
        <v>331</v>
      </c>
      <c r="GF333" s="4">
        <v>306</v>
      </c>
      <c r="GG333" s="4">
        <v>256</v>
      </c>
      <c r="GH333" s="4">
        <v>314</v>
      </c>
      <c r="GI333" s="4">
        <v>294</v>
      </c>
      <c r="GJ333" s="4">
        <v>280</v>
      </c>
      <c r="GK333" s="4">
        <v>271</v>
      </c>
      <c r="GL333" s="4">
        <v>260</v>
      </c>
      <c r="GM333" s="4">
        <v>251</v>
      </c>
      <c r="GN333" s="4">
        <v>243</v>
      </c>
      <c r="GO333" s="4">
        <v>234</v>
      </c>
      <c r="GP333" s="4">
        <v>225</v>
      </c>
      <c r="GQ333" s="4">
        <v>216</v>
      </c>
      <c r="GR333" s="4">
        <v>202</v>
      </c>
      <c r="GS333" s="4">
        <v>188</v>
      </c>
      <c r="GT333" s="4">
        <v>173</v>
      </c>
      <c r="GU333" s="4">
        <v>159</v>
      </c>
      <c r="GV333" s="4">
        <v>143</v>
      </c>
      <c r="GW333" s="4">
        <v>127</v>
      </c>
      <c r="GX333" s="4">
        <v>113</v>
      </c>
      <c r="GY333" s="4">
        <v>99</v>
      </c>
      <c r="GZ333" s="4">
        <v>85</v>
      </c>
      <c r="HA333" s="4">
        <v>71</v>
      </c>
      <c r="HB333" s="4">
        <v>100</v>
      </c>
      <c r="HC333" s="19">
        <v>10.7</v>
      </c>
      <c r="HD333" s="19">
        <v>11.5</v>
      </c>
      <c r="HE333" s="19">
        <v>11.4</v>
      </c>
      <c r="HF333" s="19">
        <v>11.8</v>
      </c>
      <c r="HG333" s="19">
        <v>16</v>
      </c>
      <c r="HH333" s="19">
        <v>22.4</v>
      </c>
      <c r="HI333" s="19">
        <v>26.7</v>
      </c>
      <c r="HJ333" s="19">
        <v>31.1</v>
      </c>
      <c r="HK333" s="19">
        <v>30.1</v>
      </c>
      <c r="HL333" s="19">
        <v>28.9</v>
      </c>
      <c r="HM333" s="19">
        <v>27.9</v>
      </c>
      <c r="HN333" s="19">
        <v>24.3</v>
      </c>
      <c r="HO333" s="19">
        <v>19.5</v>
      </c>
      <c r="HP333" s="19">
        <v>17.3</v>
      </c>
      <c r="HQ333" s="19">
        <v>15.4</v>
      </c>
      <c r="HR333" s="19">
        <v>13.5</v>
      </c>
      <c r="HS333" s="19">
        <v>12.5</v>
      </c>
      <c r="HT333" s="19">
        <v>11.5</v>
      </c>
      <c r="HU333" s="19">
        <v>10.6</v>
      </c>
      <c r="HV333" s="19">
        <v>10.2</v>
      </c>
      <c r="HW333" s="19">
        <v>9.1</v>
      </c>
      <c r="HX333" s="19">
        <v>8.1</v>
      </c>
      <c r="HY333" s="19">
        <v>7.1</v>
      </c>
      <c r="HZ333" s="19">
        <v>6.1</v>
      </c>
      <c r="IA333" s="19">
        <v>5.9</v>
      </c>
      <c r="IB333" s="19">
        <v>9.1</v>
      </c>
    </row>
    <row r="334">
      <c r="A334" s="2" t="s">
        <v>2170</v>
      </c>
      <c r="B334" s="2" t="s">
        <v>222</v>
      </c>
      <c r="C334" s="2" t="s">
        <v>1625</v>
      </c>
      <c r="D334" s="2" t="s">
        <v>261</v>
      </c>
      <c r="E334" s="2" t="s">
        <v>262</v>
      </c>
      <c r="F334" s="2" t="s">
        <v>2149</v>
      </c>
      <c r="G334" s="2" t="s">
        <v>2149</v>
      </c>
      <c r="H334" s="2" t="s">
        <v>2149</v>
      </c>
      <c r="I334" s="2" t="s">
        <v>2150</v>
      </c>
      <c r="J334" s="2" t="s">
        <v>1052</v>
      </c>
      <c r="K334" s="2" t="s">
        <v>870</v>
      </c>
      <c r="L334" s="3">
        <v>21.42</v>
      </c>
      <c r="M334" s="3">
        <v>22.49</v>
      </c>
      <c r="N334" s="3">
        <v>49.99</v>
      </c>
      <c r="O334" s="2" t="s">
        <v>230</v>
      </c>
      <c r="P334" s="2" t="s">
        <v>231</v>
      </c>
      <c r="Q334" s="2" t="s">
        <v>232</v>
      </c>
      <c r="R334" s="2" t="s">
        <v>233</v>
      </c>
      <c r="S334" s="2" t="s">
        <v>2171</v>
      </c>
      <c r="T334" s="2" t="s">
        <v>2152</v>
      </c>
      <c r="U334" s="2" t="s">
        <v>329</v>
      </c>
      <c r="V334" s="2" t="s">
        <v>236</v>
      </c>
      <c r="W334" s="2" t="s">
        <v>237</v>
      </c>
      <c r="X334" s="2" t="s">
        <v>233</v>
      </c>
      <c r="Y334" s="2" t="s">
        <v>2158</v>
      </c>
      <c r="Z334" s="4">
        <v>252</v>
      </c>
      <c r="AA334" s="4">
        <f>=ROUNDDOWN(31.5,0)</f>
      </c>
      <c r="AB334" s="5">
        <v>8</v>
      </c>
      <c r="AC334" s="2" t="s">
        <v>145</v>
      </c>
      <c r="AD334" s="4">
        <v>100</v>
      </c>
      <c r="AE334" s="4">
        <v>100</v>
      </c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233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233</v>
      </c>
      <c r="AW334" s="8" t="s">
        <v>233</v>
      </c>
      <c r="AX334" s="4" t="s">
        <v>233</v>
      </c>
      <c r="AY334" s="8" t="s">
        <v>233</v>
      </c>
      <c r="AZ334" s="7" t="s">
        <v>233</v>
      </c>
      <c r="BA334" s="7" t="s">
        <v>233</v>
      </c>
      <c r="BB334" s="7"/>
      <c r="BC334" s="4" t="s">
        <v>233</v>
      </c>
      <c r="BD334" s="8" t="s">
        <v>233</v>
      </c>
      <c r="BE334" s="4" t="s">
        <v>233</v>
      </c>
      <c r="BF334" s="8" t="s">
        <v>233</v>
      </c>
      <c r="BG334" s="7" t="s">
        <v>233</v>
      </c>
      <c r="BH334" s="7" t="s">
        <v>233</v>
      </c>
      <c r="BI334" s="7"/>
      <c r="BJ334" s="4">
        <v>5</v>
      </c>
      <c r="BK334" s="8">
        <v>121.45</v>
      </c>
      <c r="BL334" s="2" t="s">
        <v>324</v>
      </c>
      <c r="BM334" s="7"/>
      <c r="BN334" s="7"/>
      <c r="BO334" s="4"/>
      <c r="BP334" s="8"/>
      <c r="BQ334" s="4"/>
      <c r="BR334" s="8"/>
      <c r="BS334" s="7"/>
      <c r="BT334" s="7"/>
      <c r="BU334" s="2" t="s">
        <v>2154</v>
      </c>
      <c r="BV334" s="2" t="s">
        <v>233</v>
      </c>
      <c r="BW334" s="2" t="s">
        <v>233</v>
      </c>
      <c r="BX334" s="2" t="s">
        <v>241</v>
      </c>
      <c r="BY334" s="2" t="s">
        <v>242</v>
      </c>
      <c r="BZ334" s="2" t="s">
        <v>230</v>
      </c>
      <c r="CA334" s="2" t="s">
        <v>2155</v>
      </c>
      <c r="CB334" s="2" t="s">
        <v>233</v>
      </c>
      <c r="CC334" s="2" t="s">
        <v>245</v>
      </c>
      <c r="CD334" s="2" t="s">
        <v>233</v>
      </c>
      <c r="CE334" s="4">
        <v>252</v>
      </c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>
        <v>100</v>
      </c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>
        <v>253</v>
      </c>
      <c r="GD334" s="4">
        <v>230</v>
      </c>
      <c r="GE334" s="4">
        <v>210</v>
      </c>
      <c r="GF334" s="4">
        <v>291</v>
      </c>
      <c r="GG334" s="4">
        <v>253</v>
      </c>
      <c r="GH334" s="4">
        <v>232</v>
      </c>
      <c r="GI334" s="4">
        <v>213</v>
      </c>
      <c r="GJ334" s="4">
        <v>200</v>
      </c>
      <c r="GK334" s="4">
        <v>193</v>
      </c>
      <c r="GL334" s="4">
        <v>186</v>
      </c>
      <c r="GM334" s="4">
        <v>181</v>
      </c>
      <c r="GN334" s="4">
        <v>176</v>
      </c>
      <c r="GO334" s="4">
        <v>171</v>
      </c>
      <c r="GP334" s="4">
        <v>166</v>
      </c>
      <c r="GQ334" s="4">
        <v>161</v>
      </c>
      <c r="GR334" s="4">
        <v>153</v>
      </c>
      <c r="GS334" s="4">
        <v>145</v>
      </c>
      <c r="GT334" s="4">
        <v>137</v>
      </c>
      <c r="GU334" s="4">
        <v>129</v>
      </c>
      <c r="GV334" s="4">
        <v>119</v>
      </c>
      <c r="GW334" s="4">
        <v>109</v>
      </c>
      <c r="GX334" s="4">
        <v>99</v>
      </c>
      <c r="GY334" s="4">
        <v>89</v>
      </c>
      <c r="GZ334" s="4">
        <v>80</v>
      </c>
      <c r="HA334" s="4">
        <v>71</v>
      </c>
      <c r="HB334" s="4">
        <v>109</v>
      </c>
      <c r="HC334" s="19">
        <v>10.1</v>
      </c>
      <c r="HD334" s="19">
        <v>9.6</v>
      </c>
      <c r="HE334" s="19">
        <v>8.8</v>
      </c>
      <c r="HF334" s="19">
        <v>12.7</v>
      </c>
      <c r="HG334" s="19">
        <v>16.9</v>
      </c>
      <c r="HH334" s="19">
        <v>19.3</v>
      </c>
      <c r="HI334" s="19">
        <v>26.6</v>
      </c>
      <c r="HJ334" s="19">
        <v>33.3</v>
      </c>
      <c r="HK334" s="19">
        <v>32.2</v>
      </c>
      <c r="HL334" s="19">
        <v>37.2</v>
      </c>
      <c r="HM334" s="19">
        <v>36.2</v>
      </c>
      <c r="HN334" s="19">
        <v>29.3</v>
      </c>
      <c r="HO334" s="19">
        <v>28.5</v>
      </c>
      <c r="HP334" s="19">
        <v>23.7</v>
      </c>
      <c r="HQ334" s="19">
        <v>20.1</v>
      </c>
      <c r="HR334" s="19">
        <v>19.1</v>
      </c>
      <c r="HS334" s="19">
        <v>16.1</v>
      </c>
      <c r="HT334" s="19">
        <v>13.7</v>
      </c>
      <c r="HU334" s="19">
        <v>12.9</v>
      </c>
      <c r="HV334" s="19">
        <v>11.9</v>
      </c>
      <c r="HW334" s="19">
        <v>10.9</v>
      </c>
      <c r="HX334" s="19">
        <v>9.9</v>
      </c>
      <c r="HY334" s="19">
        <v>8.9</v>
      </c>
      <c r="HZ334" s="19">
        <v>8</v>
      </c>
      <c r="IA334" s="19">
        <v>7.9</v>
      </c>
      <c r="IB334" s="19">
        <v>13.6</v>
      </c>
    </row>
    <row r="335">
      <c r="A335" s="2" t="s">
        <v>2172</v>
      </c>
      <c r="B335" s="2" t="s">
        <v>222</v>
      </c>
      <c r="C335" s="2" t="s">
        <v>1625</v>
      </c>
      <c r="D335" s="2" t="s">
        <v>261</v>
      </c>
      <c r="E335" s="2" t="s">
        <v>262</v>
      </c>
      <c r="F335" s="2" t="s">
        <v>2149</v>
      </c>
      <c r="G335" s="2" t="s">
        <v>2149</v>
      </c>
      <c r="H335" s="2" t="s">
        <v>2149</v>
      </c>
      <c r="I335" s="2" t="s">
        <v>2150</v>
      </c>
      <c r="J335" s="2" t="s">
        <v>275</v>
      </c>
      <c r="K335" s="2" t="s">
        <v>870</v>
      </c>
      <c r="L335" s="3">
        <v>28.57</v>
      </c>
      <c r="M335" s="3">
        <v>30</v>
      </c>
      <c r="N335" s="3">
        <v>59.99</v>
      </c>
      <c r="O335" s="2" t="s">
        <v>230</v>
      </c>
      <c r="P335" s="2" t="s">
        <v>231</v>
      </c>
      <c r="Q335" s="2" t="s">
        <v>232</v>
      </c>
      <c r="R335" s="2" t="s">
        <v>233</v>
      </c>
      <c r="S335" s="2" t="s">
        <v>2171</v>
      </c>
      <c r="T335" s="2" t="s">
        <v>2152</v>
      </c>
      <c r="U335" s="2" t="s">
        <v>329</v>
      </c>
      <c r="V335" s="2" t="s">
        <v>236</v>
      </c>
      <c r="W335" s="2" t="s">
        <v>237</v>
      </c>
      <c r="X335" s="2" t="s">
        <v>233</v>
      </c>
      <c r="Y335" s="2" t="s">
        <v>2158</v>
      </c>
      <c r="Z335" s="4">
        <v>412</v>
      </c>
      <c r="AA335" s="4">
        <f>=ROUNDDOWN(34.3333333333333,0)</f>
      </c>
      <c r="AB335" s="5">
        <v>12</v>
      </c>
      <c r="AC335" s="2" t="s">
        <v>746</v>
      </c>
      <c r="AD335" s="4">
        <v>80</v>
      </c>
      <c r="AE335" s="4">
        <v>80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233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233</v>
      </c>
      <c r="AW335" s="8" t="s">
        <v>233</v>
      </c>
      <c r="AX335" s="4" t="s">
        <v>233</v>
      </c>
      <c r="AY335" s="8" t="s">
        <v>233</v>
      </c>
      <c r="AZ335" s="7" t="s">
        <v>233</v>
      </c>
      <c r="BA335" s="7" t="s">
        <v>233</v>
      </c>
      <c r="BB335" s="7"/>
      <c r="BC335" s="4" t="s">
        <v>233</v>
      </c>
      <c r="BD335" s="8" t="s">
        <v>233</v>
      </c>
      <c r="BE335" s="4" t="s">
        <v>233</v>
      </c>
      <c r="BF335" s="8" t="s">
        <v>233</v>
      </c>
      <c r="BG335" s="7" t="s">
        <v>233</v>
      </c>
      <c r="BH335" s="7" t="s">
        <v>233</v>
      </c>
      <c r="BI335" s="7"/>
      <c r="BJ335" s="4">
        <v>21</v>
      </c>
      <c r="BK335" s="8">
        <v>673.66</v>
      </c>
      <c r="BL335" s="2" t="s">
        <v>2173</v>
      </c>
      <c r="BM335" s="7"/>
      <c r="BN335" s="7"/>
      <c r="BO335" s="4"/>
      <c r="BP335" s="8"/>
      <c r="BQ335" s="4"/>
      <c r="BR335" s="8"/>
      <c r="BS335" s="7"/>
      <c r="BT335" s="7"/>
      <c r="BU335" s="2" t="s">
        <v>2154</v>
      </c>
      <c r="BV335" s="2" t="s">
        <v>233</v>
      </c>
      <c r="BW335" s="2" t="s">
        <v>233</v>
      </c>
      <c r="BX335" s="2" t="s">
        <v>241</v>
      </c>
      <c r="BY335" s="2" t="s">
        <v>242</v>
      </c>
      <c r="BZ335" s="2" t="s">
        <v>230</v>
      </c>
      <c r="CA335" s="2" t="s">
        <v>2155</v>
      </c>
      <c r="CB335" s="2" t="s">
        <v>2163</v>
      </c>
      <c r="CC335" s="2" t="s">
        <v>245</v>
      </c>
      <c r="CD335" s="2" t="s">
        <v>233</v>
      </c>
      <c r="CE335" s="4">
        <v>412</v>
      </c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>
        <v>80</v>
      </c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>
        <v>414</v>
      </c>
      <c r="GD335" s="4">
        <v>357</v>
      </c>
      <c r="GE335" s="4">
        <v>330</v>
      </c>
      <c r="GF335" s="4">
        <v>305</v>
      </c>
      <c r="GG335" s="4">
        <v>255</v>
      </c>
      <c r="GH335" s="4">
        <v>313</v>
      </c>
      <c r="GI335" s="4">
        <v>293</v>
      </c>
      <c r="GJ335" s="4">
        <v>279</v>
      </c>
      <c r="GK335" s="4">
        <v>270</v>
      </c>
      <c r="GL335" s="4">
        <v>259</v>
      </c>
      <c r="GM335" s="4">
        <v>250</v>
      </c>
      <c r="GN335" s="4">
        <v>242</v>
      </c>
      <c r="GO335" s="4">
        <v>233</v>
      </c>
      <c r="GP335" s="4">
        <v>224</v>
      </c>
      <c r="GQ335" s="4">
        <v>215</v>
      </c>
      <c r="GR335" s="4">
        <v>201</v>
      </c>
      <c r="GS335" s="4">
        <v>187</v>
      </c>
      <c r="GT335" s="4">
        <v>172</v>
      </c>
      <c r="GU335" s="4">
        <v>158</v>
      </c>
      <c r="GV335" s="4">
        <v>142</v>
      </c>
      <c r="GW335" s="4">
        <v>126</v>
      </c>
      <c r="GX335" s="4">
        <v>112</v>
      </c>
      <c r="GY335" s="4">
        <v>98</v>
      </c>
      <c r="GZ335" s="4">
        <v>84</v>
      </c>
      <c r="HA335" s="4">
        <v>70</v>
      </c>
      <c r="HB335" s="4">
        <v>100</v>
      </c>
      <c r="HC335" s="19">
        <v>10.4</v>
      </c>
      <c r="HD335" s="19">
        <v>11.5</v>
      </c>
      <c r="HE335" s="19">
        <v>11.4</v>
      </c>
      <c r="HF335" s="19">
        <v>11.7</v>
      </c>
      <c r="HG335" s="19">
        <v>15.9</v>
      </c>
      <c r="HH335" s="19">
        <v>22.4</v>
      </c>
      <c r="HI335" s="19">
        <v>26.6</v>
      </c>
      <c r="HJ335" s="19">
        <v>31</v>
      </c>
      <c r="HK335" s="19">
        <v>30</v>
      </c>
      <c r="HL335" s="19">
        <v>28.8</v>
      </c>
      <c r="HM335" s="19">
        <v>27.8</v>
      </c>
      <c r="HN335" s="19">
        <v>24.2</v>
      </c>
      <c r="HO335" s="19">
        <v>19.4</v>
      </c>
      <c r="HP335" s="19">
        <v>17.2</v>
      </c>
      <c r="HQ335" s="19">
        <v>15.4</v>
      </c>
      <c r="HR335" s="19">
        <v>13.4</v>
      </c>
      <c r="HS335" s="19">
        <v>12.5</v>
      </c>
      <c r="HT335" s="19">
        <v>11.5</v>
      </c>
      <c r="HU335" s="19">
        <v>10.5</v>
      </c>
      <c r="HV335" s="19">
        <v>10.1</v>
      </c>
      <c r="HW335" s="19">
        <v>9</v>
      </c>
      <c r="HX335" s="19">
        <v>8</v>
      </c>
      <c r="HY335" s="19">
        <v>7</v>
      </c>
      <c r="HZ335" s="19">
        <v>6</v>
      </c>
      <c r="IA335" s="19">
        <v>5.8</v>
      </c>
      <c r="IB335" s="19">
        <v>9.1</v>
      </c>
    </row>
    <row r="336">
      <c r="A336" s="2" t="s">
        <v>2174</v>
      </c>
      <c r="B336" s="2" t="s">
        <v>938</v>
      </c>
      <c r="C336" s="2" t="s">
        <v>1318</v>
      </c>
      <c r="D336" s="2" t="s">
        <v>972</v>
      </c>
      <c r="E336" s="2" t="s">
        <v>1092</v>
      </c>
      <c r="F336" s="2" t="s">
        <v>2175</v>
      </c>
      <c r="G336" s="2" t="s">
        <v>1786</v>
      </c>
      <c r="H336" s="2" t="s">
        <v>1987</v>
      </c>
      <c r="I336" s="2" t="s">
        <v>2176</v>
      </c>
      <c r="J336" s="2" t="s">
        <v>2177</v>
      </c>
      <c r="K336" s="2" t="s">
        <v>458</v>
      </c>
      <c r="L336" s="3">
        <v>23.65</v>
      </c>
      <c r="M336" s="3">
        <v>24.83</v>
      </c>
      <c r="N336" s="3">
        <v>54.99</v>
      </c>
      <c r="O336" s="2" t="s">
        <v>230</v>
      </c>
      <c r="P336" s="2" t="s">
        <v>231</v>
      </c>
      <c r="Q336" s="2" t="s">
        <v>232</v>
      </c>
      <c r="R336" s="2" t="s">
        <v>233</v>
      </c>
      <c r="S336" s="2" t="s">
        <v>2178</v>
      </c>
      <c r="T336" s="2" t="s">
        <v>469</v>
      </c>
      <c r="U336" s="2" t="s">
        <v>711</v>
      </c>
      <c r="V336" s="2" t="s">
        <v>236</v>
      </c>
      <c r="W336" s="2" t="s">
        <v>620</v>
      </c>
      <c r="X336" s="2" t="s">
        <v>2130</v>
      </c>
      <c r="Y336" s="2" t="s">
        <v>2179</v>
      </c>
      <c r="Z336" s="4">
        <v>307</v>
      </c>
      <c r="AA336" s="4">
        <f>=ROUNDDOWN(61.4,0)</f>
      </c>
      <c r="AB336" s="5">
        <v>5</v>
      </c>
      <c r="AC336" s="2" t="s">
        <v>233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233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233</v>
      </c>
      <c r="AW336" s="8" t="s">
        <v>233</v>
      </c>
      <c r="AX336" s="4" t="s">
        <v>233</v>
      </c>
      <c r="AY336" s="8" t="s">
        <v>233</v>
      </c>
      <c r="AZ336" s="7" t="s">
        <v>233</v>
      </c>
      <c r="BA336" s="7" t="s">
        <v>233</v>
      </c>
      <c r="BB336" s="7"/>
      <c r="BC336" s="4" t="s">
        <v>233</v>
      </c>
      <c r="BD336" s="8" t="s">
        <v>233</v>
      </c>
      <c r="BE336" s="4" t="s">
        <v>233</v>
      </c>
      <c r="BF336" s="8" t="s">
        <v>233</v>
      </c>
      <c r="BG336" s="7" t="s">
        <v>233</v>
      </c>
      <c r="BH336" s="7" t="s">
        <v>233</v>
      </c>
      <c r="BI336" s="7"/>
      <c r="BJ336" s="4">
        <v>10</v>
      </c>
      <c r="BK336" s="8">
        <v>268.39</v>
      </c>
      <c r="BL336" s="2" t="s">
        <v>2180</v>
      </c>
      <c r="BM336" s="7"/>
      <c r="BN336" s="7"/>
      <c r="BO336" s="4"/>
      <c r="BP336" s="8"/>
      <c r="BQ336" s="4"/>
      <c r="BR336" s="8"/>
      <c r="BS336" s="7"/>
      <c r="BT336" s="7"/>
      <c r="BU336" s="2" t="s">
        <v>2181</v>
      </c>
      <c r="BV336" s="2" t="s">
        <v>233</v>
      </c>
      <c r="BW336" s="2" t="s">
        <v>233</v>
      </c>
      <c r="BX336" s="2" t="s">
        <v>241</v>
      </c>
      <c r="BY336" s="2" t="s">
        <v>242</v>
      </c>
      <c r="BZ336" s="2" t="s">
        <v>230</v>
      </c>
      <c r="CA336" s="2" t="s">
        <v>2182</v>
      </c>
      <c r="CB336" s="2" t="s">
        <v>2183</v>
      </c>
      <c r="CC336" s="2" t="s">
        <v>245</v>
      </c>
      <c r="CD336" s="2" t="s">
        <v>233</v>
      </c>
      <c r="CE336" s="4">
        <v>83</v>
      </c>
      <c r="CF336" s="4"/>
      <c r="CG336" s="4"/>
      <c r="CH336" s="4">
        <v>224</v>
      </c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>
        <v>309</v>
      </c>
      <c r="GD336" s="4">
        <v>292</v>
      </c>
      <c r="GE336" s="4">
        <v>285</v>
      </c>
      <c r="GF336" s="4">
        <v>279</v>
      </c>
      <c r="GG336" s="4">
        <v>271</v>
      </c>
      <c r="GH336" s="4">
        <v>265</v>
      </c>
      <c r="GI336" s="4">
        <v>257</v>
      </c>
      <c r="GJ336" s="4">
        <v>252</v>
      </c>
      <c r="GK336" s="4">
        <v>246</v>
      </c>
      <c r="GL336" s="4">
        <v>241</v>
      </c>
      <c r="GM336" s="4">
        <v>236</v>
      </c>
      <c r="GN336" s="4">
        <v>231</v>
      </c>
      <c r="GO336" s="4">
        <v>226</v>
      </c>
      <c r="GP336" s="4">
        <v>221</v>
      </c>
      <c r="GQ336" s="4">
        <v>216</v>
      </c>
      <c r="GR336" s="4">
        <v>211</v>
      </c>
      <c r="GS336" s="4">
        <v>206</v>
      </c>
      <c r="GT336" s="4">
        <v>200</v>
      </c>
      <c r="GU336" s="4">
        <v>195</v>
      </c>
      <c r="GV336" s="4">
        <v>190</v>
      </c>
      <c r="GW336" s="4">
        <v>185</v>
      </c>
      <c r="GX336" s="4">
        <v>180</v>
      </c>
      <c r="GY336" s="4">
        <v>175</v>
      </c>
      <c r="GZ336" s="4">
        <v>170</v>
      </c>
      <c r="HA336" s="4">
        <v>165</v>
      </c>
      <c r="HB336" s="4">
        <v>160</v>
      </c>
      <c r="HC336" s="19">
        <v>30.9</v>
      </c>
      <c r="HD336" s="19">
        <v>41.7</v>
      </c>
      <c r="HE336" s="19">
        <v>40.7</v>
      </c>
      <c r="HF336" s="19">
        <v>39.9</v>
      </c>
      <c r="HG336" s="19">
        <v>45.2</v>
      </c>
      <c r="HH336" s="19">
        <v>44.2</v>
      </c>
      <c r="HI336" s="19">
        <v>51.4</v>
      </c>
      <c r="HJ336" s="19">
        <v>50.4</v>
      </c>
      <c r="HK336" s="19">
        <v>49.2</v>
      </c>
      <c r="HL336" s="19">
        <v>48.2</v>
      </c>
      <c r="HM336" s="19">
        <v>47.2</v>
      </c>
      <c r="HN336" s="19">
        <v>46.2</v>
      </c>
      <c r="HO336" s="19">
        <v>45.2</v>
      </c>
      <c r="HP336" s="19">
        <v>44.2</v>
      </c>
      <c r="HQ336" s="19">
        <v>43.2</v>
      </c>
      <c r="HR336" s="19">
        <v>42.2</v>
      </c>
      <c r="HS336" s="19">
        <v>41.2</v>
      </c>
      <c r="HT336" s="19">
        <v>40</v>
      </c>
      <c r="HU336" s="19">
        <v>39</v>
      </c>
      <c r="HV336" s="19">
        <v>38</v>
      </c>
      <c r="HW336" s="19">
        <v>37</v>
      </c>
      <c r="HX336" s="19">
        <v>36</v>
      </c>
      <c r="HY336" s="19">
        <v>35</v>
      </c>
      <c r="HZ336" s="19">
        <v>34</v>
      </c>
      <c r="IA336" s="19">
        <v>33</v>
      </c>
      <c r="IB336" s="19">
        <v>32</v>
      </c>
    </row>
    <row r="337">
      <c r="A337" s="2" t="s">
        <v>2184</v>
      </c>
      <c r="B337" s="2" t="s">
        <v>938</v>
      </c>
      <c r="C337" s="2" t="s">
        <v>1318</v>
      </c>
      <c r="D337" s="2" t="s">
        <v>972</v>
      </c>
      <c r="E337" s="2" t="s">
        <v>1092</v>
      </c>
      <c r="F337" s="2" t="s">
        <v>2175</v>
      </c>
      <c r="G337" s="2" t="s">
        <v>1786</v>
      </c>
      <c r="H337" s="2" t="s">
        <v>1987</v>
      </c>
      <c r="I337" s="2" t="s">
        <v>2176</v>
      </c>
      <c r="J337" s="2" t="s">
        <v>2185</v>
      </c>
      <c r="K337" s="2" t="s">
        <v>458</v>
      </c>
      <c r="L337" s="3">
        <v>25.8</v>
      </c>
      <c r="M337" s="3">
        <v>27.09</v>
      </c>
      <c r="N337" s="3">
        <v>59.99</v>
      </c>
      <c r="O337" s="2" t="s">
        <v>230</v>
      </c>
      <c r="P337" s="2" t="s">
        <v>231</v>
      </c>
      <c r="Q337" s="2" t="s">
        <v>232</v>
      </c>
      <c r="R337" s="2" t="s">
        <v>233</v>
      </c>
      <c r="S337" s="2" t="s">
        <v>2178</v>
      </c>
      <c r="T337" s="2" t="s">
        <v>469</v>
      </c>
      <c r="U337" s="2" t="s">
        <v>711</v>
      </c>
      <c r="V337" s="2" t="s">
        <v>236</v>
      </c>
      <c r="W337" s="2" t="s">
        <v>620</v>
      </c>
      <c r="X337" s="2" t="s">
        <v>2130</v>
      </c>
      <c r="Y337" s="2" t="s">
        <v>2179</v>
      </c>
      <c r="Z337" s="4">
        <v>312</v>
      </c>
      <c r="AA337" s="4">
        <f>=ROUNDDOWN(44.5714285714286,0)</f>
      </c>
      <c r="AB337" s="5">
        <v>7</v>
      </c>
      <c r="AC337" s="2" t="s">
        <v>233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233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233</v>
      </c>
      <c r="AW337" s="8" t="s">
        <v>233</v>
      </c>
      <c r="AX337" s="4" t="s">
        <v>233</v>
      </c>
      <c r="AY337" s="8" t="s">
        <v>233</v>
      </c>
      <c r="AZ337" s="7" t="s">
        <v>233</v>
      </c>
      <c r="BA337" s="7" t="s">
        <v>233</v>
      </c>
      <c r="BB337" s="7"/>
      <c r="BC337" s="4" t="s">
        <v>233</v>
      </c>
      <c r="BD337" s="8" t="s">
        <v>233</v>
      </c>
      <c r="BE337" s="4" t="s">
        <v>233</v>
      </c>
      <c r="BF337" s="8" t="s">
        <v>233</v>
      </c>
      <c r="BG337" s="7" t="s">
        <v>233</v>
      </c>
      <c r="BH337" s="7" t="s">
        <v>233</v>
      </c>
      <c r="BI337" s="7"/>
      <c r="BJ337" s="4">
        <v>17</v>
      </c>
      <c r="BK337" s="8">
        <v>595.89</v>
      </c>
      <c r="BL337" s="2" t="s">
        <v>2186</v>
      </c>
      <c r="BM337" s="7"/>
      <c r="BN337" s="7"/>
      <c r="BO337" s="4"/>
      <c r="BP337" s="8"/>
      <c r="BQ337" s="4"/>
      <c r="BR337" s="8"/>
      <c r="BS337" s="7"/>
      <c r="BT337" s="7"/>
      <c r="BU337" s="2" t="s">
        <v>2181</v>
      </c>
      <c r="BV337" s="2" t="s">
        <v>233</v>
      </c>
      <c r="BW337" s="2" t="s">
        <v>233</v>
      </c>
      <c r="BX337" s="2" t="s">
        <v>241</v>
      </c>
      <c r="BY337" s="2" t="s">
        <v>242</v>
      </c>
      <c r="BZ337" s="2" t="s">
        <v>230</v>
      </c>
      <c r="CA337" s="2" t="s">
        <v>2182</v>
      </c>
      <c r="CB337" s="2" t="s">
        <v>1134</v>
      </c>
      <c r="CC337" s="2" t="s">
        <v>245</v>
      </c>
      <c r="CD337" s="2" t="s">
        <v>233</v>
      </c>
      <c r="CE337" s="4">
        <v>312</v>
      </c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>
        <v>313</v>
      </c>
      <c r="GD337" s="4">
        <v>295</v>
      </c>
      <c r="GE337" s="4">
        <v>284</v>
      </c>
      <c r="GF337" s="4">
        <v>275</v>
      </c>
      <c r="GG337" s="4">
        <v>263</v>
      </c>
      <c r="GH337" s="4">
        <v>254</v>
      </c>
      <c r="GI337" s="4">
        <v>243</v>
      </c>
      <c r="GJ337" s="4">
        <v>236</v>
      </c>
      <c r="GK337" s="4">
        <v>228</v>
      </c>
      <c r="GL337" s="4">
        <v>221</v>
      </c>
      <c r="GM337" s="4">
        <v>214</v>
      </c>
      <c r="GN337" s="4">
        <v>207</v>
      </c>
      <c r="GO337" s="4">
        <v>200</v>
      </c>
      <c r="GP337" s="4">
        <v>193</v>
      </c>
      <c r="GQ337" s="4">
        <v>186</v>
      </c>
      <c r="GR337" s="4">
        <v>179</v>
      </c>
      <c r="GS337" s="4">
        <v>172</v>
      </c>
      <c r="GT337" s="4">
        <v>164</v>
      </c>
      <c r="GU337" s="4">
        <v>157</v>
      </c>
      <c r="GV337" s="4">
        <v>150</v>
      </c>
      <c r="GW337" s="4">
        <v>143</v>
      </c>
      <c r="GX337" s="4">
        <v>136</v>
      </c>
      <c r="GY337" s="4">
        <v>129</v>
      </c>
      <c r="GZ337" s="4">
        <v>122</v>
      </c>
      <c r="HA337" s="4">
        <v>115</v>
      </c>
      <c r="HB337" s="4">
        <v>108</v>
      </c>
      <c r="HC337" s="19">
        <v>26.1</v>
      </c>
      <c r="HD337" s="19">
        <v>29.5</v>
      </c>
      <c r="HE337" s="19">
        <v>28.4</v>
      </c>
      <c r="HF337" s="19">
        <v>27.5</v>
      </c>
      <c r="HG337" s="19">
        <v>29.2</v>
      </c>
      <c r="HH337" s="19">
        <v>31.8</v>
      </c>
      <c r="HI337" s="19">
        <v>34.7</v>
      </c>
      <c r="HJ337" s="19">
        <v>33.7</v>
      </c>
      <c r="HK337" s="19">
        <v>32.6</v>
      </c>
      <c r="HL337" s="19">
        <v>31.6</v>
      </c>
      <c r="HM337" s="19">
        <v>30.6</v>
      </c>
      <c r="HN337" s="19">
        <v>29.6</v>
      </c>
      <c r="HO337" s="19">
        <v>28.6</v>
      </c>
      <c r="HP337" s="19">
        <v>27.6</v>
      </c>
      <c r="HQ337" s="19">
        <v>26.6</v>
      </c>
      <c r="HR337" s="19">
        <v>25.6</v>
      </c>
      <c r="HS337" s="19">
        <v>24.6</v>
      </c>
      <c r="HT337" s="19">
        <v>23.4</v>
      </c>
      <c r="HU337" s="19">
        <v>22.4</v>
      </c>
      <c r="HV337" s="19">
        <v>21.4</v>
      </c>
      <c r="HW337" s="19">
        <v>20.4</v>
      </c>
      <c r="HX337" s="19">
        <v>19.4</v>
      </c>
      <c r="HY337" s="19">
        <v>18.4</v>
      </c>
      <c r="HZ337" s="19">
        <v>17.4</v>
      </c>
      <c r="IA337" s="19">
        <v>16.4</v>
      </c>
      <c r="IB337" s="19">
        <v>15.4</v>
      </c>
    </row>
    <row r="338">
      <c r="A338" s="2" t="s">
        <v>2187</v>
      </c>
      <c r="B338" s="2" t="s">
        <v>938</v>
      </c>
      <c r="C338" s="2" t="s">
        <v>280</v>
      </c>
      <c r="D338" s="2" t="s">
        <v>972</v>
      </c>
      <c r="E338" s="2" t="s">
        <v>2188</v>
      </c>
      <c r="F338" s="2" t="s">
        <v>2175</v>
      </c>
      <c r="G338" s="2" t="s">
        <v>1786</v>
      </c>
      <c r="H338" s="2" t="s">
        <v>1987</v>
      </c>
      <c r="I338" s="2" t="s">
        <v>2189</v>
      </c>
      <c r="J338" s="2" t="s">
        <v>2190</v>
      </c>
      <c r="K338" s="2" t="s">
        <v>458</v>
      </c>
      <c r="L338" s="3">
        <v>27</v>
      </c>
      <c r="M338" s="3">
        <v>28.35</v>
      </c>
      <c r="N338" s="3">
        <v>59.99</v>
      </c>
      <c r="O338" s="2" t="s">
        <v>230</v>
      </c>
      <c r="P338" s="2" t="s">
        <v>231</v>
      </c>
      <c r="Q338" s="2" t="s">
        <v>232</v>
      </c>
      <c r="R338" s="2" t="s">
        <v>233</v>
      </c>
      <c r="S338" s="2" t="s">
        <v>2178</v>
      </c>
      <c r="T338" s="2" t="s">
        <v>469</v>
      </c>
      <c r="U338" s="2" t="s">
        <v>329</v>
      </c>
      <c r="V338" s="2" t="s">
        <v>236</v>
      </c>
      <c r="W338" s="2" t="s">
        <v>620</v>
      </c>
      <c r="X338" s="2" t="s">
        <v>233</v>
      </c>
      <c r="Y338" s="2" t="s">
        <v>2191</v>
      </c>
      <c r="Z338" s="4">
        <v>109</v>
      </c>
      <c r="AA338" s="4">
        <f>=ROUNDDOWN(18.1666666666667,0)</f>
      </c>
      <c r="AB338" s="5">
        <v>6</v>
      </c>
      <c r="AC338" s="2" t="s">
        <v>2192</v>
      </c>
      <c r="AD338" s="4">
        <v>84</v>
      </c>
      <c r="AE338" s="4">
        <v>84</v>
      </c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233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233</v>
      </c>
      <c r="AW338" s="8" t="s">
        <v>233</v>
      </c>
      <c r="AX338" s="4" t="s">
        <v>233</v>
      </c>
      <c r="AY338" s="8" t="s">
        <v>233</v>
      </c>
      <c r="AZ338" s="7" t="s">
        <v>233</v>
      </c>
      <c r="BA338" s="7" t="s">
        <v>233</v>
      </c>
      <c r="BB338" s="7"/>
      <c r="BC338" s="4" t="s">
        <v>233</v>
      </c>
      <c r="BD338" s="8" t="s">
        <v>233</v>
      </c>
      <c r="BE338" s="4" t="s">
        <v>233</v>
      </c>
      <c r="BF338" s="8" t="s">
        <v>233</v>
      </c>
      <c r="BG338" s="7" t="s">
        <v>233</v>
      </c>
      <c r="BH338" s="7" t="s">
        <v>233</v>
      </c>
      <c r="BI338" s="7"/>
      <c r="BJ338" s="4">
        <v>11</v>
      </c>
      <c r="BK338" s="8">
        <v>340.85</v>
      </c>
      <c r="BL338" s="2" t="s">
        <v>2193</v>
      </c>
      <c r="BM338" s="7"/>
      <c r="BN338" s="7"/>
      <c r="BO338" s="4"/>
      <c r="BP338" s="8"/>
      <c r="BQ338" s="4"/>
      <c r="BR338" s="8"/>
      <c r="BS338" s="7"/>
      <c r="BT338" s="7"/>
      <c r="BU338" s="2" t="s">
        <v>2194</v>
      </c>
      <c r="BV338" s="2" t="s">
        <v>233</v>
      </c>
      <c r="BW338" s="2" t="s">
        <v>233</v>
      </c>
      <c r="BX338" s="2" t="s">
        <v>241</v>
      </c>
      <c r="BY338" s="2" t="s">
        <v>242</v>
      </c>
      <c r="BZ338" s="2" t="s">
        <v>230</v>
      </c>
      <c r="CA338" s="2" t="s">
        <v>2195</v>
      </c>
      <c r="CB338" s="2" t="s">
        <v>2196</v>
      </c>
      <c r="CC338" s="2" t="s">
        <v>245</v>
      </c>
      <c r="CD338" s="2" t="s">
        <v>233</v>
      </c>
      <c r="CE338" s="4">
        <v>109</v>
      </c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>
        <v>84</v>
      </c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>
        <v>109</v>
      </c>
      <c r="GD338" s="4">
        <v>107</v>
      </c>
      <c r="GE338" s="4">
        <v>104</v>
      </c>
      <c r="GF338" s="4">
        <v>102</v>
      </c>
      <c r="GG338" s="4">
        <v>97</v>
      </c>
      <c r="GH338" s="4">
        <v>91</v>
      </c>
      <c r="GI338" s="4">
        <v>85</v>
      </c>
      <c r="GJ338" s="4">
        <v>79</v>
      </c>
      <c r="GK338" s="4">
        <v>73</v>
      </c>
      <c r="GL338" s="4">
        <v>67</v>
      </c>
      <c r="GM338" s="4">
        <v>60</v>
      </c>
      <c r="GN338" s="4">
        <v>138</v>
      </c>
      <c r="GO338" s="4">
        <v>132</v>
      </c>
      <c r="GP338" s="4">
        <v>126</v>
      </c>
      <c r="GQ338" s="4">
        <v>120</v>
      </c>
      <c r="GR338" s="4">
        <v>114</v>
      </c>
      <c r="GS338" s="4">
        <v>108</v>
      </c>
      <c r="GT338" s="4">
        <v>102</v>
      </c>
      <c r="GU338" s="4">
        <v>96</v>
      </c>
      <c r="GV338" s="4">
        <v>90</v>
      </c>
      <c r="GW338" s="4">
        <v>84</v>
      </c>
      <c r="GX338" s="4">
        <v>78</v>
      </c>
      <c r="GY338" s="4">
        <v>72</v>
      </c>
      <c r="GZ338" s="4">
        <v>66</v>
      </c>
      <c r="HA338" s="4">
        <v>59</v>
      </c>
      <c r="HB338" s="4">
        <v>53</v>
      </c>
      <c r="HC338" s="19">
        <v>36.3</v>
      </c>
      <c r="HD338" s="19">
        <v>26.8</v>
      </c>
      <c r="HE338" s="19">
        <v>20.8</v>
      </c>
      <c r="HF338" s="19">
        <v>17</v>
      </c>
      <c r="HG338" s="19">
        <v>16.2</v>
      </c>
      <c r="HH338" s="19">
        <v>15.2</v>
      </c>
      <c r="HI338" s="19">
        <v>14.2</v>
      </c>
      <c r="HJ338" s="19">
        <v>13.2</v>
      </c>
      <c r="HK338" s="19">
        <v>12.2</v>
      </c>
      <c r="HL338" s="19">
        <v>11.2</v>
      </c>
      <c r="HM338" s="19">
        <v>10</v>
      </c>
      <c r="HN338" s="19">
        <v>23</v>
      </c>
      <c r="HO338" s="19">
        <v>22</v>
      </c>
      <c r="HP338" s="19">
        <v>21</v>
      </c>
      <c r="HQ338" s="19">
        <v>20</v>
      </c>
      <c r="HR338" s="19">
        <v>19</v>
      </c>
      <c r="HS338" s="19">
        <v>18</v>
      </c>
      <c r="HT338" s="19">
        <v>17</v>
      </c>
      <c r="HU338" s="19">
        <v>16</v>
      </c>
      <c r="HV338" s="19">
        <v>15</v>
      </c>
      <c r="HW338" s="19">
        <v>14</v>
      </c>
      <c r="HX338" s="19">
        <v>13</v>
      </c>
      <c r="HY338" s="19">
        <v>12</v>
      </c>
      <c r="HZ338" s="19">
        <v>11</v>
      </c>
      <c r="IA338" s="19">
        <v>9.8</v>
      </c>
      <c r="IB338" s="19">
        <v>8.8</v>
      </c>
    </row>
    <row r="339">
      <c r="A339" s="2" t="s">
        <v>2197</v>
      </c>
      <c r="B339" s="2" t="s">
        <v>938</v>
      </c>
      <c r="C339" s="2" t="s">
        <v>280</v>
      </c>
      <c r="D339" s="2" t="s">
        <v>972</v>
      </c>
      <c r="E339" s="2" t="s">
        <v>2188</v>
      </c>
      <c r="F339" s="2" t="s">
        <v>2175</v>
      </c>
      <c r="G339" s="2" t="s">
        <v>1786</v>
      </c>
      <c r="H339" s="2" t="s">
        <v>1987</v>
      </c>
      <c r="I339" s="2" t="s">
        <v>2189</v>
      </c>
      <c r="J339" s="2" t="s">
        <v>2198</v>
      </c>
      <c r="K339" s="2" t="s">
        <v>458</v>
      </c>
      <c r="L339" s="3">
        <v>32.2</v>
      </c>
      <c r="M339" s="3">
        <v>33.81</v>
      </c>
      <c r="N339" s="3">
        <v>69.99</v>
      </c>
      <c r="O339" s="2" t="s">
        <v>230</v>
      </c>
      <c r="P339" s="2" t="s">
        <v>231</v>
      </c>
      <c r="Q339" s="2" t="s">
        <v>232</v>
      </c>
      <c r="R339" s="2" t="s">
        <v>233</v>
      </c>
      <c r="S339" s="2" t="s">
        <v>2178</v>
      </c>
      <c r="T339" s="2" t="s">
        <v>469</v>
      </c>
      <c r="U339" s="2" t="s">
        <v>329</v>
      </c>
      <c r="V339" s="2" t="s">
        <v>236</v>
      </c>
      <c r="W339" s="2" t="s">
        <v>620</v>
      </c>
      <c r="X339" s="2" t="s">
        <v>233</v>
      </c>
      <c r="Y339" s="2" t="s">
        <v>2191</v>
      </c>
      <c r="Z339" s="4">
        <v>70</v>
      </c>
      <c r="AA339" s="4">
        <f>=ROUNDDOWN(11.6666666666667,0)</f>
      </c>
      <c r="AB339" s="5">
        <v>6</v>
      </c>
      <c r="AC339" s="2" t="s">
        <v>139</v>
      </c>
      <c r="AD339" s="4">
        <v>210</v>
      </c>
      <c r="AE339" s="4">
        <v>342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233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233</v>
      </c>
      <c r="AW339" s="8" t="s">
        <v>233</v>
      </c>
      <c r="AX339" s="4" t="s">
        <v>233</v>
      </c>
      <c r="AY339" s="8" t="s">
        <v>233</v>
      </c>
      <c r="AZ339" s="7" t="s">
        <v>233</v>
      </c>
      <c r="BA339" s="7" t="s">
        <v>233</v>
      </c>
      <c r="BB339" s="7"/>
      <c r="BC339" s="4" t="s">
        <v>233</v>
      </c>
      <c r="BD339" s="8" t="s">
        <v>233</v>
      </c>
      <c r="BE339" s="4" t="s">
        <v>233</v>
      </c>
      <c r="BF339" s="8" t="s">
        <v>233</v>
      </c>
      <c r="BG339" s="7" t="s">
        <v>233</v>
      </c>
      <c r="BH339" s="7" t="s">
        <v>233</v>
      </c>
      <c r="BI339" s="7"/>
      <c r="BJ339" s="4">
        <v>10</v>
      </c>
      <c r="BK339" s="8">
        <v>368.14</v>
      </c>
      <c r="BL339" s="2" t="s">
        <v>2199</v>
      </c>
      <c r="BM339" s="7"/>
      <c r="BN339" s="7"/>
      <c r="BO339" s="4"/>
      <c r="BP339" s="8"/>
      <c r="BQ339" s="4"/>
      <c r="BR339" s="8"/>
      <c r="BS339" s="7"/>
      <c r="BT339" s="7"/>
      <c r="BU339" s="2" t="s">
        <v>2194</v>
      </c>
      <c r="BV339" s="2" t="s">
        <v>233</v>
      </c>
      <c r="BW339" s="2" t="s">
        <v>233</v>
      </c>
      <c r="BX339" s="2" t="s">
        <v>241</v>
      </c>
      <c r="BY339" s="2" t="s">
        <v>242</v>
      </c>
      <c r="BZ339" s="2" t="s">
        <v>230</v>
      </c>
      <c r="CA339" s="2" t="s">
        <v>2195</v>
      </c>
      <c r="CB339" s="2" t="s">
        <v>2200</v>
      </c>
      <c r="CC339" s="2" t="s">
        <v>245</v>
      </c>
      <c r="CD339" s="2" t="s">
        <v>233</v>
      </c>
      <c r="CE339" s="4">
        <v>70</v>
      </c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>
        <v>210</v>
      </c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>
        <v>132</v>
      </c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>
        <v>70</v>
      </c>
      <c r="GD339" s="4">
        <v>66</v>
      </c>
      <c r="GE339" s="4">
        <v>272</v>
      </c>
      <c r="GF339" s="4">
        <v>268</v>
      </c>
      <c r="GG339" s="4">
        <v>263</v>
      </c>
      <c r="GH339" s="4">
        <v>260</v>
      </c>
      <c r="GI339" s="4">
        <v>254</v>
      </c>
      <c r="GJ339" s="4">
        <v>248</v>
      </c>
      <c r="GK339" s="4">
        <v>242</v>
      </c>
      <c r="GL339" s="4">
        <v>236</v>
      </c>
      <c r="GM339" s="4">
        <v>229</v>
      </c>
      <c r="GN339" s="4">
        <v>355</v>
      </c>
      <c r="GO339" s="4">
        <v>349</v>
      </c>
      <c r="GP339" s="4">
        <v>343</v>
      </c>
      <c r="GQ339" s="4">
        <v>337</v>
      </c>
      <c r="GR339" s="4">
        <v>331</v>
      </c>
      <c r="GS339" s="4">
        <v>325</v>
      </c>
      <c r="GT339" s="4">
        <v>318</v>
      </c>
      <c r="GU339" s="4">
        <v>312</v>
      </c>
      <c r="GV339" s="4">
        <v>306</v>
      </c>
      <c r="GW339" s="4">
        <v>300</v>
      </c>
      <c r="GX339" s="4">
        <v>294</v>
      </c>
      <c r="GY339" s="4">
        <v>288</v>
      </c>
      <c r="GZ339" s="4">
        <v>282</v>
      </c>
      <c r="HA339" s="4">
        <v>275</v>
      </c>
      <c r="HB339" s="4">
        <v>269</v>
      </c>
      <c r="HC339" s="19">
        <v>17.5</v>
      </c>
      <c r="HD339" s="19">
        <v>16.5</v>
      </c>
      <c r="HE339" s="19">
        <v>68</v>
      </c>
      <c r="HF339" s="19">
        <v>53.6</v>
      </c>
      <c r="HG339" s="19">
        <v>52.6</v>
      </c>
      <c r="HH339" s="19">
        <v>43.3</v>
      </c>
      <c r="HI339" s="19">
        <v>42.3</v>
      </c>
      <c r="HJ339" s="19">
        <v>41.3</v>
      </c>
      <c r="HK339" s="19">
        <v>40.3</v>
      </c>
      <c r="HL339" s="19">
        <v>39.3</v>
      </c>
      <c r="HM339" s="19">
        <v>38.2</v>
      </c>
      <c r="HN339" s="19">
        <v>59.2</v>
      </c>
      <c r="HO339" s="19">
        <v>58.2</v>
      </c>
      <c r="HP339" s="19">
        <v>57.2</v>
      </c>
      <c r="HQ339" s="19">
        <v>56.2</v>
      </c>
      <c r="HR339" s="19">
        <v>55.2</v>
      </c>
      <c r="HS339" s="19">
        <v>54.2</v>
      </c>
      <c r="HT339" s="19">
        <v>53</v>
      </c>
      <c r="HU339" s="19">
        <v>52</v>
      </c>
      <c r="HV339" s="19">
        <v>51</v>
      </c>
      <c r="HW339" s="19">
        <v>50</v>
      </c>
      <c r="HX339" s="19">
        <v>49</v>
      </c>
      <c r="HY339" s="19">
        <v>48</v>
      </c>
      <c r="HZ339" s="19">
        <v>47</v>
      </c>
      <c r="IA339" s="19">
        <v>45.8</v>
      </c>
      <c r="IB339" s="19">
        <v>44.8</v>
      </c>
    </row>
    <row r="340">
      <c r="A340" s="2" t="s">
        <v>2201</v>
      </c>
      <c r="B340" s="2" t="s">
        <v>938</v>
      </c>
      <c r="C340" s="2" t="s">
        <v>280</v>
      </c>
      <c r="D340" s="2" t="s">
        <v>972</v>
      </c>
      <c r="E340" s="2" t="s">
        <v>2188</v>
      </c>
      <c r="F340" s="2" t="s">
        <v>2175</v>
      </c>
      <c r="G340" s="2" t="s">
        <v>1786</v>
      </c>
      <c r="H340" s="2" t="s">
        <v>1987</v>
      </c>
      <c r="I340" s="2" t="s">
        <v>2189</v>
      </c>
      <c r="J340" s="2" t="s">
        <v>2202</v>
      </c>
      <c r="K340" s="2" t="s">
        <v>458</v>
      </c>
      <c r="L340" s="3">
        <v>34.5</v>
      </c>
      <c r="M340" s="3">
        <v>36.23</v>
      </c>
      <c r="N340" s="3">
        <v>74.99</v>
      </c>
      <c r="O340" s="2" t="s">
        <v>230</v>
      </c>
      <c r="P340" s="2" t="s">
        <v>231</v>
      </c>
      <c r="Q340" s="2" t="s">
        <v>232</v>
      </c>
      <c r="R340" s="2" t="s">
        <v>233</v>
      </c>
      <c r="S340" s="2" t="s">
        <v>2178</v>
      </c>
      <c r="T340" s="2" t="s">
        <v>469</v>
      </c>
      <c r="U340" s="2" t="s">
        <v>329</v>
      </c>
      <c r="V340" s="2" t="s">
        <v>236</v>
      </c>
      <c r="W340" s="2" t="s">
        <v>620</v>
      </c>
      <c r="X340" s="2" t="s">
        <v>233</v>
      </c>
      <c r="Y340" s="2" t="s">
        <v>2191</v>
      </c>
      <c r="Z340" s="4">
        <v>130</v>
      </c>
      <c r="AA340" s="4">
        <f>=ROUNDDOWN(18.5714285714286,0)</f>
      </c>
      <c r="AB340" s="5">
        <v>7</v>
      </c>
      <c r="AC340" s="2" t="s">
        <v>139</v>
      </c>
      <c r="AD340" s="4">
        <v>162</v>
      </c>
      <c r="AE340" s="4">
        <v>282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233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233</v>
      </c>
      <c r="AW340" s="8" t="s">
        <v>233</v>
      </c>
      <c r="AX340" s="4" t="s">
        <v>233</v>
      </c>
      <c r="AY340" s="8" t="s">
        <v>233</v>
      </c>
      <c r="AZ340" s="7" t="s">
        <v>233</v>
      </c>
      <c r="BA340" s="7" t="s">
        <v>233</v>
      </c>
      <c r="BB340" s="7"/>
      <c r="BC340" s="4" t="s">
        <v>233</v>
      </c>
      <c r="BD340" s="8" t="s">
        <v>233</v>
      </c>
      <c r="BE340" s="4" t="s">
        <v>233</v>
      </c>
      <c r="BF340" s="8" t="s">
        <v>233</v>
      </c>
      <c r="BG340" s="7" t="s">
        <v>233</v>
      </c>
      <c r="BH340" s="7" t="s">
        <v>233</v>
      </c>
      <c r="BI340" s="7"/>
      <c r="BJ340" s="4">
        <v>1</v>
      </c>
      <c r="BK340" s="8">
        <v>36.58</v>
      </c>
      <c r="BL340" s="2" t="s">
        <v>1634</v>
      </c>
      <c r="BM340" s="7"/>
      <c r="BN340" s="7"/>
      <c r="BO340" s="4"/>
      <c r="BP340" s="8"/>
      <c r="BQ340" s="4"/>
      <c r="BR340" s="8"/>
      <c r="BS340" s="7"/>
      <c r="BT340" s="7"/>
      <c r="BU340" s="2" t="s">
        <v>2194</v>
      </c>
      <c r="BV340" s="2" t="s">
        <v>233</v>
      </c>
      <c r="BW340" s="2" t="s">
        <v>233</v>
      </c>
      <c r="BX340" s="2" t="s">
        <v>241</v>
      </c>
      <c r="BY340" s="2" t="s">
        <v>242</v>
      </c>
      <c r="BZ340" s="2" t="s">
        <v>230</v>
      </c>
      <c r="CA340" s="2" t="s">
        <v>2195</v>
      </c>
      <c r="CB340" s="2" t="s">
        <v>2203</v>
      </c>
      <c r="CC340" s="2" t="s">
        <v>245</v>
      </c>
      <c r="CD340" s="2" t="s">
        <v>233</v>
      </c>
      <c r="CE340" s="4">
        <v>130</v>
      </c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>
        <v>162</v>
      </c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>
        <v>120</v>
      </c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>
        <v>133</v>
      </c>
      <c r="GD340" s="4">
        <v>126</v>
      </c>
      <c r="GE340" s="4">
        <v>284</v>
      </c>
      <c r="GF340" s="4">
        <v>276</v>
      </c>
      <c r="GG340" s="4">
        <v>267</v>
      </c>
      <c r="GH340" s="4">
        <v>260</v>
      </c>
      <c r="GI340" s="4">
        <v>252</v>
      </c>
      <c r="GJ340" s="4">
        <v>245</v>
      </c>
      <c r="GK340" s="4">
        <v>238</v>
      </c>
      <c r="GL340" s="4">
        <v>231</v>
      </c>
      <c r="GM340" s="4">
        <v>223</v>
      </c>
      <c r="GN340" s="4">
        <v>336</v>
      </c>
      <c r="GO340" s="4">
        <v>329</v>
      </c>
      <c r="GP340" s="4">
        <v>322</v>
      </c>
      <c r="GQ340" s="4">
        <v>315</v>
      </c>
      <c r="GR340" s="4">
        <v>308</v>
      </c>
      <c r="GS340" s="4">
        <v>301</v>
      </c>
      <c r="GT340" s="4">
        <v>293</v>
      </c>
      <c r="GU340" s="4">
        <v>286</v>
      </c>
      <c r="GV340" s="4">
        <v>279</v>
      </c>
      <c r="GW340" s="4">
        <v>272</v>
      </c>
      <c r="GX340" s="4">
        <v>265</v>
      </c>
      <c r="GY340" s="4">
        <v>258</v>
      </c>
      <c r="GZ340" s="4">
        <v>251</v>
      </c>
      <c r="HA340" s="4">
        <v>243</v>
      </c>
      <c r="HB340" s="4">
        <v>236</v>
      </c>
      <c r="HC340" s="19">
        <v>19</v>
      </c>
      <c r="HD340" s="19">
        <v>18</v>
      </c>
      <c r="HE340" s="19">
        <v>35.5</v>
      </c>
      <c r="HF340" s="19">
        <v>34.5</v>
      </c>
      <c r="HG340" s="19">
        <v>38.1</v>
      </c>
      <c r="HH340" s="19">
        <v>37.1</v>
      </c>
      <c r="HI340" s="19">
        <v>36</v>
      </c>
      <c r="HJ340" s="19">
        <v>35</v>
      </c>
      <c r="HK340" s="19">
        <v>34</v>
      </c>
      <c r="HL340" s="19">
        <v>33</v>
      </c>
      <c r="HM340" s="19">
        <v>31.9</v>
      </c>
      <c r="HN340" s="19">
        <v>48</v>
      </c>
      <c r="HO340" s="19">
        <v>47</v>
      </c>
      <c r="HP340" s="19">
        <v>46</v>
      </c>
      <c r="HQ340" s="19">
        <v>45</v>
      </c>
      <c r="HR340" s="19">
        <v>44</v>
      </c>
      <c r="HS340" s="19">
        <v>43</v>
      </c>
      <c r="HT340" s="19">
        <v>41.9</v>
      </c>
      <c r="HU340" s="19">
        <v>40.9</v>
      </c>
      <c r="HV340" s="19">
        <v>39.9</v>
      </c>
      <c r="HW340" s="19">
        <v>38.9</v>
      </c>
      <c r="HX340" s="19">
        <v>37.9</v>
      </c>
      <c r="HY340" s="19">
        <v>36.9</v>
      </c>
      <c r="HZ340" s="19">
        <v>35.9</v>
      </c>
      <c r="IA340" s="19">
        <v>34.7</v>
      </c>
      <c r="IB340" s="19">
        <v>33.7</v>
      </c>
    </row>
    <row r="341">
      <c r="A341" s="2" t="s">
        <v>2204</v>
      </c>
      <c r="B341" s="2" t="s">
        <v>938</v>
      </c>
      <c r="C341" s="2" t="s">
        <v>280</v>
      </c>
      <c r="D341" s="2" t="s">
        <v>972</v>
      </c>
      <c r="E341" s="2" t="s">
        <v>2188</v>
      </c>
      <c r="F341" s="2" t="s">
        <v>2175</v>
      </c>
      <c r="G341" s="2" t="s">
        <v>1786</v>
      </c>
      <c r="H341" s="2" t="s">
        <v>1987</v>
      </c>
      <c r="I341" s="2" t="s">
        <v>2189</v>
      </c>
      <c r="J341" s="2" t="s">
        <v>2205</v>
      </c>
      <c r="K341" s="2" t="s">
        <v>458</v>
      </c>
      <c r="L341" s="3">
        <v>38.4</v>
      </c>
      <c r="M341" s="3">
        <v>40.32</v>
      </c>
      <c r="N341" s="3">
        <v>79.99</v>
      </c>
      <c r="O341" s="2" t="s">
        <v>230</v>
      </c>
      <c r="P341" s="2" t="s">
        <v>231</v>
      </c>
      <c r="Q341" s="2" t="s">
        <v>232</v>
      </c>
      <c r="R341" s="2" t="s">
        <v>233</v>
      </c>
      <c r="S341" s="2" t="s">
        <v>2178</v>
      </c>
      <c r="T341" s="2" t="s">
        <v>469</v>
      </c>
      <c r="U341" s="2" t="s">
        <v>329</v>
      </c>
      <c r="V341" s="2" t="s">
        <v>236</v>
      </c>
      <c r="W341" s="2" t="s">
        <v>620</v>
      </c>
      <c r="X341" s="2" t="s">
        <v>233</v>
      </c>
      <c r="Y341" s="2" t="s">
        <v>2191</v>
      </c>
      <c r="Z341" s="4">
        <v>26</v>
      </c>
      <c r="AA341" s="4">
        <f>=ROUNDDOWN(5.2,0)</f>
      </c>
      <c r="AB341" s="5">
        <v>5</v>
      </c>
      <c r="AC341" s="2" t="s">
        <v>139</v>
      </c>
      <c r="AD341" s="4">
        <v>84</v>
      </c>
      <c r="AE341" s="4">
        <v>144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233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233</v>
      </c>
      <c r="AW341" s="8" t="s">
        <v>233</v>
      </c>
      <c r="AX341" s="4" t="s">
        <v>233</v>
      </c>
      <c r="AY341" s="8" t="s">
        <v>233</v>
      </c>
      <c r="AZ341" s="7" t="s">
        <v>233</v>
      </c>
      <c r="BA341" s="7" t="s">
        <v>233</v>
      </c>
      <c r="BB341" s="7"/>
      <c r="BC341" s="4" t="s">
        <v>233</v>
      </c>
      <c r="BD341" s="8" t="s">
        <v>233</v>
      </c>
      <c r="BE341" s="4" t="s">
        <v>233</v>
      </c>
      <c r="BF341" s="8" t="s">
        <v>233</v>
      </c>
      <c r="BG341" s="7" t="s">
        <v>233</v>
      </c>
      <c r="BH341" s="7" t="s">
        <v>233</v>
      </c>
      <c r="BI341" s="7"/>
      <c r="BJ341" s="4">
        <v>12</v>
      </c>
      <c r="BK341" s="8">
        <v>534.3</v>
      </c>
      <c r="BL341" s="2" t="s">
        <v>2060</v>
      </c>
      <c r="BM341" s="7"/>
      <c r="BN341" s="7"/>
      <c r="BO341" s="4"/>
      <c r="BP341" s="8"/>
      <c r="BQ341" s="4"/>
      <c r="BR341" s="8"/>
      <c r="BS341" s="7"/>
      <c r="BT341" s="7"/>
      <c r="BU341" s="2" t="s">
        <v>2194</v>
      </c>
      <c r="BV341" s="2" t="s">
        <v>233</v>
      </c>
      <c r="BW341" s="2" t="s">
        <v>233</v>
      </c>
      <c r="BX341" s="2" t="s">
        <v>241</v>
      </c>
      <c r="BY341" s="2" t="s">
        <v>242</v>
      </c>
      <c r="BZ341" s="2" t="s">
        <v>230</v>
      </c>
      <c r="CA341" s="2" t="s">
        <v>2195</v>
      </c>
      <c r="CB341" s="2" t="s">
        <v>2203</v>
      </c>
      <c r="CC341" s="2" t="s">
        <v>245</v>
      </c>
      <c r="CD341" s="2" t="s">
        <v>233</v>
      </c>
      <c r="CE341" s="4">
        <v>26</v>
      </c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>
        <v>84</v>
      </c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>
        <v>60</v>
      </c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>
        <v>37</v>
      </c>
      <c r="GD341" s="4">
        <v>18</v>
      </c>
      <c r="GE341" s="4">
        <v>98</v>
      </c>
      <c r="GF341" s="4">
        <v>93</v>
      </c>
      <c r="GG341" s="4">
        <v>87</v>
      </c>
      <c r="GH341" s="4">
        <v>82</v>
      </c>
      <c r="GI341" s="4">
        <v>77</v>
      </c>
      <c r="GJ341" s="4">
        <v>72</v>
      </c>
      <c r="GK341" s="4">
        <v>67</v>
      </c>
      <c r="GL341" s="4">
        <v>62</v>
      </c>
      <c r="GM341" s="4">
        <v>56</v>
      </c>
      <c r="GN341" s="4">
        <v>111</v>
      </c>
      <c r="GO341" s="4">
        <v>106</v>
      </c>
      <c r="GP341" s="4">
        <v>101</v>
      </c>
      <c r="GQ341" s="4">
        <v>96</v>
      </c>
      <c r="GR341" s="4">
        <v>91</v>
      </c>
      <c r="GS341" s="4">
        <v>86</v>
      </c>
      <c r="GT341" s="4">
        <v>81</v>
      </c>
      <c r="GU341" s="4">
        <v>76</v>
      </c>
      <c r="GV341" s="4">
        <v>71</v>
      </c>
      <c r="GW341" s="4">
        <v>66</v>
      </c>
      <c r="GX341" s="4">
        <v>61</v>
      </c>
      <c r="GY341" s="4">
        <v>56</v>
      </c>
      <c r="GZ341" s="4">
        <v>51</v>
      </c>
      <c r="HA341" s="4">
        <v>45</v>
      </c>
      <c r="HB341" s="4">
        <v>40</v>
      </c>
      <c r="HC341" s="19">
        <v>4.6</v>
      </c>
      <c r="HD341" s="19">
        <v>3.6</v>
      </c>
      <c r="HE341" s="19">
        <v>19.6</v>
      </c>
      <c r="HF341" s="19">
        <v>18.6</v>
      </c>
      <c r="HG341" s="19">
        <v>17.4</v>
      </c>
      <c r="HH341" s="19">
        <v>16.4</v>
      </c>
      <c r="HI341" s="19">
        <v>15.4</v>
      </c>
      <c r="HJ341" s="19">
        <v>14.4</v>
      </c>
      <c r="HK341" s="19">
        <v>13.4</v>
      </c>
      <c r="HL341" s="19">
        <v>12.4</v>
      </c>
      <c r="HM341" s="19">
        <v>11.2</v>
      </c>
      <c r="HN341" s="19">
        <v>22.2</v>
      </c>
      <c r="HO341" s="19">
        <v>21.2</v>
      </c>
      <c r="HP341" s="19">
        <v>20.2</v>
      </c>
      <c r="HQ341" s="19">
        <v>19.2</v>
      </c>
      <c r="HR341" s="19">
        <v>18.2</v>
      </c>
      <c r="HS341" s="19">
        <v>17.2</v>
      </c>
      <c r="HT341" s="19">
        <v>16.2</v>
      </c>
      <c r="HU341" s="19">
        <v>15.2</v>
      </c>
      <c r="HV341" s="19">
        <v>14.2</v>
      </c>
      <c r="HW341" s="19">
        <v>13.2</v>
      </c>
      <c r="HX341" s="19">
        <v>12.2</v>
      </c>
      <c r="HY341" s="19">
        <v>11.2</v>
      </c>
      <c r="HZ341" s="19">
        <v>10.2</v>
      </c>
      <c r="IA341" s="19">
        <v>9</v>
      </c>
      <c r="IB341" s="19">
        <v>8</v>
      </c>
    </row>
    <row r="342">
      <c r="A342" s="2" t="s">
        <v>2206</v>
      </c>
      <c r="B342" s="2" t="s">
        <v>761</v>
      </c>
      <c r="C342" s="2" t="s">
        <v>812</v>
      </c>
      <c r="D342" s="2" t="s">
        <v>763</v>
      </c>
      <c r="E342" s="2" t="s">
        <v>2109</v>
      </c>
      <c r="F342" s="2" t="s">
        <v>2207</v>
      </c>
      <c r="G342" s="2" t="s">
        <v>2207</v>
      </c>
      <c r="H342" s="2" t="s">
        <v>2207</v>
      </c>
      <c r="I342" s="2" t="s">
        <v>2208</v>
      </c>
      <c r="J342" s="2" t="s">
        <v>741</v>
      </c>
      <c r="K342" s="2" t="s">
        <v>1014</v>
      </c>
      <c r="L342" s="3">
        <v>85.05</v>
      </c>
      <c r="M342" s="3">
        <v>89.3</v>
      </c>
      <c r="N342" s="3">
        <v>179</v>
      </c>
      <c r="O342" s="2" t="s">
        <v>230</v>
      </c>
      <c r="P342" s="2" t="s">
        <v>721</v>
      </c>
      <c r="Q342" s="2" t="s">
        <v>232</v>
      </c>
      <c r="R342" s="2" t="s">
        <v>233</v>
      </c>
      <c r="S342" s="2" t="s">
        <v>233</v>
      </c>
      <c r="T342" s="2" t="s">
        <v>233</v>
      </c>
      <c r="U342" s="2" t="s">
        <v>329</v>
      </c>
      <c r="V342" s="2" t="s">
        <v>609</v>
      </c>
      <c r="W342" s="2" t="s">
        <v>712</v>
      </c>
      <c r="X342" s="2" t="s">
        <v>819</v>
      </c>
      <c r="Y342" s="2" t="s">
        <v>2209</v>
      </c>
      <c r="Z342" s="4">
        <v>104</v>
      </c>
      <c r="AA342" s="4">
        <f>=ROUNDDOWN(52,0)</f>
      </c>
      <c r="AB342" s="5">
        <v>2</v>
      </c>
      <c r="AC342" s="2" t="s">
        <v>233</v>
      </c>
      <c r="AD342" s="4"/>
      <c r="AE342" s="4"/>
      <c r="AF342" s="6">
        <v>74</v>
      </c>
      <c r="AG342" s="6"/>
      <c r="AH342" s="7">
        <v>1</v>
      </c>
      <c r="AI342" s="4"/>
      <c r="AJ342" s="4">
        <f>=ROUNDDOWN({0},0)</f>
      </c>
      <c r="AK342" s="5"/>
      <c r="AL342" s="2" t="s">
        <v>233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/>
      <c r="BD342" s="8"/>
      <c r="BE342" s="4"/>
      <c r="BF342" s="8"/>
      <c r="BG342" s="7"/>
      <c r="BH342" s="7"/>
      <c r="BI342" s="7"/>
      <c r="BJ342" s="4">
        <v>9</v>
      </c>
      <c r="BK342" s="8">
        <v>868.13</v>
      </c>
      <c r="BL342" s="2" t="s">
        <v>2210</v>
      </c>
      <c r="BM342" s="7"/>
      <c r="BN342" s="7"/>
      <c r="BO342" s="4"/>
      <c r="BP342" s="8"/>
      <c r="BQ342" s="4"/>
      <c r="BR342" s="8"/>
      <c r="BS342" s="7"/>
      <c r="BT342" s="7"/>
      <c r="BU342" s="2" t="s">
        <v>2211</v>
      </c>
      <c r="BV342" s="2" t="s">
        <v>233</v>
      </c>
      <c r="BW342" s="2" t="s">
        <v>233</v>
      </c>
      <c r="BX342" s="2" t="s">
        <v>241</v>
      </c>
      <c r="BY342" s="2" t="s">
        <v>242</v>
      </c>
      <c r="BZ342" s="2" t="s">
        <v>230</v>
      </c>
      <c r="CA342" s="2" t="s">
        <v>2212</v>
      </c>
      <c r="CB342" s="2" t="s">
        <v>2213</v>
      </c>
      <c r="CC342" s="2" t="s">
        <v>245</v>
      </c>
      <c r="CD342" s="2" t="s">
        <v>233</v>
      </c>
      <c r="CE342" s="4"/>
      <c r="CF342" s="4">
        <v>104</v>
      </c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>
        <v>104</v>
      </c>
      <c r="GD342" s="4">
        <v>102</v>
      </c>
      <c r="GE342" s="4">
        <v>99</v>
      </c>
      <c r="GF342" s="4">
        <v>97</v>
      </c>
      <c r="GG342" s="4">
        <v>93</v>
      </c>
      <c r="GH342" s="4">
        <v>90</v>
      </c>
      <c r="GI342" s="4">
        <v>88</v>
      </c>
      <c r="GJ342" s="4">
        <v>87</v>
      </c>
      <c r="GK342" s="4">
        <v>85</v>
      </c>
      <c r="GL342" s="4">
        <v>83</v>
      </c>
      <c r="GM342" s="4">
        <v>82</v>
      </c>
      <c r="GN342" s="4">
        <v>80</v>
      </c>
      <c r="GO342" s="4">
        <v>79</v>
      </c>
      <c r="GP342" s="4">
        <v>78</v>
      </c>
      <c r="GQ342" s="4">
        <v>76</v>
      </c>
      <c r="GR342" s="4">
        <v>74</v>
      </c>
      <c r="GS342" s="4">
        <v>72</v>
      </c>
      <c r="GT342" s="4">
        <v>70</v>
      </c>
      <c r="GU342" s="4">
        <v>68</v>
      </c>
      <c r="GV342" s="4">
        <v>66</v>
      </c>
      <c r="GW342" s="4">
        <v>64</v>
      </c>
      <c r="GX342" s="4">
        <v>62</v>
      </c>
      <c r="GY342" s="4">
        <v>60</v>
      </c>
      <c r="GZ342" s="4">
        <v>58</v>
      </c>
      <c r="HA342" s="4">
        <v>56</v>
      </c>
      <c r="HB342" s="4">
        <v>54</v>
      </c>
      <c r="HC342" s="19">
        <v>34.7</v>
      </c>
      <c r="HD342" s="19">
        <v>34</v>
      </c>
      <c r="HE342" s="19">
        <v>33</v>
      </c>
      <c r="HF342" s="19">
        <v>48.5</v>
      </c>
      <c r="HG342" s="19">
        <v>46.5</v>
      </c>
      <c r="HH342" s="19">
        <v>45</v>
      </c>
      <c r="HI342" s="19">
        <v>44</v>
      </c>
      <c r="HJ342" s="19">
        <v>43.5</v>
      </c>
      <c r="HK342" s="19">
        <v>42.5</v>
      </c>
      <c r="HL342" s="19">
        <v>83</v>
      </c>
      <c r="HM342" s="19">
        <v>41</v>
      </c>
      <c r="HN342" s="19">
        <v>40</v>
      </c>
      <c r="HO342" s="19">
        <v>39.5</v>
      </c>
      <c r="HP342" s="19">
        <v>39</v>
      </c>
      <c r="HQ342" s="19">
        <v>38</v>
      </c>
      <c r="HR342" s="19">
        <v>37</v>
      </c>
      <c r="HS342" s="19">
        <v>36</v>
      </c>
      <c r="HT342" s="19">
        <v>35</v>
      </c>
      <c r="HU342" s="19">
        <v>34</v>
      </c>
      <c r="HV342" s="19">
        <v>33</v>
      </c>
      <c r="HW342" s="19">
        <v>32</v>
      </c>
      <c r="HX342" s="19">
        <v>31</v>
      </c>
      <c r="HY342" s="19">
        <v>30</v>
      </c>
      <c r="HZ342" s="19">
        <v>29</v>
      </c>
      <c r="IA342" s="19">
        <v>28</v>
      </c>
      <c r="IB342" s="19">
        <v>27</v>
      </c>
    </row>
    <row r="343">
      <c r="A343" s="2" t="s">
        <v>2214</v>
      </c>
      <c r="B343" s="2" t="s">
        <v>811</v>
      </c>
      <c r="C343" s="2" t="s">
        <v>762</v>
      </c>
      <c r="D343" s="2" t="s">
        <v>813</v>
      </c>
      <c r="E343" s="2" t="s">
        <v>814</v>
      </c>
      <c r="F343" s="2" t="s">
        <v>2215</v>
      </c>
      <c r="G343" s="2" t="s">
        <v>2215</v>
      </c>
      <c r="H343" s="2" t="s">
        <v>2215</v>
      </c>
      <c r="I343" s="2" t="s">
        <v>2216</v>
      </c>
      <c r="J343" s="2" t="s">
        <v>741</v>
      </c>
      <c r="K343" s="2" t="s">
        <v>452</v>
      </c>
      <c r="L343" s="3">
        <v>46.72</v>
      </c>
      <c r="M343" s="3">
        <v>49.06</v>
      </c>
      <c r="N343" s="3">
        <v>109.99</v>
      </c>
      <c r="O343" s="2" t="s">
        <v>230</v>
      </c>
      <c r="P343" s="2" t="s">
        <v>231</v>
      </c>
      <c r="Q343" s="2" t="s">
        <v>232</v>
      </c>
      <c r="R343" s="2" t="s">
        <v>233</v>
      </c>
      <c r="S343" s="2" t="s">
        <v>2217</v>
      </c>
      <c r="T343" s="2" t="s">
        <v>233</v>
      </c>
      <c r="U343" s="2" t="s">
        <v>233</v>
      </c>
      <c r="V343" s="2" t="s">
        <v>236</v>
      </c>
      <c r="W343" s="2" t="s">
        <v>620</v>
      </c>
      <c r="X343" s="2" t="s">
        <v>233</v>
      </c>
      <c r="Y343" s="2" t="s">
        <v>238</v>
      </c>
      <c r="Z343" s="4">
        <v>66</v>
      </c>
      <c r="AA343" s="4">
        <f>=ROUNDDOWN(13.2,0)</f>
      </c>
      <c r="AB343" s="5">
        <v>5</v>
      </c>
      <c r="AC343" s="2" t="s">
        <v>2218</v>
      </c>
      <c r="AD343" s="4">
        <v>120</v>
      </c>
      <c r="AE343" s="4">
        <v>120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233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/>
      <c r="BD343" s="8"/>
      <c r="BE343" s="4"/>
      <c r="BF343" s="8"/>
      <c r="BG343" s="7"/>
      <c r="BH343" s="7"/>
      <c r="BI343" s="7"/>
      <c r="BJ343" s="4">
        <v>15</v>
      </c>
      <c r="BK343" s="8">
        <v>798.32</v>
      </c>
      <c r="BL343" s="2" t="s">
        <v>2219</v>
      </c>
      <c r="BM343" s="7"/>
      <c r="BN343" s="7"/>
      <c r="BO343" s="4"/>
      <c r="BP343" s="8"/>
      <c r="BQ343" s="4"/>
      <c r="BR343" s="8"/>
      <c r="BS343" s="7"/>
      <c r="BT343" s="7"/>
      <c r="BU343" s="2" t="s">
        <v>2220</v>
      </c>
      <c r="BV343" s="2" t="s">
        <v>233</v>
      </c>
      <c r="BW343" s="2" t="s">
        <v>233</v>
      </c>
      <c r="BX343" s="2" t="s">
        <v>241</v>
      </c>
      <c r="BY343" s="2" t="s">
        <v>242</v>
      </c>
      <c r="BZ343" s="2" t="s">
        <v>230</v>
      </c>
      <c r="CA343" s="2" t="s">
        <v>2221</v>
      </c>
      <c r="CB343" s="2" t="s">
        <v>2222</v>
      </c>
      <c r="CC343" s="2" t="s">
        <v>245</v>
      </c>
      <c r="CD343" s="2" t="s">
        <v>233</v>
      </c>
      <c r="CE343" s="4"/>
      <c r="CF343" s="4">
        <v>66</v>
      </c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>
        <v>120</v>
      </c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>
        <v>69</v>
      </c>
      <c r="GD343" s="4">
        <v>55</v>
      </c>
      <c r="GE343" s="4">
        <v>50</v>
      </c>
      <c r="GF343" s="4">
        <v>45</v>
      </c>
      <c r="GG343" s="4">
        <v>38</v>
      </c>
      <c r="GH343" s="4">
        <v>33</v>
      </c>
      <c r="GI343" s="4">
        <v>28</v>
      </c>
      <c r="GJ343" s="4">
        <v>23</v>
      </c>
      <c r="GK343" s="4">
        <v>18</v>
      </c>
      <c r="GL343" s="4">
        <v>133</v>
      </c>
      <c r="GM343" s="4">
        <v>128</v>
      </c>
      <c r="GN343" s="4">
        <v>123</v>
      </c>
      <c r="GO343" s="4">
        <v>118</v>
      </c>
      <c r="GP343" s="4">
        <v>113</v>
      </c>
      <c r="GQ343" s="4">
        <v>108</v>
      </c>
      <c r="GR343" s="4">
        <v>103</v>
      </c>
      <c r="GS343" s="4">
        <v>98</v>
      </c>
      <c r="GT343" s="4">
        <v>92</v>
      </c>
      <c r="GU343" s="4">
        <v>87</v>
      </c>
      <c r="GV343" s="4">
        <v>82</v>
      </c>
      <c r="GW343" s="4">
        <v>77</v>
      </c>
      <c r="GX343" s="4">
        <v>72</v>
      </c>
      <c r="GY343" s="4">
        <v>67</v>
      </c>
      <c r="GZ343" s="4">
        <v>62</v>
      </c>
      <c r="HA343" s="4">
        <v>57</v>
      </c>
      <c r="HB343" s="4">
        <v>52</v>
      </c>
      <c r="HC343" s="19">
        <v>8.6</v>
      </c>
      <c r="HD343" s="19">
        <v>9.2</v>
      </c>
      <c r="HE343" s="19">
        <v>8.3</v>
      </c>
      <c r="HF343" s="19">
        <v>7.5</v>
      </c>
      <c r="HG343" s="19">
        <v>7.6</v>
      </c>
      <c r="HH343" s="19">
        <v>6.6</v>
      </c>
      <c r="HI343" s="19">
        <v>5.6</v>
      </c>
      <c r="HJ343" s="19">
        <v>4.6</v>
      </c>
      <c r="HK343" s="19">
        <v>3.6</v>
      </c>
      <c r="HL343" s="19">
        <v>26.6</v>
      </c>
      <c r="HM343" s="19">
        <v>25.6</v>
      </c>
      <c r="HN343" s="19">
        <v>24.6</v>
      </c>
      <c r="HO343" s="19">
        <v>23.6</v>
      </c>
      <c r="HP343" s="19">
        <v>22.6</v>
      </c>
      <c r="HQ343" s="19">
        <v>21.6</v>
      </c>
      <c r="HR343" s="19">
        <v>20.6</v>
      </c>
      <c r="HS343" s="19">
        <v>19.6</v>
      </c>
      <c r="HT343" s="19">
        <v>18.4</v>
      </c>
      <c r="HU343" s="19">
        <v>17.4</v>
      </c>
      <c r="HV343" s="19">
        <v>16.4</v>
      </c>
      <c r="HW343" s="19">
        <v>15.4</v>
      </c>
      <c r="HX343" s="19">
        <v>14.4</v>
      </c>
      <c r="HY343" s="19">
        <v>13.4</v>
      </c>
      <c r="HZ343" s="19">
        <v>12.4</v>
      </c>
      <c r="IA343" s="19">
        <v>11.4</v>
      </c>
      <c r="IB343" s="19">
        <v>10.4</v>
      </c>
    </row>
    <row r="344">
      <c r="A344" s="2" t="s">
        <v>2223</v>
      </c>
      <c r="B344" s="2" t="s">
        <v>773</v>
      </c>
      <c r="C344" s="2" t="s">
        <v>616</v>
      </c>
      <c r="D344" s="2" t="s">
        <v>2224</v>
      </c>
      <c r="E344" s="2" t="s">
        <v>2225</v>
      </c>
      <c r="F344" s="2" t="s">
        <v>2226</v>
      </c>
      <c r="G344" s="2" t="s">
        <v>2226</v>
      </c>
      <c r="H344" s="2" t="s">
        <v>2226</v>
      </c>
      <c r="I344" s="2" t="s">
        <v>2227</v>
      </c>
      <c r="J344" s="2" t="s">
        <v>228</v>
      </c>
      <c r="K344" s="2" t="s">
        <v>266</v>
      </c>
      <c r="L344" s="3">
        <v>42.85</v>
      </c>
      <c r="M344" s="3">
        <v>44.99</v>
      </c>
      <c r="N344" s="3">
        <v>89.99</v>
      </c>
      <c r="O344" s="2" t="s">
        <v>230</v>
      </c>
      <c r="P344" s="2" t="s">
        <v>231</v>
      </c>
      <c r="Q344" s="2" t="s">
        <v>232</v>
      </c>
      <c r="R344" s="2" t="s">
        <v>233</v>
      </c>
      <c r="S344" s="2" t="s">
        <v>2228</v>
      </c>
      <c r="T344" s="2" t="s">
        <v>233</v>
      </c>
      <c r="U344" s="2" t="s">
        <v>329</v>
      </c>
      <c r="V344" s="2" t="s">
        <v>236</v>
      </c>
      <c r="W344" s="2" t="s">
        <v>237</v>
      </c>
      <c r="X344" s="2" t="s">
        <v>233</v>
      </c>
      <c r="Y344" s="2" t="s">
        <v>2229</v>
      </c>
      <c r="Z344" s="4">
        <v>594</v>
      </c>
      <c r="AA344" s="4">
        <f>=ROUNDDOWN(49.5,0)</f>
      </c>
      <c r="AB344" s="5">
        <v>12</v>
      </c>
      <c r="AC344" s="2" t="s">
        <v>2230</v>
      </c>
      <c r="AD344" s="4">
        <v>300</v>
      </c>
      <c r="AE344" s="4">
        <v>300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233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233</v>
      </c>
      <c r="AW344" s="8" t="s">
        <v>233</v>
      </c>
      <c r="AX344" s="4" t="s">
        <v>233</v>
      </c>
      <c r="AY344" s="8" t="s">
        <v>233</v>
      </c>
      <c r="AZ344" s="7" t="s">
        <v>233</v>
      </c>
      <c r="BA344" s="7" t="s">
        <v>233</v>
      </c>
      <c r="BB344" s="7"/>
      <c r="BC344" s="4" t="s">
        <v>233</v>
      </c>
      <c r="BD344" s="8" t="s">
        <v>233</v>
      </c>
      <c r="BE344" s="4" t="s">
        <v>233</v>
      </c>
      <c r="BF344" s="8" t="s">
        <v>233</v>
      </c>
      <c r="BG344" s="7" t="s">
        <v>233</v>
      </c>
      <c r="BH344" s="7" t="s">
        <v>233</v>
      </c>
      <c r="BI344" s="7"/>
      <c r="BJ344" s="4">
        <v>10</v>
      </c>
      <c r="BK344" s="8">
        <v>544.65</v>
      </c>
      <c r="BL344" s="2" t="s">
        <v>2231</v>
      </c>
      <c r="BM344" s="7"/>
      <c r="BN344" s="7"/>
      <c r="BO344" s="4"/>
      <c r="BP344" s="8"/>
      <c r="BQ344" s="4"/>
      <c r="BR344" s="8"/>
      <c r="BS344" s="7"/>
      <c r="BT344" s="7"/>
      <c r="BU344" s="2" t="s">
        <v>2232</v>
      </c>
      <c r="BV344" s="2" t="s">
        <v>233</v>
      </c>
      <c r="BW344" s="2" t="s">
        <v>233</v>
      </c>
      <c r="BX344" s="2" t="s">
        <v>241</v>
      </c>
      <c r="BY344" s="2" t="s">
        <v>242</v>
      </c>
      <c r="BZ344" s="2" t="s">
        <v>230</v>
      </c>
      <c r="CA344" s="2" t="s">
        <v>2233</v>
      </c>
      <c r="CB344" s="2" t="s">
        <v>2234</v>
      </c>
      <c r="CC344" s="2" t="s">
        <v>245</v>
      </c>
      <c r="CD344" s="2" t="s">
        <v>233</v>
      </c>
      <c r="CE344" s="4">
        <v>419</v>
      </c>
      <c r="CF344" s="4">
        <v>175</v>
      </c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>
        <v>300</v>
      </c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>
        <v>422</v>
      </c>
      <c r="GD344" s="4">
        <v>289</v>
      </c>
      <c r="GE344" s="4">
        <v>271</v>
      </c>
      <c r="GF344" s="4">
        <v>257</v>
      </c>
      <c r="GG344" s="4">
        <v>230</v>
      </c>
      <c r="GH344" s="4">
        <v>207</v>
      </c>
      <c r="GI344" s="4">
        <v>186</v>
      </c>
      <c r="GJ344" s="4">
        <v>172</v>
      </c>
      <c r="GK344" s="4">
        <v>160</v>
      </c>
      <c r="GL344" s="4">
        <v>149</v>
      </c>
      <c r="GM344" s="4">
        <v>135</v>
      </c>
      <c r="GN344" s="4">
        <v>128</v>
      </c>
      <c r="GO344" s="4">
        <v>120</v>
      </c>
      <c r="GP344" s="4">
        <v>108</v>
      </c>
      <c r="GQ344" s="4">
        <v>103</v>
      </c>
      <c r="GR344" s="4">
        <v>393</v>
      </c>
      <c r="GS344" s="4">
        <v>388</v>
      </c>
      <c r="GT344" s="4">
        <v>378</v>
      </c>
      <c r="GU344" s="4">
        <v>372</v>
      </c>
      <c r="GV344" s="4">
        <v>366</v>
      </c>
      <c r="GW344" s="4">
        <v>363</v>
      </c>
      <c r="GX344" s="4">
        <v>359</v>
      </c>
      <c r="GY344" s="4">
        <v>354</v>
      </c>
      <c r="GZ344" s="4">
        <v>349</v>
      </c>
      <c r="HA344" s="4">
        <v>344</v>
      </c>
      <c r="HB344" s="4">
        <v>336</v>
      </c>
      <c r="HC344" s="19">
        <v>8.8</v>
      </c>
      <c r="HD344" s="19">
        <v>14.5</v>
      </c>
      <c r="HE344" s="19">
        <v>12.9</v>
      </c>
      <c r="HF344" s="19">
        <v>12.2</v>
      </c>
      <c r="HG344" s="19">
        <v>12.8</v>
      </c>
      <c r="HH344" s="19">
        <v>14.8</v>
      </c>
      <c r="HI344" s="19">
        <v>14.3</v>
      </c>
      <c r="HJ344" s="19">
        <v>15.6</v>
      </c>
      <c r="HK344" s="19">
        <v>16</v>
      </c>
      <c r="HL344" s="19">
        <v>14.9</v>
      </c>
      <c r="HM344" s="19">
        <v>16.9</v>
      </c>
      <c r="HN344" s="19">
        <v>14.2</v>
      </c>
      <c r="HO344" s="19">
        <v>15</v>
      </c>
      <c r="HP344" s="19">
        <v>13.5</v>
      </c>
      <c r="HQ344" s="19">
        <v>12.9</v>
      </c>
      <c r="HR344" s="19">
        <v>56.1</v>
      </c>
      <c r="HS344" s="19">
        <v>64.7</v>
      </c>
      <c r="HT344" s="19">
        <v>75.6</v>
      </c>
      <c r="HU344" s="19">
        <v>93</v>
      </c>
      <c r="HV344" s="19">
        <v>91.5</v>
      </c>
      <c r="HW344" s="19">
        <v>72.6</v>
      </c>
      <c r="HX344" s="19">
        <v>59.8</v>
      </c>
      <c r="HY344" s="19">
        <v>59</v>
      </c>
      <c r="HZ344" s="19">
        <v>58.2</v>
      </c>
      <c r="IA344" s="19">
        <v>57.3</v>
      </c>
      <c r="IB344" s="19">
        <v>67.2</v>
      </c>
    </row>
    <row r="345">
      <c r="A345" s="2" t="s">
        <v>2235</v>
      </c>
      <c r="B345" s="2" t="s">
        <v>773</v>
      </c>
      <c r="C345" s="2" t="s">
        <v>616</v>
      </c>
      <c r="D345" s="2" t="s">
        <v>2224</v>
      </c>
      <c r="E345" s="2" t="s">
        <v>2225</v>
      </c>
      <c r="F345" s="2" t="s">
        <v>2226</v>
      </c>
      <c r="G345" s="2" t="s">
        <v>2226</v>
      </c>
      <c r="H345" s="2" t="s">
        <v>2226</v>
      </c>
      <c r="I345" s="2" t="s">
        <v>2227</v>
      </c>
      <c r="J345" s="2" t="s">
        <v>247</v>
      </c>
      <c r="K345" s="2" t="s">
        <v>266</v>
      </c>
      <c r="L345" s="3">
        <v>42.85</v>
      </c>
      <c r="M345" s="3">
        <v>44.99</v>
      </c>
      <c r="N345" s="3">
        <v>89.99</v>
      </c>
      <c r="O345" s="2" t="s">
        <v>230</v>
      </c>
      <c r="P345" s="2" t="s">
        <v>231</v>
      </c>
      <c r="Q345" s="2" t="s">
        <v>232</v>
      </c>
      <c r="R345" s="2" t="s">
        <v>233</v>
      </c>
      <c r="S345" s="2" t="s">
        <v>2228</v>
      </c>
      <c r="T345" s="2" t="s">
        <v>233</v>
      </c>
      <c r="U345" s="2" t="s">
        <v>329</v>
      </c>
      <c r="V345" s="2" t="s">
        <v>236</v>
      </c>
      <c r="W345" s="2" t="s">
        <v>237</v>
      </c>
      <c r="X345" s="2" t="s">
        <v>233</v>
      </c>
      <c r="Y345" s="2" t="s">
        <v>2229</v>
      </c>
      <c r="Z345" s="4">
        <v>4687</v>
      </c>
      <c r="AA345" s="4">
        <f>=ROUNDDOWN(234.35,0)</f>
      </c>
      <c r="AB345" s="5">
        <v>20</v>
      </c>
      <c r="AC345" s="2" t="s">
        <v>233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233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233</v>
      </c>
      <c r="AW345" s="8" t="s">
        <v>233</v>
      </c>
      <c r="AX345" s="4" t="s">
        <v>233</v>
      </c>
      <c r="AY345" s="8" t="s">
        <v>233</v>
      </c>
      <c r="AZ345" s="7" t="s">
        <v>233</v>
      </c>
      <c r="BA345" s="7" t="s">
        <v>233</v>
      </c>
      <c r="BB345" s="7"/>
      <c r="BC345" s="4" t="s">
        <v>233</v>
      </c>
      <c r="BD345" s="8" t="s">
        <v>233</v>
      </c>
      <c r="BE345" s="4" t="s">
        <v>233</v>
      </c>
      <c r="BF345" s="8" t="s">
        <v>233</v>
      </c>
      <c r="BG345" s="7" t="s">
        <v>233</v>
      </c>
      <c r="BH345" s="7" t="s">
        <v>233</v>
      </c>
      <c r="BI345" s="7"/>
      <c r="BJ345" s="4">
        <v>24</v>
      </c>
      <c r="BK345" s="8">
        <v>1145.91</v>
      </c>
      <c r="BL345" s="2" t="s">
        <v>674</v>
      </c>
      <c r="BM345" s="7"/>
      <c r="BN345" s="7"/>
      <c r="BO345" s="4"/>
      <c r="BP345" s="8"/>
      <c r="BQ345" s="4"/>
      <c r="BR345" s="8"/>
      <c r="BS345" s="7"/>
      <c r="BT345" s="7"/>
      <c r="BU345" s="2" t="s">
        <v>2232</v>
      </c>
      <c r="BV345" s="2" t="s">
        <v>233</v>
      </c>
      <c r="BW345" s="2" t="s">
        <v>233</v>
      </c>
      <c r="BX345" s="2" t="s">
        <v>241</v>
      </c>
      <c r="BY345" s="2" t="s">
        <v>242</v>
      </c>
      <c r="BZ345" s="2" t="s">
        <v>230</v>
      </c>
      <c r="CA345" s="2" t="s">
        <v>2233</v>
      </c>
      <c r="CB345" s="2" t="s">
        <v>2155</v>
      </c>
      <c r="CC345" s="2" t="s">
        <v>245</v>
      </c>
      <c r="CD345" s="2" t="s">
        <v>233</v>
      </c>
      <c r="CE345" s="4">
        <v>4687</v>
      </c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>
        <v>4691</v>
      </c>
      <c r="GD345" s="4">
        <v>4642</v>
      </c>
      <c r="GE345" s="4">
        <v>4576</v>
      </c>
      <c r="GF345" s="4">
        <v>4553</v>
      </c>
      <c r="GG345" s="4">
        <v>4513</v>
      </c>
      <c r="GH345" s="4">
        <v>4481</v>
      </c>
      <c r="GI345" s="4">
        <v>4433</v>
      </c>
      <c r="GJ345" s="4">
        <v>4360</v>
      </c>
      <c r="GK345" s="4">
        <v>4337</v>
      </c>
      <c r="GL345" s="4">
        <v>4321</v>
      </c>
      <c r="GM345" s="4">
        <v>4314</v>
      </c>
      <c r="GN345" s="4">
        <v>4305</v>
      </c>
      <c r="GO345" s="4">
        <v>4295</v>
      </c>
      <c r="GP345" s="4">
        <v>4280</v>
      </c>
      <c r="GQ345" s="4">
        <v>4267</v>
      </c>
      <c r="GR345" s="4">
        <v>4259</v>
      </c>
      <c r="GS345" s="4">
        <v>4248</v>
      </c>
      <c r="GT345" s="4">
        <v>4238</v>
      </c>
      <c r="GU345" s="4">
        <v>4232</v>
      </c>
      <c r="GV345" s="4">
        <v>4223</v>
      </c>
      <c r="GW345" s="4">
        <v>4211</v>
      </c>
      <c r="GX345" s="4">
        <v>4204</v>
      </c>
      <c r="GY345" s="4">
        <v>4197</v>
      </c>
      <c r="GZ345" s="4">
        <v>4192</v>
      </c>
      <c r="HA345" s="4">
        <v>4186</v>
      </c>
      <c r="HB345" s="4">
        <v>4179</v>
      </c>
      <c r="HC345" s="19">
        <v>106.6</v>
      </c>
      <c r="HD345" s="19">
        <v>116.1</v>
      </c>
      <c r="HE345" s="19">
        <v>127.1</v>
      </c>
      <c r="HF345" s="19">
        <v>94.9</v>
      </c>
      <c r="HG345" s="19">
        <v>102.6</v>
      </c>
      <c r="HH345" s="19">
        <v>112</v>
      </c>
      <c r="HI345" s="19">
        <v>147.8</v>
      </c>
      <c r="HJ345" s="19">
        <v>311.4</v>
      </c>
      <c r="HK345" s="19">
        <v>433.7</v>
      </c>
      <c r="HL345" s="19">
        <v>432.1</v>
      </c>
      <c r="HM345" s="19">
        <v>359.5</v>
      </c>
      <c r="HN345" s="19">
        <v>358.8</v>
      </c>
      <c r="HO345" s="19">
        <v>357.9</v>
      </c>
      <c r="HP345" s="19">
        <v>428</v>
      </c>
      <c r="HQ345" s="19">
        <v>474.1</v>
      </c>
      <c r="HR345" s="19">
        <v>473.2</v>
      </c>
      <c r="HS345" s="19">
        <v>472</v>
      </c>
      <c r="HT345" s="19">
        <v>529.8</v>
      </c>
      <c r="HU345" s="19">
        <v>470.2</v>
      </c>
      <c r="HV345" s="19">
        <v>527.9</v>
      </c>
      <c r="HW345" s="19">
        <v>701.8</v>
      </c>
      <c r="HX345" s="19">
        <v>700.7</v>
      </c>
      <c r="HY345" s="19">
        <v>699.5</v>
      </c>
      <c r="HZ345" s="19">
        <v>698.7</v>
      </c>
      <c r="IA345" s="19">
        <v>697.7</v>
      </c>
      <c r="IB345" s="19">
        <v>696.5</v>
      </c>
    </row>
    <row r="346">
      <c r="A346" s="2" t="s">
        <v>2236</v>
      </c>
      <c r="B346" s="2" t="s">
        <v>773</v>
      </c>
      <c r="C346" s="2" t="s">
        <v>616</v>
      </c>
      <c r="D346" s="2" t="s">
        <v>2224</v>
      </c>
      <c r="E346" s="2" t="s">
        <v>2225</v>
      </c>
      <c r="F346" s="2" t="s">
        <v>2226</v>
      </c>
      <c r="G346" s="2" t="s">
        <v>2226</v>
      </c>
      <c r="H346" s="2" t="s">
        <v>2226</v>
      </c>
      <c r="I346" s="2" t="s">
        <v>2227</v>
      </c>
      <c r="J346" s="2" t="s">
        <v>252</v>
      </c>
      <c r="K346" s="2" t="s">
        <v>266</v>
      </c>
      <c r="L346" s="3">
        <v>47.61</v>
      </c>
      <c r="M346" s="3">
        <v>49.99</v>
      </c>
      <c r="N346" s="3">
        <v>99.99</v>
      </c>
      <c r="O346" s="2" t="s">
        <v>230</v>
      </c>
      <c r="P346" s="2" t="s">
        <v>231</v>
      </c>
      <c r="Q346" s="2" t="s">
        <v>232</v>
      </c>
      <c r="R346" s="2" t="s">
        <v>233</v>
      </c>
      <c r="S346" s="2" t="s">
        <v>2228</v>
      </c>
      <c r="T346" s="2" t="s">
        <v>233</v>
      </c>
      <c r="U346" s="2" t="s">
        <v>329</v>
      </c>
      <c r="V346" s="2" t="s">
        <v>236</v>
      </c>
      <c r="W346" s="2" t="s">
        <v>237</v>
      </c>
      <c r="X346" s="2" t="s">
        <v>233</v>
      </c>
      <c r="Y346" s="2" t="s">
        <v>2229</v>
      </c>
      <c r="Z346" s="4">
        <v>953</v>
      </c>
      <c r="AA346" s="4">
        <f>=ROUNDDOWN(79.4166666666667,0)</f>
      </c>
      <c r="AB346" s="5">
        <v>12</v>
      </c>
      <c r="AC346" s="2" t="s">
        <v>233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233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233</v>
      </c>
      <c r="AW346" s="8" t="s">
        <v>233</v>
      </c>
      <c r="AX346" s="4" t="s">
        <v>233</v>
      </c>
      <c r="AY346" s="8" t="s">
        <v>233</v>
      </c>
      <c r="AZ346" s="7" t="s">
        <v>233</v>
      </c>
      <c r="BA346" s="7" t="s">
        <v>233</v>
      </c>
      <c r="BB346" s="7"/>
      <c r="BC346" s="4" t="s">
        <v>233</v>
      </c>
      <c r="BD346" s="8" t="s">
        <v>233</v>
      </c>
      <c r="BE346" s="4" t="s">
        <v>233</v>
      </c>
      <c r="BF346" s="8" t="s">
        <v>233</v>
      </c>
      <c r="BG346" s="7" t="s">
        <v>233</v>
      </c>
      <c r="BH346" s="7" t="s">
        <v>233</v>
      </c>
      <c r="BI346" s="7"/>
      <c r="BJ346" s="4">
        <v>24</v>
      </c>
      <c r="BK346" s="8">
        <v>1288.34</v>
      </c>
      <c r="BL346" s="2" t="s">
        <v>1514</v>
      </c>
      <c r="BM346" s="7"/>
      <c r="BN346" s="7"/>
      <c r="BO346" s="4"/>
      <c r="BP346" s="8"/>
      <c r="BQ346" s="4"/>
      <c r="BR346" s="8"/>
      <c r="BS346" s="7"/>
      <c r="BT346" s="7"/>
      <c r="BU346" s="2" t="s">
        <v>2232</v>
      </c>
      <c r="BV346" s="2" t="s">
        <v>233</v>
      </c>
      <c r="BW346" s="2" t="s">
        <v>233</v>
      </c>
      <c r="BX346" s="2" t="s">
        <v>241</v>
      </c>
      <c r="BY346" s="2" t="s">
        <v>242</v>
      </c>
      <c r="BZ346" s="2" t="s">
        <v>230</v>
      </c>
      <c r="CA346" s="2" t="s">
        <v>2233</v>
      </c>
      <c r="CB346" s="2" t="s">
        <v>1516</v>
      </c>
      <c r="CC346" s="2" t="s">
        <v>245</v>
      </c>
      <c r="CD346" s="2" t="s">
        <v>233</v>
      </c>
      <c r="CE346" s="4">
        <v>542</v>
      </c>
      <c r="CF346" s="4">
        <v>231</v>
      </c>
      <c r="CG346" s="4"/>
      <c r="CH346" s="4"/>
      <c r="CI346" s="4"/>
      <c r="CJ346" s="4"/>
      <c r="CK346" s="4"/>
      <c r="CL346" s="4"/>
      <c r="CM346" s="4"/>
      <c r="CN346" s="4"/>
      <c r="CO346" s="4">
        <v>180</v>
      </c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>
        <v>725</v>
      </c>
      <c r="GD346" s="4">
        <v>640</v>
      </c>
      <c r="GE346" s="4">
        <v>621</v>
      </c>
      <c r="GF346" s="4">
        <v>608</v>
      </c>
      <c r="GG346" s="4">
        <v>579</v>
      </c>
      <c r="GH346" s="4">
        <v>560</v>
      </c>
      <c r="GI346" s="4">
        <v>539</v>
      </c>
      <c r="GJ346" s="4">
        <v>517</v>
      </c>
      <c r="GK346" s="4">
        <v>492</v>
      </c>
      <c r="GL346" s="4">
        <v>480</v>
      </c>
      <c r="GM346" s="4">
        <v>470</v>
      </c>
      <c r="GN346" s="4">
        <v>462</v>
      </c>
      <c r="GO346" s="4">
        <v>453</v>
      </c>
      <c r="GP346" s="4">
        <v>444</v>
      </c>
      <c r="GQ346" s="4">
        <v>437</v>
      </c>
      <c r="GR346" s="4">
        <v>428</v>
      </c>
      <c r="GS346" s="4">
        <v>421</v>
      </c>
      <c r="GT346" s="4">
        <v>413</v>
      </c>
      <c r="GU346" s="4">
        <v>408</v>
      </c>
      <c r="GV346" s="4">
        <v>400</v>
      </c>
      <c r="GW346" s="4">
        <v>392</v>
      </c>
      <c r="GX346" s="4">
        <v>387</v>
      </c>
      <c r="GY346" s="4">
        <v>380</v>
      </c>
      <c r="GZ346" s="4">
        <v>374</v>
      </c>
      <c r="HA346" s="4">
        <v>367</v>
      </c>
      <c r="HB346" s="4">
        <v>363</v>
      </c>
      <c r="HC346" s="19">
        <v>20.1</v>
      </c>
      <c r="HD346" s="19">
        <v>32</v>
      </c>
      <c r="HE346" s="19">
        <v>31.1</v>
      </c>
      <c r="HF346" s="19">
        <v>26.4</v>
      </c>
      <c r="HG346" s="19">
        <v>26.3</v>
      </c>
      <c r="HH346" s="19">
        <v>28</v>
      </c>
      <c r="HI346" s="19">
        <v>31.7</v>
      </c>
      <c r="HJ346" s="19">
        <v>36.9</v>
      </c>
      <c r="HK346" s="19">
        <v>49.2</v>
      </c>
      <c r="HL346" s="19">
        <v>53.3</v>
      </c>
      <c r="HM346" s="19">
        <v>58.8</v>
      </c>
      <c r="HN346" s="19">
        <v>57.8</v>
      </c>
      <c r="HO346" s="19">
        <v>56.6</v>
      </c>
      <c r="HP346" s="19">
        <v>55.5</v>
      </c>
      <c r="HQ346" s="19">
        <v>62.4</v>
      </c>
      <c r="HR346" s="19">
        <v>61.1</v>
      </c>
      <c r="HS346" s="19">
        <v>60.1</v>
      </c>
      <c r="HT346" s="19">
        <v>68.8</v>
      </c>
      <c r="HU346" s="19">
        <v>58.3</v>
      </c>
      <c r="HV346" s="19">
        <v>66.7</v>
      </c>
      <c r="HW346" s="19">
        <v>65.3</v>
      </c>
      <c r="HX346" s="19">
        <v>64.5</v>
      </c>
      <c r="HY346" s="19">
        <v>76</v>
      </c>
      <c r="HZ346" s="19">
        <v>93.5</v>
      </c>
      <c r="IA346" s="19">
        <v>122.3</v>
      </c>
      <c r="IB346" s="19">
        <v>121</v>
      </c>
    </row>
    <row r="347">
      <c r="A347" s="2" t="s">
        <v>2237</v>
      </c>
      <c r="B347" s="2" t="s">
        <v>773</v>
      </c>
      <c r="C347" s="2" t="s">
        <v>616</v>
      </c>
      <c r="D347" s="2" t="s">
        <v>2224</v>
      </c>
      <c r="E347" s="2" t="s">
        <v>2225</v>
      </c>
      <c r="F347" s="2" t="s">
        <v>2226</v>
      </c>
      <c r="G347" s="2" t="s">
        <v>2226</v>
      </c>
      <c r="H347" s="2" t="s">
        <v>2226</v>
      </c>
      <c r="I347" s="2" t="s">
        <v>2227</v>
      </c>
      <c r="J347" s="2" t="s">
        <v>285</v>
      </c>
      <c r="K347" s="2" t="s">
        <v>266</v>
      </c>
      <c r="L347" s="3">
        <v>71.42</v>
      </c>
      <c r="M347" s="3">
        <v>74.99</v>
      </c>
      <c r="N347" s="3">
        <v>149.99</v>
      </c>
      <c r="O347" s="2" t="s">
        <v>230</v>
      </c>
      <c r="P347" s="2" t="s">
        <v>231</v>
      </c>
      <c r="Q347" s="2" t="s">
        <v>232</v>
      </c>
      <c r="R347" s="2" t="s">
        <v>233</v>
      </c>
      <c r="S347" s="2" t="s">
        <v>2228</v>
      </c>
      <c r="T347" s="2" t="s">
        <v>233</v>
      </c>
      <c r="U347" s="2" t="s">
        <v>329</v>
      </c>
      <c r="V347" s="2" t="s">
        <v>236</v>
      </c>
      <c r="W347" s="2" t="s">
        <v>237</v>
      </c>
      <c r="X347" s="2" t="s">
        <v>233</v>
      </c>
      <c r="Y347" s="2" t="s">
        <v>2229</v>
      </c>
      <c r="Z347" s="4">
        <v>1030</v>
      </c>
      <c r="AA347" s="4">
        <f>=ROUNDDOWN(85.8333333333333,0)</f>
      </c>
      <c r="AB347" s="5">
        <v>12</v>
      </c>
      <c r="AC347" s="2" t="s">
        <v>2230</v>
      </c>
      <c r="AD347" s="4">
        <v>500</v>
      </c>
      <c r="AE347" s="4">
        <v>500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233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233</v>
      </c>
      <c r="AW347" s="8" t="s">
        <v>233</v>
      </c>
      <c r="AX347" s="4" t="s">
        <v>233</v>
      </c>
      <c r="AY347" s="8" t="s">
        <v>233</v>
      </c>
      <c r="AZ347" s="7" t="s">
        <v>233</v>
      </c>
      <c r="BA347" s="7" t="s">
        <v>233</v>
      </c>
      <c r="BB347" s="7"/>
      <c r="BC347" s="4" t="s">
        <v>233</v>
      </c>
      <c r="BD347" s="8" t="s">
        <v>233</v>
      </c>
      <c r="BE347" s="4" t="s">
        <v>233</v>
      </c>
      <c r="BF347" s="8" t="s">
        <v>233</v>
      </c>
      <c r="BG347" s="7" t="s">
        <v>233</v>
      </c>
      <c r="BH347" s="7" t="s">
        <v>233</v>
      </c>
      <c r="BI347" s="7"/>
      <c r="BJ347" s="4">
        <v>23</v>
      </c>
      <c r="BK347" s="8">
        <v>1843.75</v>
      </c>
      <c r="BL347" s="2" t="s">
        <v>2238</v>
      </c>
      <c r="BM347" s="7"/>
      <c r="BN347" s="7"/>
      <c r="BO347" s="4"/>
      <c r="BP347" s="8"/>
      <c r="BQ347" s="4"/>
      <c r="BR347" s="8"/>
      <c r="BS347" s="7"/>
      <c r="BT347" s="7"/>
      <c r="BU347" s="2" t="s">
        <v>2232</v>
      </c>
      <c r="BV347" s="2" t="s">
        <v>233</v>
      </c>
      <c r="BW347" s="2" t="s">
        <v>233</v>
      </c>
      <c r="BX347" s="2" t="s">
        <v>241</v>
      </c>
      <c r="BY347" s="2" t="s">
        <v>242</v>
      </c>
      <c r="BZ347" s="2" t="s">
        <v>230</v>
      </c>
      <c r="CA347" s="2" t="s">
        <v>2233</v>
      </c>
      <c r="CB347" s="2" t="s">
        <v>2155</v>
      </c>
      <c r="CC347" s="2" t="s">
        <v>245</v>
      </c>
      <c r="CD347" s="2" t="s">
        <v>233</v>
      </c>
      <c r="CE347" s="4">
        <v>441</v>
      </c>
      <c r="CF347" s="4">
        <v>379</v>
      </c>
      <c r="CG347" s="4"/>
      <c r="CH347" s="4"/>
      <c r="CI347" s="4"/>
      <c r="CJ347" s="4"/>
      <c r="CK347" s="4"/>
      <c r="CL347" s="4"/>
      <c r="CM347" s="4"/>
      <c r="CN347" s="4"/>
      <c r="CO347" s="4">
        <v>210</v>
      </c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>
        <v>500</v>
      </c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>
        <v>656</v>
      </c>
      <c r="GD347" s="4">
        <v>590</v>
      </c>
      <c r="GE347" s="4">
        <v>573</v>
      </c>
      <c r="GF347" s="4">
        <v>555</v>
      </c>
      <c r="GG347" s="4">
        <v>517</v>
      </c>
      <c r="GH347" s="4">
        <v>489</v>
      </c>
      <c r="GI347" s="4">
        <v>452</v>
      </c>
      <c r="GJ347" s="4">
        <v>430</v>
      </c>
      <c r="GK347" s="4">
        <v>414</v>
      </c>
      <c r="GL347" s="4">
        <v>401</v>
      </c>
      <c r="GM347" s="4">
        <v>391</v>
      </c>
      <c r="GN347" s="4">
        <v>382</v>
      </c>
      <c r="GO347" s="4">
        <v>372</v>
      </c>
      <c r="GP347" s="4">
        <v>363</v>
      </c>
      <c r="GQ347" s="4">
        <v>356</v>
      </c>
      <c r="GR347" s="4">
        <v>848</v>
      </c>
      <c r="GS347" s="4">
        <v>842</v>
      </c>
      <c r="GT347" s="4">
        <v>832</v>
      </c>
      <c r="GU347" s="4">
        <v>823</v>
      </c>
      <c r="GV347" s="4">
        <v>816</v>
      </c>
      <c r="GW347" s="4">
        <v>806</v>
      </c>
      <c r="GX347" s="4">
        <v>801</v>
      </c>
      <c r="GY347" s="4">
        <v>794</v>
      </c>
      <c r="GZ347" s="4">
        <v>787</v>
      </c>
      <c r="HA347" s="4">
        <v>781</v>
      </c>
      <c r="HB347" s="4">
        <v>777</v>
      </c>
      <c r="HC347" s="19">
        <v>18.7</v>
      </c>
      <c r="HD347" s="19">
        <v>23.6</v>
      </c>
      <c r="HE347" s="19">
        <v>19.1</v>
      </c>
      <c r="HF347" s="19">
        <v>17.9</v>
      </c>
      <c r="HG347" s="19">
        <v>19.9</v>
      </c>
      <c r="HH347" s="19">
        <v>22.2</v>
      </c>
      <c r="HI347" s="19">
        <v>30.1</v>
      </c>
      <c r="HJ347" s="19">
        <v>35.8</v>
      </c>
      <c r="HK347" s="19">
        <v>41.4</v>
      </c>
      <c r="HL347" s="19">
        <v>40.1</v>
      </c>
      <c r="HM347" s="19">
        <v>43.4</v>
      </c>
      <c r="HN347" s="19">
        <v>47.8</v>
      </c>
      <c r="HO347" s="19">
        <v>46.5</v>
      </c>
      <c r="HP347" s="19">
        <v>45.4</v>
      </c>
      <c r="HQ347" s="19">
        <v>44.5</v>
      </c>
      <c r="HR347" s="19">
        <v>106</v>
      </c>
      <c r="HS347" s="19">
        <v>93.6</v>
      </c>
      <c r="HT347" s="19">
        <v>104</v>
      </c>
      <c r="HU347" s="19">
        <v>117.6</v>
      </c>
      <c r="HV347" s="19">
        <v>116.6</v>
      </c>
      <c r="HW347" s="19">
        <v>134.3</v>
      </c>
      <c r="HX347" s="19">
        <v>133.5</v>
      </c>
      <c r="HY347" s="19">
        <v>132.3</v>
      </c>
      <c r="HZ347" s="19">
        <v>131.2</v>
      </c>
      <c r="IA347" s="19">
        <v>130.2</v>
      </c>
      <c r="IB347" s="19">
        <v>129.5</v>
      </c>
    </row>
    <row r="348">
      <c r="A348" s="2" t="s">
        <v>2239</v>
      </c>
      <c r="B348" s="2" t="s">
        <v>773</v>
      </c>
      <c r="C348" s="2" t="s">
        <v>2240</v>
      </c>
      <c r="D348" s="2" t="s">
        <v>985</v>
      </c>
      <c r="E348" s="2" t="s">
        <v>2241</v>
      </c>
      <c r="F348" s="2" t="s">
        <v>2242</v>
      </c>
      <c r="G348" s="2" t="s">
        <v>2242</v>
      </c>
      <c r="H348" s="2" t="s">
        <v>2242</v>
      </c>
      <c r="I348" s="2" t="s">
        <v>2243</v>
      </c>
      <c r="J348" s="2" t="s">
        <v>252</v>
      </c>
      <c r="K348" s="2" t="s">
        <v>229</v>
      </c>
      <c r="L348" s="3">
        <v>50</v>
      </c>
      <c r="M348" s="3">
        <v>52.5</v>
      </c>
      <c r="N348" s="3">
        <v>104.99</v>
      </c>
      <c r="O348" s="2" t="s">
        <v>230</v>
      </c>
      <c r="P348" s="2" t="s">
        <v>231</v>
      </c>
      <c r="Q348" s="2" t="s">
        <v>232</v>
      </c>
      <c r="R348" s="2" t="s">
        <v>233</v>
      </c>
      <c r="S348" s="2" t="s">
        <v>2244</v>
      </c>
      <c r="T348" s="2" t="s">
        <v>1859</v>
      </c>
      <c r="U348" s="2" t="s">
        <v>329</v>
      </c>
      <c r="V348" s="2" t="s">
        <v>236</v>
      </c>
      <c r="W348" s="2" t="s">
        <v>237</v>
      </c>
      <c r="X348" s="2" t="s">
        <v>233</v>
      </c>
      <c r="Y348" s="2" t="s">
        <v>2245</v>
      </c>
      <c r="Z348" s="4">
        <v>192</v>
      </c>
      <c r="AA348" s="4">
        <f>=ROUNDDOWN(48,0)</f>
      </c>
      <c r="AB348" s="5">
        <v>4</v>
      </c>
      <c r="AC348" s="2" t="s">
        <v>233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233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233</v>
      </c>
      <c r="AW348" s="8" t="s">
        <v>233</v>
      </c>
      <c r="AX348" s="4" t="s">
        <v>233</v>
      </c>
      <c r="AY348" s="8" t="s">
        <v>233</v>
      </c>
      <c r="AZ348" s="7" t="s">
        <v>233</v>
      </c>
      <c r="BA348" s="7" t="s">
        <v>233</v>
      </c>
      <c r="BB348" s="7"/>
      <c r="BC348" s="4" t="s">
        <v>233</v>
      </c>
      <c r="BD348" s="8" t="s">
        <v>233</v>
      </c>
      <c r="BE348" s="4" t="s">
        <v>233</v>
      </c>
      <c r="BF348" s="8" t="s">
        <v>233</v>
      </c>
      <c r="BG348" s="7" t="s">
        <v>233</v>
      </c>
      <c r="BH348" s="7" t="s">
        <v>233</v>
      </c>
      <c r="BI348" s="7"/>
      <c r="BJ348" s="4">
        <v>25</v>
      </c>
      <c r="BK348" s="8">
        <v>1481.04</v>
      </c>
      <c r="BL348" s="2" t="s">
        <v>2246</v>
      </c>
      <c r="BM348" s="7"/>
      <c r="BN348" s="7"/>
      <c r="BO348" s="4"/>
      <c r="BP348" s="8"/>
      <c r="BQ348" s="4"/>
      <c r="BR348" s="8"/>
      <c r="BS348" s="7"/>
      <c r="BT348" s="7"/>
      <c r="BU348" s="2" t="s">
        <v>2247</v>
      </c>
      <c r="BV348" s="2" t="s">
        <v>233</v>
      </c>
      <c r="BW348" s="2" t="s">
        <v>233</v>
      </c>
      <c r="BX348" s="2" t="s">
        <v>241</v>
      </c>
      <c r="BY348" s="2" t="s">
        <v>242</v>
      </c>
      <c r="BZ348" s="2" t="s">
        <v>230</v>
      </c>
      <c r="CA348" s="2" t="s">
        <v>857</v>
      </c>
      <c r="CB348" s="2" t="s">
        <v>595</v>
      </c>
      <c r="CC348" s="2" t="s">
        <v>245</v>
      </c>
      <c r="CD348" s="2" t="s">
        <v>233</v>
      </c>
      <c r="CE348" s="4">
        <v>192</v>
      </c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>
        <v>192</v>
      </c>
      <c r="GD348" s="4">
        <v>187</v>
      </c>
      <c r="GE348" s="4">
        <v>179</v>
      </c>
      <c r="GF348" s="4">
        <v>171</v>
      </c>
      <c r="GG348" s="4">
        <v>154</v>
      </c>
      <c r="GH348" s="4">
        <v>144</v>
      </c>
      <c r="GI348" s="4">
        <v>132</v>
      </c>
      <c r="GJ348" s="4">
        <v>126</v>
      </c>
      <c r="GK348" s="4">
        <v>124</v>
      </c>
      <c r="GL348" s="4">
        <v>121</v>
      </c>
      <c r="GM348" s="4">
        <v>118</v>
      </c>
      <c r="GN348" s="4">
        <v>115</v>
      </c>
      <c r="GO348" s="4">
        <v>113</v>
      </c>
      <c r="GP348" s="4">
        <v>111</v>
      </c>
      <c r="GQ348" s="4">
        <v>108</v>
      </c>
      <c r="GR348" s="4">
        <v>106</v>
      </c>
      <c r="GS348" s="4">
        <v>104</v>
      </c>
      <c r="GT348" s="4">
        <v>102</v>
      </c>
      <c r="GU348" s="4">
        <v>100</v>
      </c>
      <c r="GV348" s="4">
        <v>99</v>
      </c>
      <c r="GW348" s="4">
        <v>98</v>
      </c>
      <c r="GX348" s="4">
        <v>97</v>
      </c>
      <c r="GY348" s="4">
        <v>96</v>
      </c>
      <c r="GZ348" s="4">
        <v>95</v>
      </c>
      <c r="HA348" s="4">
        <v>94</v>
      </c>
      <c r="HB348" s="4">
        <v>94</v>
      </c>
      <c r="HC348" s="19">
        <v>19.2</v>
      </c>
      <c r="HD348" s="19">
        <v>17</v>
      </c>
      <c r="HE348" s="19">
        <v>14.9</v>
      </c>
      <c r="HF348" s="19">
        <v>15.5</v>
      </c>
      <c r="HG348" s="19">
        <v>19.3</v>
      </c>
      <c r="HH348" s="19">
        <v>24</v>
      </c>
      <c r="HI348" s="19">
        <v>33</v>
      </c>
      <c r="HJ348" s="19">
        <v>42</v>
      </c>
      <c r="HK348" s="19">
        <v>41.3</v>
      </c>
      <c r="HL348" s="19">
        <v>60.5</v>
      </c>
      <c r="HM348" s="19">
        <v>59</v>
      </c>
      <c r="HN348" s="19">
        <v>57.5</v>
      </c>
      <c r="HO348" s="19">
        <v>56.5</v>
      </c>
      <c r="HP348" s="19">
        <v>55.5</v>
      </c>
      <c r="HQ348" s="19">
        <v>54</v>
      </c>
      <c r="HR348" s="19">
        <v>53</v>
      </c>
      <c r="HS348" s="19">
        <v>52</v>
      </c>
      <c r="HT348" s="19">
        <v>102</v>
      </c>
      <c r="HU348" s="19">
        <v>100</v>
      </c>
      <c r="HV348" s="19">
        <v>99</v>
      </c>
      <c r="HW348" s="19">
        <v>98</v>
      </c>
      <c r="HX348" s="19">
        <v>97</v>
      </c>
      <c r="HY348" s="19">
        <v>96</v>
      </c>
      <c r="HZ348" s="19">
        <v>95</v>
      </c>
      <c r="IA348" s="19">
        <v>94</v>
      </c>
      <c r="IB348" s="19">
        <v>94</v>
      </c>
    </row>
    <row r="349">
      <c r="A349" s="2" t="s">
        <v>2248</v>
      </c>
      <c r="B349" s="2" t="s">
        <v>773</v>
      </c>
      <c r="C349" s="2" t="s">
        <v>2240</v>
      </c>
      <c r="D349" s="2" t="s">
        <v>985</v>
      </c>
      <c r="E349" s="2" t="s">
        <v>2241</v>
      </c>
      <c r="F349" s="2" t="s">
        <v>2242</v>
      </c>
      <c r="G349" s="2" t="s">
        <v>2242</v>
      </c>
      <c r="H349" s="2" t="s">
        <v>2242</v>
      </c>
      <c r="I349" s="2" t="s">
        <v>2243</v>
      </c>
      <c r="J349" s="2" t="s">
        <v>336</v>
      </c>
      <c r="K349" s="2" t="s">
        <v>229</v>
      </c>
      <c r="L349" s="3">
        <v>71.42</v>
      </c>
      <c r="M349" s="3">
        <v>74.99</v>
      </c>
      <c r="N349" s="3">
        <v>149.99</v>
      </c>
      <c r="O349" s="2" t="s">
        <v>230</v>
      </c>
      <c r="P349" s="2" t="s">
        <v>231</v>
      </c>
      <c r="Q349" s="2" t="s">
        <v>232</v>
      </c>
      <c r="R349" s="2" t="s">
        <v>233</v>
      </c>
      <c r="S349" s="2" t="s">
        <v>2244</v>
      </c>
      <c r="T349" s="2" t="s">
        <v>1859</v>
      </c>
      <c r="U349" s="2" t="s">
        <v>329</v>
      </c>
      <c r="V349" s="2" t="s">
        <v>236</v>
      </c>
      <c r="W349" s="2" t="s">
        <v>237</v>
      </c>
      <c r="X349" s="2" t="s">
        <v>233</v>
      </c>
      <c r="Y349" s="2" t="s">
        <v>2245</v>
      </c>
      <c r="Z349" s="4">
        <v>199</v>
      </c>
      <c r="AA349" s="4">
        <f>=ROUNDDOWN(99.5,0)</f>
      </c>
      <c r="AB349" s="5">
        <v>2</v>
      </c>
      <c r="AC349" s="2" t="s">
        <v>233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233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233</v>
      </c>
      <c r="AW349" s="8" t="s">
        <v>233</v>
      </c>
      <c r="AX349" s="4" t="s">
        <v>233</v>
      </c>
      <c r="AY349" s="8" t="s">
        <v>233</v>
      </c>
      <c r="AZ349" s="7" t="s">
        <v>233</v>
      </c>
      <c r="BA349" s="7" t="s">
        <v>233</v>
      </c>
      <c r="BB349" s="7"/>
      <c r="BC349" s="4" t="s">
        <v>233</v>
      </c>
      <c r="BD349" s="8" t="s">
        <v>233</v>
      </c>
      <c r="BE349" s="4" t="s">
        <v>233</v>
      </c>
      <c r="BF349" s="8" t="s">
        <v>233</v>
      </c>
      <c r="BG349" s="7" t="s">
        <v>233</v>
      </c>
      <c r="BH349" s="7" t="s">
        <v>233</v>
      </c>
      <c r="BI349" s="7"/>
      <c r="BJ349" s="4">
        <v>19</v>
      </c>
      <c r="BK349" s="8">
        <v>1523.06</v>
      </c>
      <c r="BL349" s="2" t="s">
        <v>678</v>
      </c>
      <c r="BM349" s="7"/>
      <c r="BN349" s="7"/>
      <c r="BO349" s="4"/>
      <c r="BP349" s="8"/>
      <c r="BQ349" s="4"/>
      <c r="BR349" s="8"/>
      <c r="BS349" s="7"/>
      <c r="BT349" s="7"/>
      <c r="BU349" s="2" t="s">
        <v>2247</v>
      </c>
      <c r="BV349" s="2" t="s">
        <v>233</v>
      </c>
      <c r="BW349" s="2" t="s">
        <v>233</v>
      </c>
      <c r="BX349" s="2" t="s">
        <v>241</v>
      </c>
      <c r="BY349" s="2" t="s">
        <v>242</v>
      </c>
      <c r="BZ349" s="2" t="s">
        <v>230</v>
      </c>
      <c r="CA349" s="2" t="s">
        <v>857</v>
      </c>
      <c r="CB349" s="2" t="s">
        <v>450</v>
      </c>
      <c r="CC349" s="2" t="s">
        <v>245</v>
      </c>
      <c r="CD349" s="2" t="s">
        <v>233</v>
      </c>
      <c r="CE349" s="4">
        <v>199</v>
      </c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>
        <v>202</v>
      </c>
      <c r="GD349" s="4">
        <v>197</v>
      </c>
      <c r="GE349" s="4">
        <v>193</v>
      </c>
      <c r="GF349" s="4">
        <v>190</v>
      </c>
      <c r="GG349" s="4">
        <v>182</v>
      </c>
      <c r="GH349" s="4">
        <v>177</v>
      </c>
      <c r="GI349" s="4">
        <v>171</v>
      </c>
      <c r="GJ349" s="4">
        <v>168</v>
      </c>
      <c r="GK349" s="4">
        <v>167</v>
      </c>
      <c r="GL349" s="4">
        <v>166</v>
      </c>
      <c r="GM349" s="4">
        <v>164</v>
      </c>
      <c r="GN349" s="4">
        <v>162</v>
      </c>
      <c r="GO349" s="4">
        <v>161</v>
      </c>
      <c r="GP349" s="4">
        <v>160</v>
      </c>
      <c r="GQ349" s="4">
        <v>159</v>
      </c>
      <c r="GR349" s="4">
        <v>158</v>
      </c>
      <c r="GS349" s="4">
        <v>157</v>
      </c>
      <c r="GT349" s="4">
        <v>156</v>
      </c>
      <c r="GU349" s="4">
        <v>155</v>
      </c>
      <c r="GV349" s="4">
        <v>154</v>
      </c>
      <c r="GW349" s="4">
        <v>153</v>
      </c>
      <c r="GX349" s="4">
        <v>152</v>
      </c>
      <c r="GY349" s="4">
        <v>151</v>
      </c>
      <c r="GZ349" s="4">
        <v>150</v>
      </c>
      <c r="HA349" s="4">
        <v>150</v>
      </c>
      <c r="HB349" s="4">
        <v>150</v>
      </c>
      <c r="HC349" s="19">
        <v>40.4</v>
      </c>
      <c r="HD349" s="19">
        <v>39.4</v>
      </c>
      <c r="HE349" s="19">
        <v>32.2</v>
      </c>
      <c r="HF349" s="19">
        <v>31.7</v>
      </c>
      <c r="HG349" s="19">
        <v>45.5</v>
      </c>
      <c r="HH349" s="19">
        <v>59</v>
      </c>
      <c r="HI349" s="19">
        <v>85.5</v>
      </c>
      <c r="HJ349" s="19">
        <v>84</v>
      </c>
      <c r="HK349" s="19">
        <v>83.5</v>
      </c>
      <c r="HL349" s="19">
        <v>83</v>
      </c>
      <c r="HM349" s="19">
        <v>164</v>
      </c>
      <c r="HN349" s="19">
        <v>162</v>
      </c>
      <c r="HO349" s="19">
        <v>161</v>
      </c>
      <c r="HP349" s="19">
        <v>160</v>
      </c>
      <c r="HQ349" s="19">
        <v>159</v>
      </c>
      <c r="HR349" s="19">
        <v>158</v>
      </c>
      <c r="HS349" s="19">
        <v>157</v>
      </c>
      <c r="HT349" s="19">
        <v>156</v>
      </c>
      <c r="HU349" s="19">
        <v>155</v>
      </c>
      <c r="HV349" s="19">
        <v>154</v>
      </c>
      <c r="HW349" s="19">
        <v>153</v>
      </c>
      <c r="HX349" s="20">
        <v>0</v>
      </c>
      <c r="HY349" s="20">
        <v>0</v>
      </c>
      <c r="HZ349" s="9"/>
      <c r="IA349" s="9"/>
      <c r="IB349" s="9"/>
    </row>
    <row r="350">
      <c r="A350" s="2" t="s">
        <v>2249</v>
      </c>
      <c r="B350" s="2" t="s">
        <v>773</v>
      </c>
      <c r="C350" s="2" t="s">
        <v>2240</v>
      </c>
      <c r="D350" s="2" t="s">
        <v>985</v>
      </c>
      <c r="E350" s="2" t="s">
        <v>2241</v>
      </c>
      <c r="F350" s="2" t="s">
        <v>2242</v>
      </c>
      <c r="G350" s="2" t="s">
        <v>2242</v>
      </c>
      <c r="H350" s="2" t="s">
        <v>2242</v>
      </c>
      <c r="I350" s="2" t="s">
        <v>2243</v>
      </c>
      <c r="J350" s="2" t="s">
        <v>228</v>
      </c>
      <c r="K350" s="2" t="s">
        <v>1525</v>
      </c>
      <c r="L350" s="3">
        <v>45.23</v>
      </c>
      <c r="M350" s="3">
        <v>47.49</v>
      </c>
      <c r="N350" s="3">
        <v>94.99</v>
      </c>
      <c r="O350" s="2" t="s">
        <v>230</v>
      </c>
      <c r="P350" s="2" t="s">
        <v>231</v>
      </c>
      <c r="Q350" s="2" t="s">
        <v>232</v>
      </c>
      <c r="R350" s="2" t="s">
        <v>233</v>
      </c>
      <c r="S350" s="2" t="s">
        <v>2250</v>
      </c>
      <c r="T350" s="2" t="s">
        <v>1859</v>
      </c>
      <c r="U350" s="2" t="s">
        <v>329</v>
      </c>
      <c r="V350" s="2" t="s">
        <v>236</v>
      </c>
      <c r="W350" s="2" t="s">
        <v>237</v>
      </c>
      <c r="X350" s="2" t="s">
        <v>233</v>
      </c>
      <c r="Y350" s="2" t="s">
        <v>2245</v>
      </c>
      <c r="Z350" s="4">
        <v>236</v>
      </c>
      <c r="AA350" s="4">
        <f>=ROUNDDOWN(118,0)</f>
      </c>
      <c r="AB350" s="5">
        <v>2</v>
      </c>
      <c r="AC350" s="2" t="s">
        <v>233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233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233</v>
      </c>
      <c r="AW350" s="8" t="s">
        <v>233</v>
      </c>
      <c r="AX350" s="4" t="s">
        <v>233</v>
      </c>
      <c r="AY350" s="8" t="s">
        <v>233</v>
      </c>
      <c r="AZ350" s="7" t="s">
        <v>233</v>
      </c>
      <c r="BA350" s="7" t="s">
        <v>233</v>
      </c>
      <c r="BB350" s="7"/>
      <c r="BC350" s="4" t="s">
        <v>233</v>
      </c>
      <c r="BD350" s="8" t="s">
        <v>233</v>
      </c>
      <c r="BE350" s="4" t="s">
        <v>233</v>
      </c>
      <c r="BF350" s="8" t="s">
        <v>233</v>
      </c>
      <c r="BG350" s="7" t="s">
        <v>233</v>
      </c>
      <c r="BH350" s="7" t="s">
        <v>233</v>
      </c>
      <c r="BI350" s="7"/>
      <c r="BJ350" s="4">
        <v>12</v>
      </c>
      <c r="BK350" s="8">
        <v>645.66</v>
      </c>
      <c r="BL350" s="2" t="s">
        <v>475</v>
      </c>
      <c r="BM350" s="7"/>
      <c r="BN350" s="7"/>
      <c r="BO350" s="4"/>
      <c r="BP350" s="8"/>
      <c r="BQ350" s="4"/>
      <c r="BR350" s="8"/>
      <c r="BS350" s="7"/>
      <c r="BT350" s="7"/>
      <c r="BU350" s="2" t="s">
        <v>2247</v>
      </c>
      <c r="BV350" s="2" t="s">
        <v>233</v>
      </c>
      <c r="BW350" s="2" t="s">
        <v>233</v>
      </c>
      <c r="BX350" s="2" t="s">
        <v>241</v>
      </c>
      <c r="BY350" s="2" t="s">
        <v>242</v>
      </c>
      <c r="BZ350" s="2" t="s">
        <v>230</v>
      </c>
      <c r="CA350" s="2" t="s">
        <v>857</v>
      </c>
      <c r="CB350" s="2" t="s">
        <v>2251</v>
      </c>
      <c r="CC350" s="2" t="s">
        <v>245</v>
      </c>
      <c r="CD350" s="2" t="s">
        <v>233</v>
      </c>
      <c r="CE350" s="4">
        <v>236</v>
      </c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>
        <v>237</v>
      </c>
      <c r="GD350" s="4">
        <v>234</v>
      </c>
      <c r="GE350" s="4">
        <v>231</v>
      </c>
      <c r="GF350" s="4">
        <v>228</v>
      </c>
      <c r="GG350" s="4">
        <v>220</v>
      </c>
      <c r="GH350" s="4">
        <v>215</v>
      </c>
      <c r="GI350" s="4">
        <v>209</v>
      </c>
      <c r="GJ350" s="4">
        <v>206</v>
      </c>
      <c r="GK350" s="4">
        <v>205</v>
      </c>
      <c r="GL350" s="4">
        <v>203</v>
      </c>
      <c r="GM350" s="4">
        <v>201</v>
      </c>
      <c r="GN350" s="4">
        <v>199</v>
      </c>
      <c r="GO350" s="4">
        <v>197</v>
      </c>
      <c r="GP350" s="4">
        <v>195</v>
      </c>
      <c r="GQ350" s="4">
        <v>193</v>
      </c>
      <c r="GR350" s="4">
        <v>191</v>
      </c>
      <c r="GS350" s="4">
        <v>189</v>
      </c>
      <c r="GT350" s="4">
        <v>187</v>
      </c>
      <c r="GU350" s="4">
        <v>186</v>
      </c>
      <c r="GV350" s="4">
        <v>184</v>
      </c>
      <c r="GW350" s="4">
        <v>182</v>
      </c>
      <c r="GX350" s="4">
        <v>181</v>
      </c>
      <c r="GY350" s="4">
        <v>180</v>
      </c>
      <c r="GZ350" s="4">
        <v>179</v>
      </c>
      <c r="HA350" s="4">
        <v>178</v>
      </c>
      <c r="HB350" s="4">
        <v>177</v>
      </c>
      <c r="HC350" s="19">
        <v>59.3</v>
      </c>
      <c r="HD350" s="19">
        <v>46.8</v>
      </c>
      <c r="HE350" s="19">
        <v>38.5</v>
      </c>
      <c r="HF350" s="19">
        <v>38</v>
      </c>
      <c r="HG350" s="19">
        <v>55</v>
      </c>
      <c r="HH350" s="19">
        <v>71.7</v>
      </c>
      <c r="HI350" s="19">
        <v>104.5</v>
      </c>
      <c r="HJ350" s="19">
        <v>103</v>
      </c>
      <c r="HK350" s="19">
        <v>102.5</v>
      </c>
      <c r="HL350" s="19">
        <v>101.5</v>
      </c>
      <c r="HM350" s="19">
        <v>100.5</v>
      </c>
      <c r="HN350" s="19">
        <v>99.5</v>
      </c>
      <c r="HO350" s="19">
        <v>98.5</v>
      </c>
      <c r="HP350" s="19">
        <v>97.5</v>
      </c>
      <c r="HQ350" s="19">
        <v>96.5</v>
      </c>
      <c r="HR350" s="19">
        <v>95.5</v>
      </c>
      <c r="HS350" s="19">
        <v>94.5</v>
      </c>
      <c r="HT350" s="19">
        <v>93.5</v>
      </c>
      <c r="HU350" s="19">
        <v>93</v>
      </c>
      <c r="HV350" s="19">
        <v>184</v>
      </c>
      <c r="HW350" s="19">
        <v>182</v>
      </c>
      <c r="HX350" s="19">
        <v>181</v>
      </c>
      <c r="HY350" s="19">
        <v>180</v>
      </c>
      <c r="HZ350" s="20">
        <v>0</v>
      </c>
      <c r="IA350" s="20">
        <v>0</v>
      </c>
      <c r="IB350" s="9"/>
    </row>
    <row r="351">
      <c r="A351" s="2" t="s">
        <v>2252</v>
      </c>
      <c r="B351" s="2" t="s">
        <v>773</v>
      </c>
      <c r="C351" s="2" t="s">
        <v>2240</v>
      </c>
      <c r="D351" s="2" t="s">
        <v>985</v>
      </c>
      <c r="E351" s="2" t="s">
        <v>2241</v>
      </c>
      <c r="F351" s="2" t="s">
        <v>2242</v>
      </c>
      <c r="G351" s="2" t="s">
        <v>2242</v>
      </c>
      <c r="H351" s="2" t="s">
        <v>2242</v>
      </c>
      <c r="I351" s="2" t="s">
        <v>2243</v>
      </c>
      <c r="J351" s="2" t="s">
        <v>252</v>
      </c>
      <c r="K351" s="2" t="s">
        <v>1525</v>
      </c>
      <c r="L351" s="3">
        <v>50</v>
      </c>
      <c r="M351" s="3">
        <v>52.5</v>
      </c>
      <c r="N351" s="3">
        <v>104.99</v>
      </c>
      <c r="O351" s="2" t="s">
        <v>230</v>
      </c>
      <c r="P351" s="2" t="s">
        <v>231</v>
      </c>
      <c r="Q351" s="2" t="s">
        <v>232</v>
      </c>
      <c r="R351" s="2" t="s">
        <v>233</v>
      </c>
      <c r="S351" s="2" t="s">
        <v>2250</v>
      </c>
      <c r="T351" s="2" t="s">
        <v>1859</v>
      </c>
      <c r="U351" s="2" t="s">
        <v>329</v>
      </c>
      <c r="V351" s="2" t="s">
        <v>236</v>
      </c>
      <c r="W351" s="2" t="s">
        <v>237</v>
      </c>
      <c r="X351" s="2" t="s">
        <v>233</v>
      </c>
      <c r="Y351" s="2" t="s">
        <v>2245</v>
      </c>
      <c r="Z351" s="4">
        <v>214</v>
      </c>
      <c r="AA351" s="4">
        <f>=ROUNDDOWN(107,0)</f>
      </c>
      <c r="AB351" s="5">
        <v>2</v>
      </c>
      <c r="AC351" s="2" t="s">
        <v>233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233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233</v>
      </c>
      <c r="AW351" s="8" t="s">
        <v>233</v>
      </c>
      <c r="AX351" s="4" t="s">
        <v>233</v>
      </c>
      <c r="AY351" s="8" t="s">
        <v>233</v>
      </c>
      <c r="AZ351" s="7" t="s">
        <v>233</v>
      </c>
      <c r="BA351" s="7" t="s">
        <v>233</v>
      </c>
      <c r="BB351" s="7"/>
      <c r="BC351" s="4" t="s">
        <v>233</v>
      </c>
      <c r="BD351" s="8" t="s">
        <v>233</v>
      </c>
      <c r="BE351" s="4" t="s">
        <v>233</v>
      </c>
      <c r="BF351" s="8" t="s">
        <v>233</v>
      </c>
      <c r="BG351" s="7" t="s">
        <v>233</v>
      </c>
      <c r="BH351" s="7" t="s">
        <v>233</v>
      </c>
      <c r="BI351" s="7"/>
      <c r="BJ351" s="4">
        <v>26</v>
      </c>
      <c r="BK351" s="8">
        <v>1508.6</v>
      </c>
      <c r="BL351" s="2" t="s">
        <v>2253</v>
      </c>
      <c r="BM351" s="7"/>
      <c r="BN351" s="7"/>
      <c r="BO351" s="4"/>
      <c r="BP351" s="8"/>
      <c r="BQ351" s="4"/>
      <c r="BR351" s="8"/>
      <c r="BS351" s="7"/>
      <c r="BT351" s="7"/>
      <c r="BU351" s="2" t="s">
        <v>2247</v>
      </c>
      <c r="BV351" s="2" t="s">
        <v>233</v>
      </c>
      <c r="BW351" s="2" t="s">
        <v>233</v>
      </c>
      <c r="BX351" s="2" t="s">
        <v>241</v>
      </c>
      <c r="BY351" s="2" t="s">
        <v>242</v>
      </c>
      <c r="BZ351" s="2" t="s">
        <v>230</v>
      </c>
      <c r="CA351" s="2" t="s">
        <v>857</v>
      </c>
      <c r="CB351" s="2" t="s">
        <v>2254</v>
      </c>
      <c r="CC351" s="2" t="s">
        <v>245</v>
      </c>
      <c r="CD351" s="2" t="s">
        <v>233</v>
      </c>
      <c r="CE351" s="4">
        <v>214</v>
      </c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>
        <v>218</v>
      </c>
      <c r="GD351" s="4">
        <v>212</v>
      </c>
      <c r="GE351" s="4">
        <v>208</v>
      </c>
      <c r="GF351" s="4">
        <v>204</v>
      </c>
      <c r="GG351" s="4">
        <v>195</v>
      </c>
      <c r="GH351" s="4">
        <v>190</v>
      </c>
      <c r="GI351" s="4">
        <v>184</v>
      </c>
      <c r="GJ351" s="4">
        <v>181</v>
      </c>
      <c r="GK351" s="4">
        <v>180</v>
      </c>
      <c r="GL351" s="4">
        <v>179</v>
      </c>
      <c r="GM351" s="4">
        <v>178</v>
      </c>
      <c r="GN351" s="4">
        <v>176</v>
      </c>
      <c r="GO351" s="4">
        <v>175</v>
      </c>
      <c r="GP351" s="4">
        <v>174</v>
      </c>
      <c r="GQ351" s="4">
        <v>173</v>
      </c>
      <c r="GR351" s="4">
        <v>172</v>
      </c>
      <c r="GS351" s="4">
        <v>171</v>
      </c>
      <c r="GT351" s="4">
        <v>170</v>
      </c>
      <c r="GU351" s="4">
        <v>169</v>
      </c>
      <c r="GV351" s="4">
        <v>168</v>
      </c>
      <c r="GW351" s="4">
        <v>167</v>
      </c>
      <c r="GX351" s="4">
        <v>166</v>
      </c>
      <c r="GY351" s="4">
        <v>166</v>
      </c>
      <c r="GZ351" s="4">
        <v>166</v>
      </c>
      <c r="HA351" s="4">
        <v>166</v>
      </c>
      <c r="HB351" s="4">
        <v>166</v>
      </c>
      <c r="HC351" s="19">
        <v>36.3</v>
      </c>
      <c r="HD351" s="19">
        <v>35.3</v>
      </c>
      <c r="HE351" s="19">
        <v>34.7</v>
      </c>
      <c r="HF351" s="19">
        <v>34</v>
      </c>
      <c r="HG351" s="19">
        <v>48.8</v>
      </c>
      <c r="HH351" s="19">
        <v>63.3</v>
      </c>
      <c r="HI351" s="19">
        <v>92</v>
      </c>
      <c r="HJ351" s="19">
        <v>181</v>
      </c>
      <c r="HK351" s="19">
        <v>180</v>
      </c>
      <c r="HL351" s="19">
        <v>179</v>
      </c>
      <c r="HM351" s="19">
        <v>178</v>
      </c>
      <c r="HN351" s="19">
        <v>176</v>
      </c>
      <c r="HO351" s="19">
        <v>175</v>
      </c>
      <c r="HP351" s="19">
        <v>174</v>
      </c>
      <c r="HQ351" s="19">
        <v>173</v>
      </c>
      <c r="HR351" s="19">
        <v>172</v>
      </c>
      <c r="HS351" s="19">
        <v>171</v>
      </c>
      <c r="HT351" s="19">
        <v>170</v>
      </c>
      <c r="HU351" s="19">
        <v>169</v>
      </c>
      <c r="HV351" s="20">
        <v>0</v>
      </c>
      <c r="HW351" s="20">
        <v>0</v>
      </c>
      <c r="HX351" s="9"/>
      <c r="HY351" s="9"/>
      <c r="HZ351" s="9"/>
      <c r="IA351" s="19">
        <v>166</v>
      </c>
      <c r="IB351" s="19">
        <v>166</v>
      </c>
    </row>
    <row r="352">
      <c r="A352" s="2" t="s">
        <v>2255</v>
      </c>
      <c r="B352" s="2" t="s">
        <v>773</v>
      </c>
      <c r="C352" s="2" t="s">
        <v>2240</v>
      </c>
      <c r="D352" s="2" t="s">
        <v>985</v>
      </c>
      <c r="E352" s="2" t="s">
        <v>2241</v>
      </c>
      <c r="F352" s="2" t="s">
        <v>2242</v>
      </c>
      <c r="G352" s="2" t="s">
        <v>2242</v>
      </c>
      <c r="H352" s="2" t="s">
        <v>2242</v>
      </c>
      <c r="I352" s="2" t="s">
        <v>2243</v>
      </c>
      <c r="J352" s="2" t="s">
        <v>228</v>
      </c>
      <c r="K352" s="2" t="s">
        <v>300</v>
      </c>
      <c r="L352" s="3">
        <v>45.23</v>
      </c>
      <c r="M352" s="3">
        <v>47.49</v>
      </c>
      <c r="N352" s="3">
        <v>94.99</v>
      </c>
      <c r="O352" s="2" t="s">
        <v>230</v>
      </c>
      <c r="P352" s="2" t="s">
        <v>231</v>
      </c>
      <c r="Q352" s="2" t="s">
        <v>232</v>
      </c>
      <c r="R352" s="2" t="s">
        <v>233</v>
      </c>
      <c r="S352" s="2" t="s">
        <v>2256</v>
      </c>
      <c r="T352" s="2" t="s">
        <v>1859</v>
      </c>
      <c r="U352" s="2" t="s">
        <v>329</v>
      </c>
      <c r="V352" s="2" t="s">
        <v>236</v>
      </c>
      <c r="W352" s="2" t="s">
        <v>237</v>
      </c>
      <c r="X352" s="2" t="s">
        <v>233</v>
      </c>
      <c r="Y352" s="2" t="s">
        <v>2245</v>
      </c>
      <c r="Z352" s="4">
        <v>191</v>
      </c>
      <c r="AA352" s="4">
        <f>=ROUNDDOWN(63.6666666666667,0)</f>
      </c>
      <c r="AB352" s="5">
        <v>3</v>
      </c>
      <c r="AC352" s="2" t="s">
        <v>233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233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233</v>
      </c>
      <c r="AW352" s="8" t="s">
        <v>233</v>
      </c>
      <c r="AX352" s="4" t="s">
        <v>233</v>
      </c>
      <c r="AY352" s="8" t="s">
        <v>233</v>
      </c>
      <c r="AZ352" s="7" t="s">
        <v>233</v>
      </c>
      <c r="BA352" s="7" t="s">
        <v>233</v>
      </c>
      <c r="BB352" s="7"/>
      <c r="BC352" s="4" t="s">
        <v>233</v>
      </c>
      <c r="BD352" s="8" t="s">
        <v>233</v>
      </c>
      <c r="BE352" s="4" t="s">
        <v>233</v>
      </c>
      <c r="BF352" s="8" t="s">
        <v>233</v>
      </c>
      <c r="BG352" s="7" t="s">
        <v>233</v>
      </c>
      <c r="BH352" s="7" t="s">
        <v>233</v>
      </c>
      <c r="BI352" s="7"/>
      <c r="BJ352" s="4">
        <v>26</v>
      </c>
      <c r="BK352" s="8">
        <v>1370.82</v>
      </c>
      <c r="BL352" s="2" t="s">
        <v>475</v>
      </c>
      <c r="BM352" s="7"/>
      <c r="BN352" s="7"/>
      <c r="BO352" s="4"/>
      <c r="BP352" s="8"/>
      <c r="BQ352" s="4"/>
      <c r="BR352" s="8"/>
      <c r="BS352" s="7"/>
      <c r="BT352" s="7"/>
      <c r="BU352" s="2" t="s">
        <v>2247</v>
      </c>
      <c r="BV352" s="2" t="s">
        <v>233</v>
      </c>
      <c r="BW352" s="2" t="s">
        <v>233</v>
      </c>
      <c r="BX352" s="2" t="s">
        <v>241</v>
      </c>
      <c r="BY352" s="2" t="s">
        <v>242</v>
      </c>
      <c r="BZ352" s="2" t="s">
        <v>230</v>
      </c>
      <c r="CA352" s="2" t="s">
        <v>857</v>
      </c>
      <c r="CB352" s="2" t="s">
        <v>2257</v>
      </c>
      <c r="CC352" s="2" t="s">
        <v>245</v>
      </c>
      <c r="CD352" s="2" t="s">
        <v>233</v>
      </c>
      <c r="CE352" s="4">
        <v>191</v>
      </c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>
        <v>193</v>
      </c>
      <c r="GD352" s="4">
        <v>188</v>
      </c>
      <c r="GE352" s="4">
        <v>183</v>
      </c>
      <c r="GF352" s="4">
        <v>178</v>
      </c>
      <c r="GG352" s="4">
        <v>166</v>
      </c>
      <c r="GH352" s="4">
        <v>159</v>
      </c>
      <c r="GI352" s="4">
        <v>150</v>
      </c>
      <c r="GJ352" s="4">
        <v>145</v>
      </c>
      <c r="GK352" s="4">
        <v>143</v>
      </c>
      <c r="GL352" s="4">
        <v>140</v>
      </c>
      <c r="GM352" s="4">
        <v>137</v>
      </c>
      <c r="GN352" s="4">
        <v>134</v>
      </c>
      <c r="GO352" s="4">
        <v>132</v>
      </c>
      <c r="GP352" s="4">
        <v>130</v>
      </c>
      <c r="GQ352" s="4">
        <v>127</v>
      </c>
      <c r="GR352" s="4">
        <v>124</v>
      </c>
      <c r="GS352" s="4">
        <v>122</v>
      </c>
      <c r="GT352" s="4">
        <v>120</v>
      </c>
      <c r="GU352" s="4">
        <v>118</v>
      </c>
      <c r="GV352" s="4">
        <v>115</v>
      </c>
      <c r="GW352" s="4">
        <v>112</v>
      </c>
      <c r="GX352" s="4">
        <v>110</v>
      </c>
      <c r="GY352" s="4">
        <v>108</v>
      </c>
      <c r="GZ352" s="4">
        <v>107</v>
      </c>
      <c r="HA352" s="4">
        <v>106</v>
      </c>
      <c r="HB352" s="4">
        <v>105</v>
      </c>
      <c r="HC352" s="19">
        <v>27.6</v>
      </c>
      <c r="HD352" s="19">
        <v>26.9</v>
      </c>
      <c r="HE352" s="19">
        <v>22.9</v>
      </c>
      <c r="HF352" s="19">
        <v>22.3</v>
      </c>
      <c r="HG352" s="19">
        <v>27.7</v>
      </c>
      <c r="HH352" s="19">
        <v>31.8</v>
      </c>
      <c r="HI352" s="19">
        <v>50</v>
      </c>
      <c r="HJ352" s="19">
        <v>48.3</v>
      </c>
      <c r="HK352" s="19">
        <v>47.7</v>
      </c>
      <c r="HL352" s="19">
        <v>70</v>
      </c>
      <c r="HM352" s="19">
        <v>68.5</v>
      </c>
      <c r="HN352" s="19">
        <v>67</v>
      </c>
      <c r="HO352" s="19">
        <v>66</v>
      </c>
      <c r="HP352" s="19">
        <v>65</v>
      </c>
      <c r="HQ352" s="19">
        <v>63.5</v>
      </c>
      <c r="HR352" s="19">
        <v>62</v>
      </c>
      <c r="HS352" s="19">
        <v>61</v>
      </c>
      <c r="HT352" s="19">
        <v>60</v>
      </c>
      <c r="HU352" s="19">
        <v>59</v>
      </c>
      <c r="HV352" s="19">
        <v>57.5</v>
      </c>
      <c r="HW352" s="19">
        <v>56</v>
      </c>
      <c r="HX352" s="19">
        <v>110</v>
      </c>
      <c r="HY352" s="19">
        <v>108</v>
      </c>
      <c r="HZ352" s="19">
        <v>107</v>
      </c>
      <c r="IA352" s="19">
        <v>106</v>
      </c>
      <c r="IB352" s="19">
        <v>105</v>
      </c>
    </row>
    <row r="353">
      <c r="A353" s="2" t="s">
        <v>2258</v>
      </c>
      <c r="B353" s="2" t="s">
        <v>773</v>
      </c>
      <c r="C353" s="2" t="s">
        <v>2240</v>
      </c>
      <c r="D353" s="2" t="s">
        <v>985</v>
      </c>
      <c r="E353" s="2" t="s">
        <v>2241</v>
      </c>
      <c r="F353" s="2" t="s">
        <v>2242</v>
      </c>
      <c r="G353" s="2" t="s">
        <v>2242</v>
      </c>
      <c r="H353" s="2" t="s">
        <v>2242</v>
      </c>
      <c r="I353" s="2" t="s">
        <v>2243</v>
      </c>
      <c r="J353" s="2" t="s">
        <v>336</v>
      </c>
      <c r="K353" s="2" t="s">
        <v>300</v>
      </c>
      <c r="L353" s="3">
        <v>71.42</v>
      </c>
      <c r="M353" s="3">
        <v>74.99</v>
      </c>
      <c r="N353" s="3">
        <v>149.99</v>
      </c>
      <c r="O353" s="2" t="s">
        <v>230</v>
      </c>
      <c r="P353" s="2" t="s">
        <v>231</v>
      </c>
      <c r="Q353" s="2" t="s">
        <v>232</v>
      </c>
      <c r="R353" s="2" t="s">
        <v>233</v>
      </c>
      <c r="S353" s="2" t="s">
        <v>2256</v>
      </c>
      <c r="T353" s="2" t="s">
        <v>1859</v>
      </c>
      <c r="U353" s="2" t="s">
        <v>329</v>
      </c>
      <c r="V353" s="2" t="s">
        <v>236</v>
      </c>
      <c r="W353" s="2" t="s">
        <v>237</v>
      </c>
      <c r="X353" s="2" t="s">
        <v>233</v>
      </c>
      <c r="Y353" s="2" t="s">
        <v>1474</v>
      </c>
      <c r="Z353" s="4">
        <v>243</v>
      </c>
      <c r="AA353" s="4">
        <f>=ROUNDDOWN(34.7142857142857,0)</f>
      </c>
      <c r="AB353" s="5">
        <v>7</v>
      </c>
      <c r="AC353" s="2" t="s">
        <v>233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233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233</v>
      </c>
      <c r="AW353" s="8" t="s">
        <v>233</v>
      </c>
      <c r="AX353" s="4" t="s">
        <v>233</v>
      </c>
      <c r="AY353" s="8" t="s">
        <v>233</v>
      </c>
      <c r="AZ353" s="7" t="s">
        <v>233</v>
      </c>
      <c r="BA353" s="7" t="s">
        <v>233</v>
      </c>
      <c r="BB353" s="7"/>
      <c r="BC353" s="4" t="s">
        <v>233</v>
      </c>
      <c r="BD353" s="8" t="s">
        <v>233</v>
      </c>
      <c r="BE353" s="4" t="s">
        <v>233</v>
      </c>
      <c r="BF353" s="8" t="s">
        <v>233</v>
      </c>
      <c r="BG353" s="7" t="s">
        <v>233</v>
      </c>
      <c r="BH353" s="7" t="s">
        <v>233</v>
      </c>
      <c r="BI353" s="7"/>
      <c r="BJ353" s="4">
        <v>30</v>
      </c>
      <c r="BK353" s="8">
        <v>2457.95</v>
      </c>
      <c r="BL353" s="2" t="s">
        <v>2259</v>
      </c>
      <c r="BM353" s="7"/>
      <c r="BN353" s="7"/>
      <c r="BO353" s="4"/>
      <c r="BP353" s="8"/>
      <c r="BQ353" s="4"/>
      <c r="BR353" s="8"/>
      <c r="BS353" s="7"/>
      <c r="BT353" s="7"/>
      <c r="BU353" s="2" t="s">
        <v>2247</v>
      </c>
      <c r="BV353" s="2" t="s">
        <v>233</v>
      </c>
      <c r="BW353" s="2" t="s">
        <v>233</v>
      </c>
      <c r="BX353" s="2" t="s">
        <v>241</v>
      </c>
      <c r="BY353" s="2" t="s">
        <v>242</v>
      </c>
      <c r="BZ353" s="2" t="s">
        <v>230</v>
      </c>
      <c r="CA353" s="2" t="s">
        <v>857</v>
      </c>
      <c r="CB353" s="2" t="s">
        <v>2260</v>
      </c>
      <c r="CC353" s="2" t="s">
        <v>245</v>
      </c>
      <c r="CD353" s="2" t="s">
        <v>233</v>
      </c>
      <c r="CE353" s="4">
        <v>243</v>
      </c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>
        <v>249</v>
      </c>
      <c r="GD353" s="4">
        <v>235</v>
      </c>
      <c r="GE353" s="4">
        <v>222</v>
      </c>
      <c r="GF353" s="4">
        <v>210</v>
      </c>
      <c r="GG353" s="4">
        <v>181</v>
      </c>
      <c r="GH353" s="4">
        <v>164</v>
      </c>
      <c r="GI353" s="4">
        <v>143</v>
      </c>
      <c r="GJ353" s="4">
        <v>132</v>
      </c>
      <c r="GK353" s="4">
        <v>128</v>
      </c>
      <c r="GL353" s="4">
        <v>123</v>
      </c>
      <c r="GM353" s="4">
        <v>117</v>
      </c>
      <c r="GN353" s="4">
        <v>111</v>
      </c>
      <c r="GO353" s="4">
        <v>106</v>
      </c>
      <c r="GP353" s="4">
        <v>101</v>
      </c>
      <c r="GQ353" s="4">
        <v>97</v>
      </c>
      <c r="GR353" s="4">
        <v>93</v>
      </c>
      <c r="GS353" s="4">
        <v>89</v>
      </c>
      <c r="GT353" s="4">
        <v>85</v>
      </c>
      <c r="GU353" s="4">
        <v>83</v>
      </c>
      <c r="GV353" s="4">
        <v>132</v>
      </c>
      <c r="GW353" s="4">
        <v>128</v>
      </c>
      <c r="GX353" s="4">
        <v>126</v>
      </c>
      <c r="GY353" s="4">
        <v>123</v>
      </c>
      <c r="GZ353" s="4">
        <v>121</v>
      </c>
      <c r="HA353" s="4">
        <v>120</v>
      </c>
      <c r="HB353" s="4">
        <v>119</v>
      </c>
      <c r="HC353" s="19">
        <v>14.6</v>
      </c>
      <c r="HD353" s="19">
        <v>13.1</v>
      </c>
      <c r="HE353" s="19">
        <v>11.1</v>
      </c>
      <c r="HF353" s="19">
        <v>10.5</v>
      </c>
      <c r="HG353" s="19">
        <v>13.9</v>
      </c>
      <c r="HH353" s="19">
        <v>16.4</v>
      </c>
      <c r="HI353" s="19">
        <v>23.8</v>
      </c>
      <c r="HJ353" s="19">
        <v>26.4</v>
      </c>
      <c r="HK353" s="19">
        <v>21.3</v>
      </c>
      <c r="HL353" s="19">
        <v>20.5</v>
      </c>
      <c r="HM353" s="19">
        <v>23.4</v>
      </c>
      <c r="HN353" s="19">
        <v>27.8</v>
      </c>
      <c r="HO353" s="19">
        <v>26.5</v>
      </c>
      <c r="HP353" s="19">
        <v>25.3</v>
      </c>
      <c r="HQ353" s="19">
        <v>24.3</v>
      </c>
      <c r="HR353" s="19">
        <v>31</v>
      </c>
      <c r="HS353" s="19">
        <v>29.7</v>
      </c>
      <c r="HT353" s="19">
        <v>28.3</v>
      </c>
      <c r="HU353" s="19">
        <v>27.7</v>
      </c>
      <c r="HV353" s="19">
        <v>44</v>
      </c>
      <c r="HW353" s="19">
        <v>64</v>
      </c>
      <c r="HX353" s="19">
        <v>63</v>
      </c>
      <c r="HY353" s="19">
        <v>123</v>
      </c>
      <c r="HZ353" s="19">
        <v>121</v>
      </c>
      <c r="IA353" s="19">
        <v>120</v>
      </c>
      <c r="IB353" s="19">
        <v>119</v>
      </c>
    </row>
    <row r="354">
      <c r="A354" s="2" t="s">
        <v>2261</v>
      </c>
      <c r="B354" s="2" t="s">
        <v>736</v>
      </c>
      <c r="C354" s="2" t="s">
        <v>1625</v>
      </c>
      <c r="D354" s="2" t="s">
        <v>1197</v>
      </c>
      <c r="E354" s="2" t="s">
        <v>738</v>
      </c>
      <c r="F354" s="2" t="s">
        <v>2262</v>
      </c>
      <c r="G354" s="2" t="s">
        <v>2262</v>
      </c>
      <c r="H354" s="2" t="s">
        <v>2262</v>
      </c>
      <c r="I354" s="2" t="s">
        <v>2263</v>
      </c>
      <c r="J354" s="2" t="s">
        <v>741</v>
      </c>
      <c r="K354" s="2" t="s">
        <v>2264</v>
      </c>
      <c r="L354" s="3">
        <v>37.27</v>
      </c>
      <c r="M354" s="3">
        <v>39.13</v>
      </c>
      <c r="N354" s="3">
        <v>76.49</v>
      </c>
      <c r="O354" s="2" t="s">
        <v>230</v>
      </c>
      <c r="P354" s="2" t="s">
        <v>721</v>
      </c>
      <c r="Q354" s="2" t="s">
        <v>232</v>
      </c>
      <c r="R354" s="2" t="s">
        <v>233</v>
      </c>
      <c r="S354" s="2" t="s">
        <v>2265</v>
      </c>
      <c r="T354" s="2" t="s">
        <v>233</v>
      </c>
      <c r="U354" s="2" t="s">
        <v>781</v>
      </c>
      <c r="V354" s="2" t="s">
        <v>782</v>
      </c>
      <c r="W354" s="2" t="s">
        <v>620</v>
      </c>
      <c r="X354" s="2" t="s">
        <v>877</v>
      </c>
      <c r="Y354" s="2" t="s">
        <v>2266</v>
      </c>
      <c r="Z354" s="4">
        <v>82</v>
      </c>
      <c r="AA354" s="4">
        <f>=ROUNDDOWN(34.1666666666667,0)</f>
      </c>
      <c r="AB354" s="5">
        <v>2.4</v>
      </c>
      <c r="AC354" s="2" t="s">
        <v>233</v>
      </c>
      <c r="AD354" s="4"/>
      <c r="AE354" s="4"/>
      <c r="AF354" s="6">
        <v>63</v>
      </c>
      <c r="AG354" s="6"/>
      <c r="AH354" s="7">
        <v>1</v>
      </c>
      <c r="AI354" s="4"/>
      <c r="AJ354" s="4">
        <f>=ROUNDDOWN({0},0)</f>
      </c>
      <c r="AK354" s="5"/>
      <c r="AL354" s="2" t="s">
        <v>233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>
        <v>8</v>
      </c>
      <c r="BK354" s="8">
        <v>356.88</v>
      </c>
      <c r="BL354" s="2" t="s">
        <v>2267</v>
      </c>
      <c r="BM354" s="7"/>
      <c r="BN354" s="7"/>
      <c r="BO354" s="4"/>
      <c r="BP354" s="8"/>
      <c r="BQ354" s="4"/>
      <c r="BR354" s="8"/>
      <c r="BS354" s="7"/>
      <c r="BT354" s="7"/>
      <c r="BU354" s="2" t="s">
        <v>2268</v>
      </c>
      <c r="BV354" s="2" t="s">
        <v>233</v>
      </c>
      <c r="BW354" s="2" t="s">
        <v>233</v>
      </c>
      <c r="BX354" s="2" t="s">
        <v>241</v>
      </c>
      <c r="BY354" s="2" t="s">
        <v>242</v>
      </c>
      <c r="BZ354" s="2" t="s">
        <v>230</v>
      </c>
      <c r="CA354" s="2" t="s">
        <v>2269</v>
      </c>
      <c r="CB354" s="2" t="s">
        <v>2270</v>
      </c>
      <c r="CC354" s="2" t="s">
        <v>245</v>
      </c>
      <c r="CD354" s="2" t="s">
        <v>233</v>
      </c>
      <c r="CE354" s="4"/>
      <c r="CF354" s="4">
        <v>82</v>
      </c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>
        <v>93</v>
      </c>
      <c r="GD354" s="4">
        <v>84</v>
      </c>
      <c r="GE354" s="4">
        <v>82</v>
      </c>
      <c r="GF354" s="4">
        <v>80</v>
      </c>
      <c r="GG354" s="4">
        <v>77</v>
      </c>
      <c r="GH354" s="4">
        <v>75</v>
      </c>
      <c r="GI354" s="4">
        <v>72</v>
      </c>
      <c r="GJ354" s="4">
        <v>70</v>
      </c>
      <c r="GK354" s="4">
        <v>68</v>
      </c>
      <c r="GL354" s="4">
        <v>66</v>
      </c>
      <c r="GM354" s="4">
        <v>64</v>
      </c>
      <c r="GN354" s="4">
        <v>62</v>
      </c>
      <c r="GO354" s="4">
        <v>60</v>
      </c>
      <c r="GP354" s="4">
        <v>58</v>
      </c>
      <c r="GQ354" s="4">
        <v>56</v>
      </c>
      <c r="GR354" s="4">
        <v>54</v>
      </c>
      <c r="GS354" s="4">
        <v>52</v>
      </c>
      <c r="GT354" s="4">
        <v>50</v>
      </c>
      <c r="GU354" s="4">
        <v>48</v>
      </c>
      <c r="GV354" s="4">
        <v>46</v>
      </c>
      <c r="GW354" s="4">
        <v>44</v>
      </c>
      <c r="GX354" s="4">
        <v>42</v>
      </c>
      <c r="GY354" s="4">
        <v>40</v>
      </c>
      <c r="GZ354" s="4">
        <v>38</v>
      </c>
      <c r="HA354" s="4">
        <v>36</v>
      </c>
      <c r="HB354" s="4">
        <v>34</v>
      </c>
      <c r="HC354" s="19">
        <v>23.3</v>
      </c>
      <c r="HD354" s="19">
        <v>42</v>
      </c>
      <c r="HE354" s="19">
        <v>41</v>
      </c>
      <c r="HF354" s="19">
        <v>40</v>
      </c>
      <c r="HG354" s="19">
        <v>38.5</v>
      </c>
      <c r="HH354" s="19">
        <v>37.5</v>
      </c>
      <c r="HI354" s="19">
        <v>36</v>
      </c>
      <c r="HJ354" s="19">
        <v>35</v>
      </c>
      <c r="HK354" s="19">
        <v>34</v>
      </c>
      <c r="HL354" s="19">
        <v>33</v>
      </c>
      <c r="HM354" s="19">
        <v>32</v>
      </c>
      <c r="HN354" s="19">
        <v>31</v>
      </c>
      <c r="HO354" s="19">
        <v>30</v>
      </c>
      <c r="HP354" s="19">
        <v>29</v>
      </c>
      <c r="HQ354" s="19">
        <v>28</v>
      </c>
      <c r="HR354" s="19">
        <v>27</v>
      </c>
      <c r="HS354" s="19">
        <v>26</v>
      </c>
      <c r="HT354" s="19">
        <v>25</v>
      </c>
      <c r="HU354" s="19">
        <v>24</v>
      </c>
      <c r="HV354" s="19">
        <v>23</v>
      </c>
      <c r="HW354" s="19">
        <v>22</v>
      </c>
      <c r="HX354" s="19">
        <v>21</v>
      </c>
      <c r="HY354" s="19">
        <v>20</v>
      </c>
      <c r="HZ354" s="19">
        <v>19</v>
      </c>
      <c r="IA354" s="19">
        <v>18</v>
      </c>
      <c r="IB354" s="19">
        <v>17</v>
      </c>
    </row>
    <row r="355">
      <c r="A355" s="2" t="s">
        <v>2271</v>
      </c>
      <c r="B355" s="2" t="s">
        <v>773</v>
      </c>
      <c r="C355" s="2" t="s">
        <v>616</v>
      </c>
      <c r="D355" s="2" t="s">
        <v>2224</v>
      </c>
      <c r="E355" s="2" t="s">
        <v>2225</v>
      </c>
      <c r="F355" s="2" t="s">
        <v>2272</v>
      </c>
      <c r="G355" s="2" t="s">
        <v>2272</v>
      </c>
      <c r="H355" s="2" t="s">
        <v>2272</v>
      </c>
      <c r="I355" s="2" t="s">
        <v>2227</v>
      </c>
      <c r="J355" s="2" t="s">
        <v>285</v>
      </c>
      <c r="K355" s="2" t="s">
        <v>266</v>
      </c>
      <c r="L355" s="3">
        <v>74.19</v>
      </c>
      <c r="M355" s="3">
        <v>77.9</v>
      </c>
      <c r="N355" s="3">
        <v>139.99</v>
      </c>
      <c r="O355" s="2" t="s">
        <v>230</v>
      </c>
      <c r="P355" s="2" t="s">
        <v>1903</v>
      </c>
      <c r="Q355" s="2" t="s">
        <v>232</v>
      </c>
      <c r="R355" s="2" t="s">
        <v>233</v>
      </c>
      <c r="S355" s="2" t="s">
        <v>2273</v>
      </c>
      <c r="T355" s="2" t="s">
        <v>268</v>
      </c>
      <c r="U355" s="2" t="s">
        <v>233</v>
      </c>
      <c r="V355" s="2" t="s">
        <v>236</v>
      </c>
      <c r="W355" s="2" t="s">
        <v>237</v>
      </c>
      <c r="X355" s="2" t="s">
        <v>233</v>
      </c>
      <c r="Y355" s="2" t="s">
        <v>238</v>
      </c>
      <c r="Z355" s="4">
        <v>1523</v>
      </c>
      <c r="AA355" s="4">
        <f>=ROUNDDOWN(36.2619047619048,0)</f>
      </c>
      <c r="AB355" s="5">
        <v>42</v>
      </c>
      <c r="AC355" s="2" t="s">
        <v>140</v>
      </c>
      <c r="AD355" s="4">
        <v>290</v>
      </c>
      <c r="AE355" s="4">
        <v>1540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233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>
        <v>458</v>
      </c>
      <c r="BK355" s="8">
        <v>29708.97</v>
      </c>
      <c r="BL355" s="2" t="s">
        <v>2274</v>
      </c>
      <c r="BM355" s="7"/>
      <c r="BN355" s="7"/>
      <c r="BO355" s="4"/>
      <c r="BP355" s="8"/>
      <c r="BQ355" s="4"/>
      <c r="BR355" s="8"/>
      <c r="BS355" s="7"/>
      <c r="BT355" s="7"/>
      <c r="BU355" s="2" t="s">
        <v>2275</v>
      </c>
      <c r="BV355" s="2" t="s">
        <v>233</v>
      </c>
      <c r="BW355" s="2" t="s">
        <v>233</v>
      </c>
      <c r="BX355" s="2" t="s">
        <v>241</v>
      </c>
      <c r="BY355" s="2" t="s">
        <v>242</v>
      </c>
      <c r="BZ355" s="2" t="s">
        <v>230</v>
      </c>
      <c r="CA355" s="2" t="s">
        <v>243</v>
      </c>
      <c r="CB355" s="2" t="s">
        <v>1102</v>
      </c>
      <c r="CC355" s="2" t="s">
        <v>245</v>
      </c>
      <c r="CD355" s="2" t="s">
        <v>233</v>
      </c>
      <c r="CE355" s="4">
        <v>851</v>
      </c>
      <c r="CF355" s="4">
        <v>472</v>
      </c>
      <c r="CG355" s="4"/>
      <c r="CH355" s="4"/>
      <c r="CI355" s="4"/>
      <c r="CJ355" s="4"/>
      <c r="CK355" s="4"/>
      <c r="CL355" s="4"/>
      <c r="CM355" s="4"/>
      <c r="CN355" s="4"/>
      <c r="CO355" s="4">
        <v>200</v>
      </c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>
        <v>290</v>
      </c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>
        <v>1100</v>
      </c>
      <c r="DV355" s="4"/>
      <c r="DW355" s="4"/>
      <c r="DX355" s="4"/>
      <c r="DY355" s="4">
        <v>150</v>
      </c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>
        <v>1795</v>
      </c>
      <c r="GD355" s="4">
        <v>1710</v>
      </c>
      <c r="GE355" s="4">
        <v>1934</v>
      </c>
      <c r="GF355" s="4">
        <v>1872</v>
      </c>
      <c r="GG355" s="4">
        <v>1734</v>
      </c>
      <c r="GH355" s="4">
        <v>2730</v>
      </c>
      <c r="GI355" s="4">
        <v>2775</v>
      </c>
      <c r="GJ355" s="4">
        <v>2707</v>
      </c>
      <c r="GK355" s="4">
        <v>2663</v>
      </c>
      <c r="GL355" s="4">
        <v>2630</v>
      </c>
      <c r="GM355" s="4">
        <v>2597</v>
      </c>
      <c r="GN355" s="4">
        <v>2553</v>
      </c>
      <c r="GO355" s="4">
        <v>2515</v>
      </c>
      <c r="GP355" s="4">
        <v>2480</v>
      </c>
      <c r="GQ355" s="4">
        <v>2453</v>
      </c>
      <c r="GR355" s="4">
        <v>2430</v>
      </c>
      <c r="GS355" s="4">
        <v>2412</v>
      </c>
      <c r="GT355" s="4">
        <v>2390</v>
      </c>
      <c r="GU355" s="4">
        <v>2364</v>
      </c>
      <c r="GV355" s="4">
        <v>2348</v>
      </c>
      <c r="GW355" s="4">
        <v>2326</v>
      </c>
      <c r="GX355" s="4">
        <v>2311</v>
      </c>
      <c r="GY355" s="4">
        <v>2297</v>
      </c>
      <c r="GZ355" s="4">
        <v>2278</v>
      </c>
      <c r="HA355" s="4">
        <v>2252</v>
      </c>
      <c r="HB355" s="4">
        <v>2236</v>
      </c>
      <c r="HC355" s="19">
        <v>20.4</v>
      </c>
      <c r="HD355" s="19">
        <v>18.6</v>
      </c>
      <c r="HE355" s="19">
        <v>19</v>
      </c>
      <c r="HF355" s="19">
        <v>18</v>
      </c>
      <c r="HG355" s="19">
        <v>21.7</v>
      </c>
      <c r="HH355" s="19">
        <v>44</v>
      </c>
      <c r="HI355" s="19">
        <v>63.1</v>
      </c>
      <c r="HJ355" s="19">
        <v>71.2</v>
      </c>
      <c r="HK355" s="19">
        <v>72</v>
      </c>
      <c r="HL355" s="19">
        <v>69.2</v>
      </c>
      <c r="HM355" s="19">
        <v>72.1</v>
      </c>
      <c r="HN355" s="19">
        <v>82.4</v>
      </c>
      <c r="HO355" s="19">
        <v>96.7</v>
      </c>
      <c r="HP355" s="19">
        <v>112.7</v>
      </c>
      <c r="HQ355" s="19">
        <v>111.5</v>
      </c>
      <c r="HR355" s="19">
        <v>121.5</v>
      </c>
      <c r="HS355" s="19">
        <v>109.6</v>
      </c>
      <c r="HT355" s="19">
        <v>119.5</v>
      </c>
      <c r="HU355" s="19">
        <v>139.1</v>
      </c>
      <c r="HV355" s="19">
        <v>130.4</v>
      </c>
      <c r="HW355" s="19">
        <v>129.2</v>
      </c>
      <c r="HX355" s="19">
        <v>121.6</v>
      </c>
      <c r="HY355" s="19">
        <v>109.4</v>
      </c>
      <c r="HZ355" s="19">
        <v>103.5</v>
      </c>
      <c r="IA355" s="19">
        <v>118.5</v>
      </c>
      <c r="IB355" s="19">
        <v>117.7</v>
      </c>
    </row>
    <row r="356">
      <c r="A356" s="2" t="s">
        <v>2276</v>
      </c>
      <c r="B356" s="2" t="s">
        <v>279</v>
      </c>
      <c r="C356" s="2" t="s">
        <v>1411</v>
      </c>
      <c r="D356" s="2" t="s">
        <v>281</v>
      </c>
      <c r="E356" s="2" t="s">
        <v>282</v>
      </c>
      <c r="F356" s="2" t="s">
        <v>2277</v>
      </c>
      <c r="G356" s="2" t="s">
        <v>2277</v>
      </c>
      <c r="H356" s="2" t="s">
        <v>2277</v>
      </c>
      <c r="I356" s="2" t="s">
        <v>2278</v>
      </c>
      <c r="J356" s="2" t="s">
        <v>247</v>
      </c>
      <c r="K356" s="2" t="s">
        <v>434</v>
      </c>
      <c r="L356" s="3">
        <v>20.16</v>
      </c>
      <c r="M356" s="3">
        <v>21.17</v>
      </c>
      <c r="N356" s="3">
        <v>41.99</v>
      </c>
      <c r="O356" s="2" t="s">
        <v>230</v>
      </c>
      <c r="P356" s="2" t="s">
        <v>231</v>
      </c>
      <c r="Q356" s="2" t="s">
        <v>232</v>
      </c>
      <c r="R356" s="2" t="s">
        <v>233</v>
      </c>
      <c r="S356" s="2" t="s">
        <v>2279</v>
      </c>
      <c r="T356" s="2" t="s">
        <v>2152</v>
      </c>
      <c r="U356" s="2" t="s">
        <v>781</v>
      </c>
      <c r="V356" s="2" t="s">
        <v>236</v>
      </c>
      <c r="W356" s="2" t="s">
        <v>237</v>
      </c>
      <c r="X356" s="2" t="s">
        <v>233</v>
      </c>
      <c r="Y356" s="2" t="s">
        <v>238</v>
      </c>
      <c r="Z356" s="4">
        <v>318</v>
      </c>
      <c r="AA356" s="4">
        <f>=ROUNDDOWN(53,0)</f>
      </c>
      <c r="AB356" s="5">
        <v>6</v>
      </c>
      <c r="AC356" s="2" t="s">
        <v>154</v>
      </c>
      <c r="AD356" s="4">
        <v>20</v>
      </c>
      <c r="AE356" s="4">
        <v>20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233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 t="s">
        <v>233</v>
      </c>
      <c r="BD356" s="8" t="s">
        <v>233</v>
      </c>
      <c r="BE356" s="4" t="s">
        <v>233</v>
      </c>
      <c r="BF356" s="8" t="s">
        <v>233</v>
      </c>
      <c r="BG356" s="7" t="s">
        <v>233</v>
      </c>
      <c r="BH356" s="7" t="s">
        <v>233</v>
      </c>
      <c r="BI356" s="7"/>
      <c r="BJ356" s="4">
        <v>14</v>
      </c>
      <c r="BK356" s="8">
        <v>307.11</v>
      </c>
      <c r="BL356" s="2" t="s">
        <v>2280</v>
      </c>
      <c r="BM356" s="7"/>
      <c r="BN356" s="7"/>
      <c r="BO356" s="4"/>
      <c r="BP356" s="8"/>
      <c r="BQ356" s="4"/>
      <c r="BR356" s="8"/>
      <c r="BS356" s="7"/>
      <c r="BT356" s="7"/>
      <c r="BU356" s="2" t="s">
        <v>2281</v>
      </c>
      <c r="BV356" s="2" t="s">
        <v>233</v>
      </c>
      <c r="BW356" s="2" t="s">
        <v>233</v>
      </c>
      <c r="BX356" s="2" t="s">
        <v>624</v>
      </c>
      <c r="BY356" s="2" t="s">
        <v>242</v>
      </c>
      <c r="BZ356" s="2" t="s">
        <v>230</v>
      </c>
      <c r="CA356" s="2" t="s">
        <v>243</v>
      </c>
      <c r="CB356" s="2" t="s">
        <v>1960</v>
      </c>
      <c r="CC356" s="2" t="s">
        <v>245</v>
      </c>
      <c r="CD356" s="2" t="s">
        <v>233</v>
      </c>
      <c r="CE356" s="4">
        <v>318</v>
      </c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>
        <v>20</v>
      </c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>
        <v>318</v>
      </c>
      <c r="GD356" s="4">
        <v>313</v>
      </c>
      <c r="GE356" s="4">
        <v>308</v>
      </c>
      <c r="GF356" s="4">
        <v>302</v>
      </c>
      <c r="GG356" s="4">
        <v>288</v>
      </c>
      <c r="GH356" s="4">
        <v>295</v>
      </c>
      <c r="GI356" s="4">
        <v>283</v>
      </c>
      <c r="GJ356" s="4">
        <v>246</v>
      </c>
      <c r="GK356" s="4">
        <v>243</v>
      </c>
      <c r="GL356" s="4">
        <v>240</v>
      </c>
      <c r="GM356" s="4">
        <v>237</v>
      </c>
      <c r="GN356" s="4">
        <v>234</v>
      </c>
      <c r="GO356" s="4">
        <v>231</v>
      </c>
      <c r="GP356" s="4">
        <v>228</v>
      </c>
      <c r="GQ356" s="4">
        <v>225</v>
      </c>
      <c r="GR356" s="4">
        <v>222</v>
      </c>
      <c r="GS356" s="4">
        <v>219</v>
      </c>
      <c r="GT356" s="4">
        <v>215</v>
      </c>
      <c r="GU356" s="4">
        <v>209</v>
      </c>
      <c r="GV356" s="4">
        <v>203</v>
      </c>
      <c r="GW356" s="4">
        <v>197</v>
      </c>
      <c r="GX356" s="4">
        <v>191</v>
      </c>
      <c r="GY356" s="4">
        <v>185</v>
      </c>
      <c r="GZ356" s="4">
        <v>179</v>
      </c>
      <c r="HA356" s="4">
        <v>173</v>
      </c>
      <c r="HB356" s="4">
        <v>167</v>
      </c>
      <c r="HC356" s="19">
        <v>39.8</v>
      </c>
      <c r="HD356" s="19">
        <v>31.3</v>
      </c>
      <c r="HE356" s="19">
        <v>28</v>
      </c>
      <c r="HF356" s="19">
        <v>15.9</v>
      </c>
      <c r="HG356" s="19">
        <v>18</v>
      </c>
      <c r="HH356" s="19">
        <v>21.1</v>
      </c>
      <c r="HI356" s="19">
        <v>23.6</v>
      </c>
      <c r="HJ356" s="19">
        <v>82</v>
      </c>
      <c r="HK356" s="19">
        <v>81</v>
      </c>
      <c r="HL356" s="19">
        <v>80</v>
      </c>
      <c r="HM356" s="19">
        <v>79</v>
      </c>
      <c r="HN356" s="19">
        <v>78</v>
      </c>
      <c r="HO356" s="19">
        <v>77</v>
      </c>
      <c r="HP356" s="19">
        <v>76</v>
      </c>
      <c r="HQ356" s="19">
        <v>56.3</v>
      </c>
      <c r="HR356" s="19">
        <v>44.4</v>
      </c>
      <c r="HS356" s="19">
        <v>36.5</v>
      </c>
      <c r="HT356" s="19">
        <v>35.8</v>
      </c>
      <c r="HU356" s="19">
        <v>34.8</v>
      </c>
      <c r="HV356" s="19">
        <v>33.8</v>
      </c>
      <c r="HW356" s="19">
        <v>32.8</v>
      </c>
      <c r="HX356" s="19">
        <v>31.8</v>
      </c>
      <c r="HY356" s="19">
        <v>30.8</v>
      </c>
      <c r="HZ356" s="19">
        <v>29.8</v>
      </c>
      <c r="IA356" s="19">
        <v>24.7</v>
      </c>
      <c r="IB356" s="19">
        <v>23.9</v>
      </c>
    </row>
    <row r="357">
      <c r="A357" s="2" t="s">
        <v>2282</v>
      </c>
      <c r="B357" s="2" t="s">
        <v>279</v>
      </c>
      <c r="C357" s="2" t="s">
        <v>1411</v>
      </c>
      <c r="D357" s="2" t="s">
        <v>281</v>
      </c>
      <c r="E357" s="2" t="s">
        <v>282</v>
      </c>
      <c r="F357" s="2" t="s">
        <v>2277</v>
      </c>
      <c r="G357" s="2" t="s">
        <v>2277</v>
      </c>
      <c r="H357" s="2" t="s">
        <v>2277</v>
      </c>
      <c r="I357" s="2" t="s">
        <v>2278</v>
      </c>
      <c r="J357" s="2" t="s">
        <v>247</v>
      </c>
      <c r="K357" s="2" t="s">
        <v>2283</v>
      </c>
      <c r="L357" s="3">
        <v>20.16</v>
      </c>
      <c r="M357" s="3">
        <v>21.17</v>
      </c>
      <c r="N357" s="3">
        <v>41.99</v>
      </c>
      <c r="O357" s="2" t="s">
        <v>230</v>
      </c>
      <c r="P357" s="2" t="s">
        <v>231</v>
      </c>
      <c r="Q357" s="2" t="s">
        <v>232</v>
      </c>
      <c r="R357" s="2" t="s">
        <v>233</v>
      </c>
      <c r="S357" s="2" t="s">
        <v>2284</v>
      </c>
      <c r="T357" s="2" t="s">
        <v>2152</v>
      </c>
      <c r="U357" s="2" t="s">
        <v>781</v>
      </c>
      <c r="V357" s="2" t="s">
        <v>236</v>
      </c>
      <c r="W357" s="2" t="s">
        <v>237</v>
      </c>
      <c r="X357" s="2" t="s">
        <v>233</v>
      </c>
      <c r="Y357" s="2" t="s">
        <v>238</v>
      </c>
      <c r="Z357" s="4">
        <v>194</v>
      </c>
      <c r="AA357" s="4">
        <f>=ROUNDDOWN(16.1666666666667,0)</f>
      </c>
      <c r="AB357" s="5">
        <v>12</v>
      </c>
      <c r="AC357" s="2" t="s">
        <v>154</v>
      </c>
      <c r="AD357" s="4">
        <v>40</v>
      </c>
      <c r="AE357" s="4">
        <v>380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233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 t="s">
        <v>233</v>
      </c>
      <c r="BD357" s="8" t="s">
        <v>233</v>
      </c>
      <c r="BE357" s="4" t="s">
        <v>233</v>
      </c>
      <c r="BF357" s="8" t="s">
        <v>233</v>
      </c>
      <c r="BG357" s="7" t="s">
        <v>233</v>
      </c>
      <c r="BH357" s="7" t="s">
        <v>233</v>
      </c>
      <c r="BI357" s="7"/>
      <c r="BJ357" s="4">
        <v>99</v>
      </c>
      <c r="BK357" s="8">
        <v>2078.21</v>
      </c>
      <c r="BL357" s="2" t="s">
        <v>2285</v>
      </c>
      <c r="BM357" s="7"/>
      <c r="BN357" s="7"/>
      <c r="BO357" s="4"/>
      <c r="BP357" s="8"/>
      <c r="BQ357" s="4"/>
      <c r="BR357" s="8"/>
      <c r="BS357" s="7"/>
      <c r="BT357" s="7"/>
      <c r="BU357" s="2" t="s">
        <v>2281</v>
      </c>
      <c r="BV357" s="2" t="s">
        <v>233</v>
      </c>
      <c r="BW357" s="2" t="s">
        <v>233</v>
      </c>
      <c r="BX357" s="2" t="s">
        <v>624</v>
      </c>
      <c r="BY357" s="2" t="s">
        <v>242</v>
      </c>
      <c r="BZ357" s="2" t="s">
        <v>230</v>
      </c>
      <c r="CA357" s="2" t="s">
        <v>243</v>
      </c>
      <c r="CB357" s="2" t="s">
        <v>2286</v>
      </c>
      <c r="CC357" s="2" t="s">
        <v>245</v>
      </c>
      <c r="CD357" s="2" t="s">
        <v>233</v>
      </c>
      <c r="CE357" s="4">
        <v>194</v>
      </c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>
        <v>40</v>
      </c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>
        <v>220</v>
      </c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>
        <v>120</v>
      </c>
      <c r="FU357" s="4"/>
      <c r="FV357" s="4"/>
      <c r="FW357" s="4"/>
      <c r="FX357" s="4"/>
      <c r="FY357" s="4"/>
      <c r="FZ357" s="4"/>
      <c r="GA357" s="4"/>
      <c r="GB357" s="4"/>
      <c r="GC357" s="4">
        <v>206</v>
      </c>
      <c r="GD357" s="4">
        <v>132</v>
      </c>
      <c r="GE357" s="4">
        <v>92</v>
      </c>
      <c r="GF357" s="4">
        <v>61</v>
      </c>
      <c r="GG357" s="4">
        <v>18</v>
      </c>
      <c r="GH357" s="4">
        <v>40</v>
      </c>
      <c r="GI357" s="4"/>
      <c r="GJ357" s="4">
        <v>220</v>
      </c>
      <c r="GK357" s="4">
        <v>196</v>
      </c>
      <c r="GL357" s="4">
        <v>183</v>
      </c>
      <c r="GM357" s="4">
        <v>170</v>
      </c>
      <c r="GN357" s="4">
        <v>157</v>
      </c>
      <c r="GO357" s="4">
        <v>144</v>
      </c>
      <c r="GP357" s="4">
        <v>131</v>
      </c>
      <c r="GQ357" s="4">
        <v>119</v>
      </c>
      <c r="GR357" s="4">
        <v>107</v>
      </c>
      <c r="GS357" s="4">
        <v>95</v>
      </c>
      <c r="GT357" s="4">
        <v>203</v>
      </c>
      <c r="GU357" s="4">
        <v>191</v>
      </c>
      <c r="GV357" s="4">
        <v>179</v>
      </c>
      <c r="GW357" s="4">
        <v>167</v>
      </c>
      <c r="GX357" s="4">
        <v>155</v>
      </c>
      <c r="GY357" s="4">
        <v>142</v>
      </c>
      <c r="GZ357" s="4">
        <v>129</v>
      </c>
      <c r="HA357" s="4">
        <v>116</v>
      </c>
      <c r="HB357" s="4">
        <v>103</v>
      </c>
      <c r="HC357" s="19">
        <v>4.4</v>
      </c>
      <c r="HD357" s="19">
        <v>3.9</v>
      </c>
      <c r="HE357" s="19">
        <v>2.7</v>
      </c>
      <c r="HF357" s="19">
        <v>2.2</v>
      </c>
      <c r="HG357" s="19">
        <v>0.8</v>
      </c>
      <c r="HH357" s="19">
        <v>1.8</v>
      </c>
      <c r="HI357" s="20">
        <v>0</v>
      </c>
      <c r="HJ357" s="19">
        <v>13.8</v>
      </c>
      <c r="HK357" s="19">
        <v>15.1</v>
      </c>
      <c r="HL357" s="19">
        <v>14.1</v>
      </c>
      <c r="HM357" s="19">
        <v>13.1</v>
      </c>
      <c r="HN357" s="19">
        <v>13.1</v>
      </c>
      <c r="HO357" s="19">
        <v>12</v>
      </c>
      <c r="HP357" s="19">
        <v>10.9</v>
      </c>
      <c r="HQ357" s="19">
        <v>9.9</v>
      </c>
      <c r="HR357" s="19">
        <v>8.9</v>
      </c>
      <c r="HS357" s="19">
        <v>7.9</v>
      </c>
      <c r="HT357" s="19">
        <v>16.9</v>
      </c>
      <c r="HU357" s="19">
        <v>15.9</v>
      </c>
      <c r="HV357" s="19">
        <v>14.9</v>
      </c>
      <c r="HW357" s="19">
        <v>12.8</v>
      </c>
      <c r="HX357" s="19">
        <v>11.9</v>
      </c>
      <c r="HY357" s="19">
        <v>10.9</v>
      </c>
      <c r="HZ357" s="19">
        <v>9.2</v>
      </c>
      <c r="IA357" s="19">
        <v>8.3</v>
      </c>
      <c r="IB357" s="19">
        <v>7.4</v>
      </c>
    </row>
    <row r="358">
      <c r="A358" s="2" t="s">
        <v>2287</v>
      </c>
      <c r="B358" s="2" t="s">
        <v>279</v>
      </c>
      <c r="C358" s="2" t="s">
        <v>1411</v>
      </c>
      <c r="D358" s="2" t="s">
        <v>281</v>
      </c>
      <c r="E358" s="2" t="s">
        <v>282</v>
      </c>
      <c r="F358" s="2" t="s">
        <v>2277</v>
      </c>
      <c r="G358" s="2" t="s">
        <v>2277</v>
      </c>
      <c r="H358" s="2" t="s">
        <v>2277</v>
      </c>
      <c r="I358" s="2" t="s">
        <v>2278</v>
      </c>
      <c r="J358" s="2" t="s">
        <v>247</v>
      </c>
      <c r="K358" s="2" t="s">
        <v>651</v>
      </c>
      <c r="L358" s="3">
        <v>20.16</v>
      </c>
      <c r="M358" s="3">
        <v>21.17</v>
      </c>
      <c r="N358" s="3">
        <v>41.99</v>
      </c>
      <c r="O358" s="2" t="s">
        <v>230</v>
      </c>
      <c r="P358" s="2" t="s">
        <v>231</v>
      </c>
      <c r="Q358" s="2" t="s">
        <v>232</v>
      </c>
      <c r="R358" s="2" t="s">
        <v>233</v>
      </c>
      <c r="S358" s="2" t="s">
        <v>2288</v>
      </c>
      <c r="T358" s="2" t="s">
        <v>2152</v>
      </c>
      <c r="U358" s="2" t="s">
        <v>781</v>
      </c>
      <c r="V358" s="2" t="s">
        <v>236</v>
      </c>
      <c r="W358" s="2" t="s">
        <v>237</v>
      </c>
      <c r="X358" s="2" t="s">
        <v>233</v>
      </c>
      <c r="Y358" s="2" t="s">
        <v>2289</v>
      </c>
      <c r="Z358" s="4">
        <v>159</v>
      </c>
      <c r="AA358" s="4">
        <f>=ROUNDDOWN(19.875,0)</f>
      </c>
      <c r="AB358" s="5">
        <v>8</v>
      </c>
      <c r="AC358" s="2" t="s">
        <v>2192</v>
      </c>
      <c r="AD358" s="4">
        <v>240</v>
      </c>
      <c r="AE358" s="4">
        <v>240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233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233</v>
      </c>
      <c r="AW358" s="8" t="s">
        <v>233</v>
      </c>
      <c r="AX358" s="4" t="s">
        <v>233</v>
      </c>
      <c r="AY358" s="8" t="s">
        <v>233</v>
      </c>
      <c r="AZ358" s="7" t="s">
        <v>233</v>
      </c>
      <c r="BA358" s="7" t="s">
        <v>233</v>
      </c>
      <c r="BB358" s="7"/>
      <c r="BC358" s="4" t="s">
        <v>233</v>
      </c>
      <c r="BD358" s="8" t="s">
        <v>233</v>
      </c>
      <c r="BE358" s="4" t="s">
        <v>233</v>
      </c>
      <c r="BF358" s="8" t="s">
        <v>233</v>
      </c>
      <c r="BG358" s="7" t="s">
        <v>233</v>
      </c>
      <c r="BH358" s="7" t="s">
        <v>233</v>
      </c>
      <c r="BI358" s="7"/>
      <c r="BJ358" s="4">
        <v>75</v>
      </c>
      <c r="BK358" s="8">
        <v>1574.5</v>
      </c>
      <c r="BL358" s="2" t="s">
        <v>2290</v>
      </c>
      <c r="BM358" s="7"/>
      <c r="BN358" s="7"/>
      <c r="BO358" s="4"/>
      <c r="BP358" s="8"/>
      <c r="BQ358" s="4"/>
      <c r="BR358" s="8"/>
      <c r="BS358" s="7"/>
      <c r="BT358" s="7"/>
      <c r="BU358" s="2" t="s">
        <v>2281</v>
      </c>
      <c r="BV358" s="2" t="s">
        <v>233</v>
      </c>
      <c r="BW358" s="2" t="s">
        <v>233</v>
      </c>
      <c r="BX358" s="2" t="s">
        <v>624</v>
      </c>
      <c r="BY358" s="2" t="s">
        <v>242</v>
      </c>
      <c r="BZ358" s="2" t="s">
        <v>230</v>
      </c>
      <c r="CA358" s="2" t="s">
        <v>2291</v>
      </c>
      <c r="CB358" s="2" t="s">
        <v>2292</v>
      </c>
      <c r="CC358" s="2" t="s">
        <v>245</v>
      </c>
      <c r="CD358" s="2" t="s">
        <v>233</v>
      </c>
      <c r="CE358" s="4">
        <v>159</v>
      </c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>
        <v>240</v>
      </c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>
        <v>189</v>
      </c>
      <c r="GD358" s="4">
        <v>155</v>
      </c>
      <c r="GE358" s="4">
        <v>137</v>
      </c>
      <c r="GF358" s="4">
        <v>122</v>
      </c>
      <c r="GG358" s="4">
        <v>101</v>
      </c>
      <c r="GH358" s="4">
        <v>81</v>
      </c>
      <c r="GI358" s="4">
        <v>66</v>
      </c>
      <c r="GJ358" s="4">
        <v>56</v>
      </c>
      <c r="GK358" s="4">
        <v>48</v>
      </c>
      <c r="GL358" s="4">
        <v>40</v>
      </c>
      <c r="GM358" s="4">
        <v>32</v>
      </c>
      <c r="GN358" s="4">
        <v>264</v>
      </c>
      <c r="GO358" s="4">
        <v>256</v>
      </c>
      <c r="GP358" s="4">
        <v>248</v>
      </c>
      <c r="GQ358" s="4">
        <v>240</v>
      </c>
      <c r="GR358" s="4">
        <v>232</v>
      </c>
      <c r="GS358" s="4">
        <v>224</v>
      </c>
      <c r="GT358" s="4">
        <v>216</v>
      </c>
      <c r="GU358" s="4">
        <v>208</v>
      </c>
      <c r="GV358" s="4">
        <v>200</v>
      </c>
      <c r="GW358" s="4">
        <v>192</v>
      </c>
      <c r="GX358" s="4">
        <v>184</v>
      </c>
      <c r="GY358" s="4">
        <v>175</v>
      </c>
      <c r="GZ358" s="4">
        <v>166</v>
      </c>
      <c r="HA358" s="4">
        <v>157</v>
      </c>
      <c r="HB358" s="4">
        <v>148</v>
      </c>
      <c r="HC358" s="19">
        <v>8.6</v>
      </c>
      <c r="HD358" s="19">
        <v>8.6</v>
      </c>
      <c r="HE358" s="19">
        <v>7.6</v>
      </c>
      <c r="HF358" s="19">
        <v>7.6</v>
      </c>
      <c r="HG358" s="19">
        <v>7.8</v>
      </c>
      <c r="HH358" s="19">
        <v>8.1</v>
      </c>
      <c r="HI358" s="19">
        <v>8.3</v>
      </c>
      <c r="HJ358" s="19">
        <v>7</v>
      </c>
      <c r="HK358" s="19">
        <v>6</v>
      </c>
      <c r="HL358" s="19">
        <v>5</v>
      </c>
      <c r="HM358" s="19">
        <v>4</v>
      </c>
      <c r="HN358" s="19">
        <v>33</v>
      </c>
      <c r="HO358" s="19">
        <v>32</v>
      </c>
      <c r="HP358" s="19">
        <v>31</v>
      </c>
      <c r="HQ358" s="19">
        <v>30</v>
      </c>
      <c r="HR358" s="19">
        <v>29</v>
      </c>
      <c r="HS358" s="19">
        <v>28</v>
      </c>
      <c r="HT358" s="19">
        <v>27</v>
      </c>
      <c r="HU358" s="19">
        <v>26</v>
      </c>
      <c r="HV358" s="19">
        <v>25</v>
      </c>
      <c r="HW358" s="19">
        <v>21.3</v>
      </c>
      <c r="HX358" s="19">
        <v>20.4</v>
      </c>
      <c r="HY358" s="19">
        <v>19.4</v>
      </c>
      <c r="HZ358" s="19">
        <v>16.6</v>
      </c>
      <c r="IA358" s="19">
        <v>15.7</v>
      </c>
      <c r="IB358" s="19">
        <v>14.8</v>
      </c>
    </row>
    <row r="359">
      <c r="A359" s="2" t="s">
        <v>2293</v>
      </c>
      <c r="B359" s="2" t="s">
        <v>279</v>
      </c>
      <c r="C359" s="2" t="s">
        <v>1411</v>
      </c>
      <c r="D359" s="2" t="s">
        <v>281</v>
      </c>
      <c r="E359" s="2" t="s">
        <v>282</v>
      </c>
      <c r="F359" s="2" t="s">
        <v>2277</v>
      </c>
      <c r="G359" s="2" t="s">
        <v>2277</v>
      </c>
      <c r="H359" s="2" t="s">
        <v>2277</v>
      </c>
      <c r="I359" s="2" t="s">
        <v>2278</v>
      </c>
      <c r="J359" s="2" t="s">
        <v>256</v>
      </c>
      <c r="K359" s="2" t="s">
        <v>651</v>
      </c>
      <c r="L359" s="3">
        <v>26.95</v>
      </c>
      <c r="M359" s="3">
        <v>28.3</v>
      </c>
      <c r="N359" s="3">
        <v>54.99</v>
      </c>
      <c r="O359" s="2" t="s">
        <v>230</v>
      </c>
      <c r="P359" s="2" t="s">
        <v>231</v>
      </c>
      <c r="Q359" s="2" t="s">
        <v>232</v>
      </c>
      <c r="R359" s="2" t="s">
        <v>233</v>
      </c>
      <c r="S359" s="2" t="s">
        <v>2288</v>
      </c>
      <c r="T359" s="2" t="s">
        <v>2152</v>
      </c>
      <c r="U359" s="2" t="s">
        <v>287</v>
      </c>
      <c r="V359" s="2" t="s">
        <v>236</v>
      </c>
      <c r="W359" s="2" t="s">
        <v>237</v>
      </c>
      <c r="X359" s="2" t="s">
        <v>233</v>
      </c>
      <c r="Y359" s="2" t="s">
        <v>1965</v>
      </c>
      <c r="Z359" s="4">
        <v>350</v>
      </c>
      <c r="AA359" s="4">
        <f>=ROUNDDOWN(35,0)</f>
      </c>
      <c r="AB359" s="5">
        <v>10</v>
      </c>
      <c r="AC359" s="2" t="s">
        <v>166</v>
      </c>
      <c r="AD359" s="4">
        <v>150</v>
      </c>
      <c r="AE359" s="4">
        <v>150</v>
      </c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233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233</v>
      </c>
      <c r="AW359" s="8" t="s">
        <v>233</v>
      </c>
      <c r="AX359" s="4" t="s">
        <v>233</v>
      </c>
      <c r="AY359" s="8" t="s">
        <v>233</v>
      </c>
      <c r="AZ359" s="7" t="s">
        <v>233</v>
      </c>
      <c r="BA359" s="7" t="s">
        <v>233</v>
      </c>
      <c r="BB359" s="7"/>
      <c r="BC359" s="4" t="s">
        <v>233</v>
      </c>
      <c r="BD359" s="8" t="s">
        <v>233</v>
      </c>
      <c r="BE359" s="4" t="s">
        <v>233</v>
      </c>
      <c r="BF359" s="8" t="s">
        <v>233</v>
      </c>
      <c r="BG359" s="7" t="s">
        <v>233</v>
      </c>
      <c r="BH359" s="7" t="s">
        <v>233</v>
      </c>
      <c r="BI359" s="7"/>
      <c r="BJ359" s="4">
        <v>46</v>
      </c>
      <c r="BK359" s="8">
        <v>1369.04</v>
      </c>
      <c r="BL359" s="2" t="s">
        <v>2294</v>
      </c>
      <c r="BM359" s="7"/>
      <c r="BN359" s="7"/>
      <c r="BO359" s="4"/>
      <c r="BP359" s="8"/>
      <c r="BQ359" s="4"/>
      <c r="BR359" s="8"/>
      <c r="BS359" s="7"/>
      <c r="BT359" s="7"/>
      <c r="BU359" s="2" t="s">
        <v>2281</v>
      </c>
      <c r="BV359" s="2" t="s">
        <v>233</v>
      </c>
      <c r="BW359" s="2" t="s">
        <v>233</v>
      </c>
      <c r="BX359" s="2" t="s">
        <v>624</v>
      </c>
      <c r="BY359" s="2" t="s">
        <v>242</v>
      </c>
      <c r="BZ359" s="2" t="s">
        <v>230</v>
      </c>
      <c r="CA359" s="2" t="s">
        <v>2295</v>
      </c>
      <c r="CB359" s="2" t="s">
        <v>2296</v>
      </c>
      <c r="CC359" s="2" t="s">
        <v>245</v>
      </c>
      <c r="CD359" s="2" t="s">
        <v>233</v>
      </c>
      <c r="CE359" s="4">
        <v>350</v>
      </c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>
        <v>150</v>
      </c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>
        <v>361</v>
      </c>
      <c r="GD359" s="4">
        <v>340</v>
      </c>
      <c r="GE359" s="4">
        <v>324</v>
      </c>
      <c r="GF359" s="4">
        <v>309</v>
      </c>
      <c r="GG359" s="4">
        <v>285</v>
      </c>
      <c r="GH359" s="4">
        <v>262</v>
      </c>
      <c r="GI359" s="4">
        <v>244</v>
      </c>
      <c r="GJ359" s="4">
        <v>383</v>
      </c>
      <c r="GK359" s="4">
        <v>374</v>
      </c>
      <c r="GL359" s="4">
        <v>365</v>
      </c>
      <c r="GM359" s="4">
        <v>356</v>
      </c>
      <c r="GN359" s="4">
        <v>347</v>
      </c>
      <c r="GO359" s="4">
        <v>338</v>
      </c>
      <c r="GP359" s="4">
        <v>329</v>
      </c>
      <c r="GQ359" s="4">
        <v>319</v>
      </c>
      <c r="GR359" s="4">
        <v>309</v>
      </c>
      <c r="GS359" s="4">
        <v>299</v>
      </c>
      <c r="GT359" s="4">
        <v>289</v>
      </c>
      <c r="GU359" s="4">
        <v>279</v>
      </c>
      <c r="GV359" s="4">
        <v>269</v>
      </c>
      <c r="GW359" s="4">
        <v>259</v>
      </c>
      <c r="GX359" s="4">
        <v>249</v>
      </c>
      <c r="GY359" s="4">
        <v>239</v>
      </c>
      <c r="GZ359" s="4">
        <v>229</v>
      </c>
      <c r="HA359" s="4">
        <v>219</v>
      </c>
      <c r="HB359" s="4">
        <v>209</v>
      </c>
      <c r="HC359" s="19">
        <v>19</v>
      </c>
      <c r="HD359" s="19">
        <v>17</v>
      </c>
      <c r="HE359" s="19">
        <v>16.2</v>
      </c>
      <c r="HF359" s="19">
        <v>16.3</v>
      </c>
      <c r="HG359" s="19">
        <v>19</v>
      </c>
      <c r="HH359" s="19">
        <v>21.8</v>
      </c>
      <c r="HI359" s="19">
        <v>24.4</v>
      </c>
      <c r="HJ359" s="19">
        <v>42.6</v>
      </c>
      <c r="HK359" s="19">
        <v>41.6</v>
      </c>
      <c r="HL359" s="19">
        <v>40.6</v>
      </c>
      <c r="HM359" s="19">
        <v>39.6</v>
      </c>
      <c r="HN359" s="19">
        <v>34.7</v>
      </c>
      <c r="HO359" s="19">
        <v>33.8</v>
      </c>
      <c r="HP359" s="19">
        <v>32.9</v>
      </c>
      <c r="HQ359" s="19">
        <v>31.9</v>
      </c>
      <c r="HR359" s="19">
        <v>30.9</v>
      </c>
      <c r="HS359" s="19">
        <v>29.9</v>
      </c>
      <c r="HT359" s="19">
        <v>28.9</v>
      </c>
      <c r="HU359" s="19">
        <v>27.9</v>
      </c>
      <c r="HV359" s="19">
        <v>26.9</v>
      </c>
      <c r="HW359" s="19">
        <v>25.9</v>
      </c>
      <c r="HX359" s="19">
        <v>24.9</v>
      </c>
      <c r="HY359" s="19">
        <v>23.9</v>
      </c>
      <c r="HZ359" s="19">
        <v>22.9</v>
      </c>
      <c r="IA359" s="19">
        <v>21.9</v>
      </c>
      <c r="IB359" s="19">
        <v>20.9</v>
      </c>
    </row>
    <row r="360">
      <c r="A360" s="2" t="s">
        <v>2297</v>
      </c>
      <c r="B360" s="2" t="s">
        <v>279</v>
      </c>
      <c r="C360" s="2" t="s">
        <v>1411</v>
      </c>
      <c r="D360" s="2" t="s">
        <v>281</v>
      </c>
      <c r="E360" s="2" t="s">
        <v>282</v>
      </c>
      <c r="F360" s="2" t="s">
        <v>2277</v>
      </c>
      <c r="G360" s="2" t="s">
        <v>2277</v>
      </c>
      <c r="H360" s="2" t="s">
        <v>2277</v>
      </c>
      <c r="I360" s="2" t="s">
        <v>2278</v>
      </c>
      <c r="J360" s="2" t="s">
        <v>247</v>
      </c>
      <c r="K360" s="2" t="s">
        <v>266</v>
      </c>
      <c r="L360" s="3">
        <v>20.16</v>
      </c>
      <c r="M360" s="3">
        <v>21.17</v>
      </c>
      <c r="N360" s="3">
        <v>41.99</v>
      </c>
      <c r="O360" s="2" t="s">
        <v>230</v>
      </c>
      <c r="P360" s="2" t="s">
        <v>231</v>
      </c>
      <c r="Q360" s="2" t="s">
        <v>232</v>
      </c>
      <c r="R360" s="2" t="s">
        <v>233</v>
      </c>
      <c r="S360" s="2" t="s">
        <v>2298</v>
      </c>
      <c r="T360" s="2" t="s">
        <v>2152</v>
      </c>
      <c r="U360" s="2" t="s">
        <v>781</v>
      </c>
      <c r="V360" s="2" t="s">
        <v>236</v>
      </c>
      <c r="W360" s="2" t="s">
        <v>237</v>
      </c>
      <c r="X360" s="2" t="s">
        <v>233</v>
      </c>
      <c r="Y360" s="2" t="s">
        <v>238</v>
      </c>
      <c r="Z360" s="4">
        <v>102</v>
      </c>
      <c r="AA360" s="4">
        <f>=ROUNDDOWN(9.27272727272727,0)</f>
      </c>
      <c r="AB360" s="5">
        <v>11</v>
      </c>
      <c r="AC360" s="2" t="s">
        <v>154</v>
      </c>
      <c r="AD360" s="4">
        <v>80</v>
      </c>
      <c r="AE360" s="4">
        <v>510</v>
      </c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233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233</v>
      </c>
      <c r="AW360" s="8" t="s">
        <v>233</v>
      </c>
      <c r="AX360" s="4" t="s">
        <v>233</v>
      </c>
      <c r="AY360" s="8" t="s">
        <v>233</v>
      </c>
      <c r="AZ360" s="7" t="s">
        <v>233</v>
      </c>
      <c r="BA360" s="7" t="s">
        <v>233</v>
      </c>
      <c r="BB360" s="7"/>
      <c r="BC360" s="4" t="s">
        <v>233</v>
      </c>
      <c r="BD360" s="8" t="s">
        <v>233</v>
      </c>
      <c r="BE360" s="4" t="s">
        <v>233</v>
      </c>
      <c r="BF360" s="8" t="s">
        <v>233</v>
      </c>
      <c r="BG360" s="7" t="s">
        <v>233</v>
      </c>
      <c r="BH360" s="7" t="s">
        <v>233</v>
      </c>
      <c r="BI360" s="7"/>
      <c r="BJ360" s="4">
        <v>65</v>
      </c>
      <c r="BK360" s="8">
        <v>1359.14</v>
      </c>
      <c r="BL360" s="2" t="s">
        <v>2299</v>
      </c>
      <c r="BM360" s="7"/>
      <c r="BN360" s="7"/>
      <c r="BO360" s="4"/>
      <c r="BP360" s="8"/>
      <c r="BQ360" s="4"/>
      <c r="BR360" s="8"/>
      <c r="BS360" s="7"/>
      <c r="BT360" s="7"/>
      <c r="BU360" s="2" t="s">
        <v>2281</v>
      </c>
      <c r="BV360" s="2" t="s">
        <v>233</v>
      </c>
      <c r="BW360" s="2" t="s">
        <v>233</v>
      </c>
      <c r="BX360" s="2" t="s">
        <v>624</v>
      </c>
      <c r="BY360" s="2" t="s">
        <v>242</v>
      </c>
      <c r="BZ360" s="2" t="s">
        <v>230</v>
      </c>
      <c r="CA360" s="2" t="s">
        <v>243</v>
      </c>
      <c r="CB360" s="2" t="s">
        <v>2300</v>
      </c>
      <c r="CC360" s="2" t="s">
        <v>245</v>
      </c>
      <c r="CD360" s="2" t="s">
        <v>233</v>
      </c>
      <c r="CE360" s="4">
        <v>102</v>
      </c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>
        <v>80</v>
      </c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>
        <v>280</v>
      </c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>
        <v>150</v>
      </c>
      <c r="FU360" s="4"/>
      <c r="FV360" s="4"/>
      <c r="FW360" s="4"/>
      <c r="FX360" s="4"/>
      <c r="FY360" s="4"/>
      <c r="FZ360" s="4"/>
      <c r="GA360" s="4"/>
      <c r="GB360" s="4"/>
      <c r="GC360" s="4">
        <v>114</v>
      </c>
      <c r="GD360" s="4">
        <v>46</v>
      </c>
      <c r="GE360" s="4">
        <v>15</v>
      </c>
      <c r="GF360" s="4"/>
      <c r="GG360" s="4"/>
      <c r="GH360" s="4">
        <v>80</v>
      </c>
      <c r="GI360" s="4">
        <v>11</v>
      </c>
      <c r="GJ360" s="4">
        <v>280</v>
      </c>
      <c r="GK360" s="4">
        <v>265</v>
      </c>
      <c r="GL360" s="4">
        <v>253</v>
      </c>
      <c r="GM360" s="4">
        <v>241</v>
      </c>
      <c r="GN360" s="4">
        <v>229</v>
      </c>
      <c r="GO360" s="4">
        <v>217</v>
      </c>
      <c r="GP360" s="4">
        <v>205</v>
      </c>
      <c r="GQ360" s="4">
        <v>194</v>
      </c>
      <c r="GR360" s="4">
        <v>183</v>
      </c>
      <c r="GS360" s="4">
        <v>172</v>
      </c>
      <c r="GT360" s="4">
        <v>311</v>
      </c>
      <c r="GU360" s="4">
        <v>300</v>
      </c>
      <c r="GV360" s="4">
        <v>289</v>
      </c>
      <c r="GW360" s="4">
        <v>278</v>
      </c>
      <c r="GX360" s="4">
        <v>267</v>
      </c>
      <c r="GY360" s="4">
        <v>255</v>
      </c>
      <c r="GZ360" s="4">
        <v>243</v>
      </c>
      <c r="HA360" s="4">
        <v>231</v>
      </c>
      <c r="HB360" s="4">
        <v>228</v>
      </c>
      <c r="HC360" s="19">
        <v>3.4</v>
      </c>
      <c r="HD360" s="19">
        <v>2.1</v>
      </c>
      <c r="HE360" s="19">
        <v>0.5</v>
      </c>
      <c r="HF360" s="20">
        <v>0</v>
      </c>
      <c r="HG360" s="20">
        <v>0</v>
      </c>
      <c r="HH360" s="19">
        <v>3</v>
      </c>
      <c r="HI360" s="19">
        <v>0.9</v>
      </c>
      <c r="HJ360" s="19">
        <v>21.5</v>
      </c>
      <c r="HK360" s="19">
        <v>22.1</v>
      </c>
      <c r="HL360" s="19">
        <v>21.1</v>
      </c>
      <c r="HM360" s="19">
        <v>20.1</v>
      </c>
      <c r="HN360" s="19">
        <v>19.1</v>
      </c>
      <c r="HO360" s="19">
        <v>19.7</v>
      </c>
      <c r="HP360" s="19">
        <v>18.6</v>
      </c>
      <c r="HQ360" s="19">
        <v>17.6</v>
      </c>
      <c r="HR360" s="19">
        <v>16.6</v>
      </c>
      <c r="HS360" s="19">
        <v>15.6</v>
      </c>
      <c r="HT360" s="19">
        <v>28.3</v>
      </c>
      <c r="HU360" s="19">
        <v>27.3</v>
      </c>
      <c r="HV360" s="19">
        <v>24.1</v>
      </c>
      <c r="HW360" s="19">
        <v>23.2</v>
      </c>
      <c r="HX360" s="19">
        <v>22.3</v>
      </c>
      <c r="HY360" s="19">
        <v>21.3</v>
      </c>
      <c r="HZ360" s="19">
        <v>20.3</v>
      </c>
      <c r="IA360" s="19">
        <v>17.8</v>
      </c>
      <c r="IB360" s="19">
        <v>17.5</v>
      </c>
    </row>
    <row r="361">
      <c r="A361" s="2" t="s">
        <v>2301</v>
      </c>
      <c r="B361" s="2" t="s">
        <v>279</v>
      </c>
      <c r="C361" s="2" t="s">
        <v>1411</v>
      </c>
      <c r="D361" s="2" t="s">
        <v>281</v>
      </c>
      <c r="E361" s="2" t="s">
        <v>282</v>
      </c>
      <c r="F361" s="2" t="s">
        <v>2277</v>
      </c>
      <c r="G361" s="2" t="s">
        <v>2277</v>
      </c>
      <c r="H361" s="2" t="s">
        <v>2277</v>
      </c>
      <c r="I361" s="2" t="s">
        <v>2278</v>
      </c>
      <c r="J361" s="2" t="s">
        <v>256</v>
      </c>
      <c r="K361" s="2" t="s">
        <v>266</v>
      </c>
      <c r="L361" s="3">
        <v>26.95</v>
      </c>
      <c r="M361" s="3">
        <v>28.3</v>
      </c>
      <c r="N361" s="3">
        <v>54.99</v>
      </c>
      <c r="O361" s="2" t="s">
        <v>230</v>
      </c>
      <c r="P361" s="2" t="s">
        <v>231</v>
      </c>
      <c r="Q361" s="2" t="s">
        <v>232</v>
      </c>
      <c r="R361" s="2" t="s">
        <v>233</v>
      </c>
      <c r="S361" s="2" t="s">
        <v>2298</v>
      </c>
      <c r="T361" s="2" t="s">
        <v>2152</v>
      </c>
      <c r="U361" s="2" t="s">
        <v>287</v>
      </c>
      <c r="V361" s="2" t="s">
        <v>236</v>
      </c>
      <c r="W361" s="2" t="s">
        <v>237</v>
      </c>
      <c r="X361" s="2" t="s">
        <v>233</v>
      </c>
      <c r="Y361" s="2" t="s">
        <v>2302</v>
      </c>
      <c r="Z361" s="4">
        <v>220</v>
      </c>
      <c r="AA361" s="4">
        <f>=ROUNDDOWN(31.4285714285714,0)</f>
      </c>
      <c r="AB361" s="5">
        <v>7</v>
      </c>
      <c r="AC361" s="2" t="s">
        <v>233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233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233</v>
      </c>
      <c r="AW361" s="8" t="s">
        <v>233</v>
      </c>
      <c r="AX361" s="4" t="s">
        <v>233</v>
      </c>
      <c r="AY361" s="8" t="s">
        <v>233</v>
      </c>
      <c r="AZ361" s="7" t="s">
        <v>233</v>
      </c>
      <c r="BA361" s="7" t="s">
        <v>233</v>
      </c>
      <c r="BB361" s="7"/>
      <c r="BC361" s="4" t="s">
        <v>233</v>
      </c>
      <c r="BD361" s="8" t="s">
        <v>233</v>
      </c>
      <c r="BE361" s="4" t="s">
        <v>233</v>
      </c>
      <c r="BF361" s="8" t="s">
        <v>233</v>
      </c>
      <c r="BG361" s="7" t="s">
        <v>233</v>
      </c>
      <c r="BH361" s="7" t="s">
        <v>233</v>
      </c>
      <c r="BI361" s="7"/>
      <c r="BJ361" s="4">
        <v>22</v>
      </c>
      <c r="BK361" s="8">
        <v>681.25</v>
      </c>
      <c r="BL361" s="2" t="s">
        <v>2303</v>
      </c>
      <c r="BM361" s="7"/>
      <c r="BN361" s="7"/>
      <c r="BO361" s="4"/>
      <c r="BP361" s="8"/>
      <c r="BQ361" s="4"/>
      <c r="BR361" s="8"/>
      <c r="BS361" s="7"/>
      <c r="BT361" s="7"/>
      <c r="BU361" s="2" t="s">
        <v>2281</v>
      </c>
      <c r="BV361" s="2" t="s">
        <v>233</v>
      </c>
      <c r="BW361" s="2" t="s">
        <v>233</v>
      </c>
      <c r="BX361" s="2" t="s">
        <v>624</v>
      </c>
      <c r="BY361" s="2" t="s">
        <v>242</v>
      </c>
      <c r="BZ361" s="2" t="s">
        <v>230</v>
      </c>
      <c r="CA361" s="2" t="s">
        <v>2304</v>
      </c>
      <c r="CB361" s="2" t="s">
        <v>2305</v>
      </c>
      <c r="CC361" s="2" t="s">
        <v>245</v>
      </c>
      <c r="CD361" s="2" t="s">
        <v>233</v>
      </c>
      <c r="CE361" s="4">
        <v>220</v>
      </c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>
        <v>225</v>
      </c>
      <c r="GD361" s="4">
        <v>216</v>
      </c>
      <c r="GE361" s="4">
        <v>210</v>
      </c>
      <c r="GF361" s="4">
        <v>203</v>
      </c>
      <c r="GG361" s="4">
        <v>188</v>
      </c>
      <c r="GH361" s="4">
        <v>174</v>
      </c>
      <c r="GI361" s="4">
        <v>161</v>
      </c>
      <c r="GJ361" s="4">
        <v>153</v>
      </c>
      <c r="GK361" s="4">
        <v>146</v>
      </c>
      <c r="GL361" s="4">
        <v>139</v>
      </c>
      <c r="GM361" s="4">
        <v>132</v>
      </c>
      <c r="GN361" s="4">
        <v>125</v>
      </c>
      <c r="GO361" s="4">
        <v>118</v>
      </c>
      <c r="GP361" s="4">
        <v>111</v>
      </c>
      <c r="GQ361" s="4">
        <v>104</v>
      </c>
      <c r="GR361" s="4">
        <v>97</v>
      </c>
      <c r="GS361" s="4">
        <v>90</v>
      </c>
      <c r="GT361" s="4">
        <v>83</v>
      </c>
      <c r="GU361" s="4">
        <v>76</v>
      </c>
      <c r="GV361" s="4">
        <v>69</v>
      </c>
      <c r="GW361" s="4">
        <v>62</v>
      </c>
      <c r="GX361" s="4">
        <v>55</v>
      </c>
      <c r="GY361" s="4">
        <v>48</v>
      </c>
      <c r="GZ361" s="4">
        <v>41</v>
      </c>
      <c r="HA361" s="4">
        <v>34</v>
      </c>
      <c r="HB361" s="4">
        <v>77</v>
      </c>
      <c r="HC361" s="19">
        <v>25</v>
      </c>
      <c r="HD361" s="19">
        <v>21.6</v>
      </c>
      <c r="HE361" s="19">
        <v>17.5</v>
      </c>
      <c r="HF361" s="19">
        <v>16.9</v>
      </c>
      <c r="HG361" s="19">
        <v>18.8</v>
      </c>
      <c r="HH361" s="19">
        <v>19.3</v>
      </c>
      <c r="HI361" s="19">
        <v>23</v>
      </c>
      <c r="HJ361" s="19">
        <v>21.9</v>
      </c>
      <c r="HK361" s="19">
        <v>20.9</v>
      </c>
      <c r="HL361" s="19">
        <v>19.9</v>
      </c>
      <c r="HM361" s="19">
        <v>18.9</v>
      </c>
      <c r="HN361" s="19">
        <v>17.9</v>
      </c>
      <c r="HO361" s="19">
        <v>16.9</v>
      </c>
      <c r="HP361" s="19">
        <v>15.9</v>
      </c>
      <c r="HQ361" s="19">
        <v>14.9</v>
      </c>
      <c r="HR361" s="19">
        <v>13.9</v>
      </c>
      <c r="HS361" s="19">
        <v>12.9</v>
      </c>
      <c r="HT361" s="19">
        <v>11.9</v>
      </c>
      <c r="HU361" s="19">
        <v>10.9</v>
      </c>
      <c r="HV361" s="19">
        <v>9.9</v>
      </c>
      <c r="HW361" s="19">
        <v>8.9</v>
      </c>
      <c r="HX361" s="19">
        <v>7.9</v>
      </c>
      <c r="HY361" s="19">
        <v>6.9</v>
      </c>
      <c r="HZ361" s="19">
        <v>5.9</v>
      </c>
      <c r="IA361" s="19">
        <v>4.9</v>
      </c>
      <c r="IB361" s="19">
        <v>11</v>
      </c>
    </row>
    <row r="362">
      <c r="A362" s="2" t="s">
        <v>2306</v>
      </c>
      <c r="B362" s="2" t="s">
        <v>279</v>
      </c>
      <c r="C362" s="2" t="s">
        <v>908</v>
      </c>
      <c r="D362" s="2" t="s">
        <v>281</v>
      </c>
      <c r="E362" s="2" t="s">
        <v>282</v>
      </c>
      <c r="F362" s="2" t="s">
        <v>2307</v>
      </c>
      <c r="G362" s="2" t="s">
        <v>2307</v>
      </c>
      <c r="H362" s="2" t="s">
        <v>2307</v>
      </c>
      <c r="I362" s="2" t="s">
        <v>345</v>
      </c>
      <c r="J362" s="2" t="s">
        <v>336</v>
      </c>
      <c r="K362" s="2" t="s">
        <v>2308</v>
      </c>
      <c r="L362" s="3">
        <v>24.3</v>
      </c>
      <c r="M362" s="3">
        <v>25.52</v>
      </c>
      <c r="N362" s="3">
        <v>54.99</v>
      </c>
      <c r="O362" s="2" t="s">
        <v>230</v>
      </c>
      <c r="P362" s="2" t="s">
        <v>586</v>
      </c>
      <c r="Q362" s="2" t="s">
        <v>232</v>
      </c>
      <c r="R362" s="2" t="s">
        <v>233</v>
      </c>
      <c r="S362" s="2" t="s">
        <v>2309</v>
      </c>
      <c r="T362" s="2" t="s">
        <v>2310</v>
      </c>
      <c r="U362" s="2" t="s">
        <v>287</v>
      </c>
      <c r="V362" s="2" t="s">
        <v>2311</v>
      </c>
      <c r="W362" s="2" t="s">
        <v>915</v>
      </c>
      <c r="X362" s="2" t="s">
        <v>237</v>
      </c>
      <c r="Y362" s="2" t="s">
        <v>2312</v>
      </c>
      <c r="Z362" s="4">
        <v>429</v>
      </c>
      <c r="AA362" s="4">
        <f>=ROUNDDOWN(14.3,0)</f>
      </c>
      <c r="AB362" s="5">
        <v>30</v>
      </c>
      <c r="AC362" s="2" t="s">
        <v>145</v>
      </c>
      <c r="AD362" s="4">
        <v>376</v>
      </c>
      <c r="AE362" s="4">
        <v>496</v>
      </c>
      <c r="AF362" s="6">
        <v>74</v>
      </c>
      <c r="AG362" s="6"/>
      <c r="AH362" s="7">
        <v>1</v>
      </c>
      <c r="AI362" s="4"/>
      <c r="AJ362" s="4">
        <f>=ROUNDDOWN({0},0)</f>
      </c>
      <c r="AK362" s="5"/>
      <c r="AL362" s="2" t="s">
        <v>233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233</v>
      </c>
      <c r="AW362" s="8" t="s">
        <v>233</v>
      </c>
      <c r="AX362" s="4" t="s">
        <v>233</v>
      </c>
      <c r="AY362" s="8" t="s">
        <v>233</v>
      </c>
      <c r="AZ362" s="7" t="s">
        <v>233</v>
      </c>
      <c r="BA362" s="7" t="s">
        <v>233</v>
      </c>
      <c r="BB362" s="7"/>
      <c r="BC362" s="4" t="s">
        <v>233</v>
      </c>
      <c r="BD362" s="8" t="s">
        <v>233</v>
      </c>
      <c r="BE362" s="4" t="s">
        <v>233</v>
      </c>
      <c r="BF362" s="8" t="s">
        <v>233</v>
      </c>
      <c r="BG362" s="7" t="s">
        <v>233</v>
      </c>
      <c r="BH362" s="7" t="s">
        <v>233</v>
      </c>
      <c r="BI362" s="7"/>
      <c r="BJ362" s="4">
        <v>148</v>
      </c>
      <c r="BK362" s="8">
        <v>4047.82</v>
      </c>
      <c r="BL362" s="2" t="s">
        <v>2313</v>
      </c>
      <c r="BM362" s="7"/>
      <c r="BN362" s="7"/>
      <c r="BO362" s="4"/>
      <c r="BP362" s="8"/>
      <c r="BQ362" s="4"/>
      <c r="BR362" s="8"/>
      <c r="BS362" s="7"/>
      <c r="BT362" s="7"/>
      <c r="BU362" s="2" t="s">
        <v>2314</v>
      </c>
      <c r="BV362" s="2" t="s">
        <v>233</v>
      </c>
      <c r="BW362" s="2" t="s">
        <v>233</v>
      </c>
      <c r="BX362" s="2" t="s">
        <v>241</v>
      </c>
      <c r="BY362" s="2" t="s">
        <v>242</v>
      </c>
      <c r="BZ362" s="2" t="s">
        <v>230</v>
      </c>
      <c r="CA362" s="2" t="s">
        <v>1269</v>
      </c>
      <c r="CB362" s="2" t="s">
        <v>2315</v>
      </c>
      <c r="CC362" s="2" t="s">
        <v>245</v>
      </c>
      <c r="CD362" s="2" t="s">
        <v>233</v>
      </c>
      <c r="CE362" s="4">
        <v>429</v>
      </c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>
        <v>376</v>
      </c>
      <c r="DH362" s="4"/>
      <c r="DI362" s="4"/>
      <c r="DJ362" s="4"/>
      <c r="DK362" s="4"/>
      <c r="DL362" s="4"/>
      <c r="DM362" s="4"/>
      <c r="DN362" s="4"/>
      <c r="DO362" s="4"/>
      <c r="DP362" s="4">
        <v>120</v>
      </c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>
        <v>517</v>
      </c>
      <c r="GD362" s="4">
        <v>264</v>
      </c>
      <c r="GE362" s="4">
        <v>210</v>
      </c>
      <c r="GF362" s="4">
        <v>517</v>
      </c>
      <c r="GG362" s="4">
        <v>395</v>
      </c>
      <c r="GH362" s="4">
        <v>456</v>
      </c>
      <c r="GI362" s="4">
        <v>399</v>
      </c>
      <c r="GJ362" s="4">
        <v>359</v>
      </c>
      <c r="GK362" s="4">
        <v>328</v>
      </c>
      <c r="GL362" s="4">
        <v>293</v>
      </c>
      <c r="GM362" s="4">
        <v>265</v>
      </c>
      <c r="GN362" s="4">
        <v>245</v>
      </c>
      <c r="GO362" s="4">
        <v>228</v>
      </c>
      <c r="GP362" s="4">
        <v>211</v>
      </c>
      <c r="GQ362" s="4">
        <v>192</v>
      </c>
      <c r="GR362" s="4">
        <v>173</v>
      </c>
      <c r="GS362" s="4">
        <v>154</v>
      </c>
      <c r="GT362" s="4">
        <v>135</v>
      </c>
      <c r="GU362" s="4">
        <v>120</v>
      </c>
      <c r="GV362" s="4">
        <v>105</v>
      </c>
      <c r="GW362" s="4">
        <v>91</v>
      </c>
      <c r="GX362" s="4">
        <v>77</v>
      </c>
      <c r="GY362" s="4">
        <v>63</v>
      </c>
      <c r="GZ362" s="4">
        <v>49</v>
      </c>
      <c r="HA362" s="4">
        <v>35</v>
      </c>
      <c r="HB362" s="4">
        <v>21</v>
      </c>
      <c r="HC362" s="19">
        <v>4.2</v>
      </c>
      <c r="HD362" s="19">
        <v>3.5</v>
      </c>
      <c r="HE362" s="19">
        <v>2.7</v>
      </c>
      <c r="HF362" s="19">
        <v>7.4</v>
      </c>
      <c r="HG362" s="19">
        <v>8.4</v>
      </c>
      <c r="HH362" s="19">
        <v>11.1</v>
      </c>
      <c r="HI362" s="19">
        <v>11.7</v>
      </c>
      <c r="HJ362" s="19">
        <v>12.8</v>
      </c>
      <c r="HK362" s="19">
        <v>13.1</v>
      </c>
      <c r="HL362" s="19">
        <v>14.7</v>
      </c>
      <c r="HM362" s="19">
        <v>14.7</v>
      </c>
      <c r="HN362" s="19">
        <v>13.6</v>
      </c>
      <c r="HO362" s="19">
        <v>12.7</v>
      </c>
      <c r="HP362" s="19">
        <v>11.1</v>
      </c>
      <c r="HQ362" s="19">
        <v>10.7</v>
      </c>
      <c r="HR362" s="19">
        <v>10.2</v>
      </c>
      <c r="HS362" s="19">
        <v>9.6</v>
      </c>
      <c r="HT362" s="19">
        <v>9.6</v>
      </c>
      <c r="HU362" s="19">
        <v>8.6</v>
      </c>
      <c r="HV362" s="19">
        <v>7.5</v>
      </c>
      <c r="HW362" s="19">
        <v>6.5</v>
      </c>
      <c r="HX362" s="19">
        <v>5.5</v>
      </c>
      <c r="HY362" s="19">
        <v>4.5</v>
      </c>
      <c r="HZ362" s="19">
        <v>4.1</v>
      </c>
      <c r="IA362" s="19">
        <v>3.5</v>
      </c>
      <c r="IB362" s="19">
        <v>1.8</v>
      </c>
    </row>
    <row r="363">
      <c r="A363" s="2" t="s">
        <v>2316</v>
      </c>
      <c r="B363" s="2" t="s">
        <v>279</v>
      </c>
      <c r="C363" s="2" t="s">
        <v>908</v>
      </c>
      <c r="D363" s="2" t="s">
        <v>281</v>
      </c>
      <c r="E363" s="2" t="s">
        <v>282</v>
      </c>
      <c r="F363" s="2" t="s">
        <v>2307</v>
      </c>
      <c r="G363" s="2" t="s">
        <v>2307</v>
      </c>
      <c r="H363" s="2" t="s">
        <v>2307</v>
      </c>
      <c r="I363" s="2" t="s">
        <v>345</v>
      </c>
      <c r="J363" s="2" t="s">
        <v>285</v>
      </c>
      <c r="K363" s="2" t="s">
        <v>2308</v>
      </c>
      <c r="L363" s="3">
        <v>28.98</v>
      </c>
      <c r="M363" s="3">
        <v>30.43</v>
      </c>
      <c r="N363" s="3">
        <v>64.99</v>
      </c>
      <c r="O363" s="2" t="s">
        <v>230</v>
      </c>
      <c r="P363" s="2" t="s">
        <v>231</v>
      </c>
      <c r="Q363" s="2" t="s">
        <v>232</v>
      </c>
      <c r="R363" s="2" t="s">
        <v>233</v>
      </c>
      <c r="S363" s="2" t="s">
        <v>2309</v>
      </c>
      <c r="T363" s="2" t="s">
        <v>2310</v>
      </c>
      <c r="U363" s="2" t="s">
        <v>287</v>
      </c>
      <c r="V363" s="2" t="s">
        <v>2311</v>
      </c>
      <c r="W363" s="2" t="s">
        <v>915</v>
      </c>
      <c r="X363" s="2" t="s">
        <v>237</v>
      </c>
      <c r="Y363" s="2" t="s">
        <v>2312</v>
      </c>
      <c r="Z363" s="4">
        <v>189</v>
      </c>
      <c r="AA363" s="4">
        <f>=ROUNDDOWN(23.625,0)</f>
      </c>
      <c r="AB363" s="5">
        <v>8</v>
      </c>
      <c r="AC363" s="2" t="s">
        <v>145</v>
      </c>
      <c r="AD363" s="4">
        <v>186</v>
      </c>
      <c r="AE363" s="4">
        <v>186</v>
      </c>
      <c r="AF363" s="6">
        <v>74</v>
      </c>
      <c r="AG363" s="6"/>
      <c r="AH363" s="7">
        <v>1</v>
      </c>
      <c r="AI363" s="4"/>
      <c r="AJ363" s="4">
        <f>=ROUNDDOWN({0},0)</f>
      </c>
      <c r="AK363" s="5"/>
      <c r="AL363" s="2" t="s">
        <v>233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233</v>
      </c>
      <c r="AW363" s="8" t="s">
        <v>233</v>
      </c>
      <c r="AX363" s="4" t="s">
        <v>233</v>
      </c>
      <c r="AY363" s="8" t="s">
        <v>233</v>
      </c>
      <c r="AZ363" s="7" t="s">
        <v>233</v>
      </c>
      <c r="BA363" s="7" t="s">
        <v>233</v>
      </c>
      <c r="BB363" s="7"/>
      <c r="BC363" s="4" t="s">
        <v>233</v>
      </c>
      <c r="BD363" s="8" t="s">
        <v>233</v>
      </c>
      <c r="BE363" s="4" t="s">
        <v>233</v>
      </c>
      <c r="BF363" s="8" t="s">
        <v>233</v>
      </c>
      <c r="BG363" s="7" t="s">
        <v>233</v>
      </c>
      <c r="BH363" s="7" t="s">
        <v>233</v>
      </c>
      <c r="BI363" s="7"/>
      <c r="BJ363" s="4">
        <v>14</v>
      </c>
      <c r="BK363" s="8">
        <v>480.1</v>
      </c>
      <c r="BL363" s="2" t="s">
        <v>674</v>
      </c>
      <c r="BM363" s="7"/>
      <c r="BN363" s="7"/>
      <c r="BO363" s="4"/>
      <c r="BP363" s="8"/>
      <c r="BQ363" s="4"/>
      <c r="BR363" s="8"/>
      <c r="BS363" s="7"/>
      <c r="BT363" s="7"/>
      <c r="BU363" s="2" t="s">
        <v>2314</v>
      </c>
      <c r="BV363" s="2" t="s">
        <v>233</v>
      </c>
      <c r="BW363" s="2" t="s">
        <v>233</v>
      </c>
      <c r="BX363" s="2" t="s">
        <v>241</v>
      </c>
      <c r="BY363" s="2" t="s">
        <v>242</v>
      </c>
      <c r="BZ363" s="2" t="s">
        <v>230</v>
      </c>
      <c r="CA363" s="2" t="s">
        <v>1269</v>
      </c>
      <c r="CB363" s="2" t="s">
        <v>233</v>
      </c>
      <c r="CC363" s="2" t="s">
        <v>245</v>
      </c>
      <c r="CD363" s="2" t="s">
        <v>233</v>
      </c>
      <c r="CE363" s="4">
        <v>189</v>
      </c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>
        <v>186</v>
      </c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>
        <v>201</v>
      </c>
      <c r="GD363" s="4">
        <v>135</v>
      </c>
      <c r="GE363" s="4">
        <v>120</v>
      </c>
      <c r="GF363" s="4">
        <v>287</v>
      </c>
      <c r="GG363" s="4">
        <v>254</v>
      </c>
      <c r="GH363" s="4">
        <v>237</v>
      </c>
      <c r="GI363" s="4">
        <v>221</v>
      </c>
      <c r="GJ363" s="4">
        <v>210</v>
      </c>
      <c r="GK363" s="4">
        <v>201</v>
      </c>
      <c r="GL363" s="4">
        <v>191</v>
      </c>
      <c r="GM363" s="4">
        <v>183</v>
      </c>
      <c r="GN363" s="4">
        <v>177</v>
      </c>
      <c r="GO363" s="4">
        <v>172</v>
      </c>
      <c r="GP363" s="4">
        <v>167</v>
      </c>
      <c r="GQ363" s="4">
        <v>161</v>
      </c>
      <c r="GR363" s="4">
        <v>155</v>
      </c>
      <c r="GS363" s="4">
        <v>149</v>
      </c>
      <c r="GT363" s="4">
        <v>143</v>
      </c>
      <c r="GU363" s="4">
        <v>138</v>
      </c>
      <c r="GV363" s="4">
        <v>133</v>
      </c>
      <c r="GW363" s="4">
        <v>129</v>
      </c>
      <c r="GX363" s="4">
        <v>125</v>
      </c>
      <c r="GY363" s="4">
        <v>121</v>
      </c>
      <c r="GZ363" s="4">
        <v>117</v>
      </c>
      <c r="HA363" s="4">
        <v>113</v>
      </c>
      <c r="HB363" s="4">
        <v>109</v>
      </c>
      <c r="HC363" s="19">
        <v>6.1</v>
      </c>
      <c r="HD363" s="19">
        <v>6.4</v>
      </c>
      <c r="HE363" s="19">
        <v>5.7</v>
      </c>
      <c r="HF363" s="19">
        <v>15.1</v>
      </c>
      <c r="HG363" s="19">
        <v>19.5</v>
      </c>
      <c r="HH363" s="19">
        <v>19.8</v>
      </c>
      <c r="HI363" s="19">
        <v>22.1</v>
      </c>
      <c r="HJ363" s="19">
        <v>26.3</v>
      </c>
      <c r="HK363" s="19">
        <v>28.7</v>
      </c>
      <c r="HL363" s="19">
        <v>31.8</v>
      </c>
      <c r="HM363" s="19">
        <v>30.5</v>
      </c>
      <c r="HN363" s="19">
        <v>29.5</v>
      </c>
      <c r="HO363" s="19">
        <v>28.7</v>
      </c>
      <c r="HP363" s="19">
        <v>27.8</v>
      </c>
      <c r="HQ363" s="19">
        <v>26.8</v>
      </c>
      <c r="HR363" s="19">
        <v>25.8</v>
      </c>
      <c r="HS363" s="19">
        <v>29.8</v>
      </c>
      <c r="HT363" s="19">
        <v>35.8</v>
      </c>
      <c r="HU363" s="19">
        <v>34.5</v>
      </c>
      <c r="HV363" s="19">
        <v>33.3</v>
      </c>
      <c r="HW363" s="19">
        <v>32.3</v>
      </c>
      <c r="HX363" s="19">
        <v>31.3</v>
      </c>
      <c r="HY363" s="19">
        <v>30.3</v>
      </c>
      <c r="HZ363" s="19">
        <v>29.3</v>
      </c>
      <c r="IA363" s="19">
        <v>28.3</v>
      </c>
      <c r="IB363" s="19">
        <v>36.3</v>
      </c>
    </row>
    <row r="364">
      <c r="A364" s="2" t="s">
        <v>2317</v>
      </c>
      <c r="B364" s="2" t="s">
        <v>279</v>
      </c>
      <c r="C364" s="2" t="s">
        <v>908</v>
      </c>
      <c r="D364" s="2" t="s">
        <v>281</v>
      </c>
      <c r="E364" s="2" t="s">
        <v>282</v>
      </c>
      <c r="F364" s="2" t="s">
        <v>2307</v>
      </c>
      <c r="G364" s="2" t="s">
        <v>2307</v>
      </c>
      <c r="H364" s="2" t="s">
        <v>2307</v>
      </c>
      <c r="I364" s="2" t="s">
        <v>345</v>
      </c>
      <c r="J364" s="2" t="s">
        <v>336</v>
      </c>
      <c r="K364" s="2" t="s">
        <v>2318</v>
      </c>
      <c r="L364" s="3">
        <v>24.3</v>
      </c>
      <c r="M364" s="3">
        <v>25.52</v>
      </c>
      <c r="N364" s="3">
        <v>54.99</v>
      </c>
      <c r="O364" s="2" t="s">
        <v>230</v>
      </c>
      <c r="P364" s="2" t="s">
        <v>586</v>
      </c>
      <c r="Q364" s="2" t="s">
        <v>232</v>
      </c>
      <c r="R364" s="2" t="s">
        <v>233</v>
      </c>
      <c r="S364" s="2" t="s">
        <v>2319</v>
      </c>
      <c r="T364" s="2" t="s">
        <v>2310</v>
      </c>
      <c r="U364" s="2" t="s">
        <v>287</v>
      </c>
      <c r="V364" s="2" t="s">
        <v>2311</v>
      </c>
      <c r="W364" s="2" t="s">
        <v>237</v>
      </c>
      <c r="X364" s="2" t="s">
        <v>233</v>
      </c>
      <c r="Y364" s="2" t="s">
        <v>2320</v>
      </c>
      <c r="Z364" s="4">
        <v>535</v>
      </c>
      <c r="AA364" s="4">
        <f>=ROUNDDOWN(14.8611111111111,0)</f>
      </c>
      <c r="AB364" s="5">
        <v>36</v>
      </c>
      <c r="AC364" s="2" t="s">
        <v>145</v>
      </c>
      <c r="AD364" s="4">
        <v>261</v>
      </c>
      <c r="AE364" s="4">
        <v>443</v>
      </c>
      <c r="AF364" s="6">
        <v>70</v>
      </c>
      <c r="AG364" s="6"/>
      <c r="AH364" s="7">
        <v>1</v>
      </c>
      <c r="AI364" s="4"/>
      <c r="AJ364" s="4">
        <f>=ROUNDDOWN({0},0)</f>
      </c>
      <c r="AK364" s="5"/>
      <c r="AL364" s="2" t="s">
        <v>233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233</v>
      </c>
      <c r="AW364" s="8" t="s">
        <v>233</v>
      </c>
      <c r="AX364" s="4" t="s">
        <v>233</v>
      </c>
      <c r="AY364" s="8" t="s">
        <v>233</v>
      </c>
      <c r="AZ364" s="7" t="s">
        <v>233</v>
      </c>
      <c r="BA364" s="7" t="s">
        <v>233</v>
      </c>
      <c r="BB364" s="7"/>
      <c r="BC364" s="4" t="s">
        <v>233</v>
      </c>
      <c r="BD364" s="8" t="s">
        <v>233</v>
      </c>
      <c r="BE364" s="4" t="s">
        <v>233</v>
      </c>
      <c r="BF364" s="8" t="s">
        <v>233</v>
      </c>
      <c r="BG364" s="7" t="s">
        <v>233</v>
      </c>
      <c r="BH364" s="7" t="s">
        <v>233</v>
      </c>
      <c r="BI364" s="7"/>
      <c r="BJ364" s="4">
        <v>252</v>
      </c>
      <c r="BK364" s="8">
        <v>7285.34</v>
      </c>
      <c r="BL364" s="2" t="s">
        <v>2321</v>
      </c>
      <c r="BM364" s="7"/>
      <c r="BN364" s="7"/>
      <c r="BO364" s="4"/>
      <c r="BP364" s="8"/>
      <c r="BQ364" s="4"/>
      <c r="BR364" s="8"/>
      <c r="BS364" s="7"/>
      <c r="BT364" s="7"/>
      <c r="BU364" s="2" t="s">
        <v>2314</v>
      </c>
      <c r="BV364" s="2" t="s">
        <v>233</v>
      </c>
      <c r="BW364" s="2" t="s">
        <v>233</v>
      </c>
      <c r="BX364" s="2" t="s">
        <v>241</v>
      </c>
      <c r="BY364" s="2" t="s">
        <v>242</v>
      </c>
      <c r="BZ364" s="2" t="s">
        <v>230</v>
      </c>
      <c r="CA364" s="2" t="s">
        <v>2322</v>
      </c>
      <c r="CB364" s="2" t="s">
        <v>1218</v>
      </c>
      <c r="CC364" s="2" t="s">
        <v>245</v>
      </c>
      <c r="CD364" s="2" t="s">
        <v>233</v>
      </c>
      <c r="CE364" s="4">
        <v>534</v>
      </c>
      <c r="CF364" s="4"/>
      <c r="CG364" s="4"/>
      <c r="CH364" s="4"/>
      <c r="CI364" s="4"/>
      <c r="CJ364" s="4"/>
      <c r="CK364" s="4">
        <v>1</v>
      </c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>
        <v>261</v>
      </c>
      <c r="DH364" s="4"/>
      <c r="DI364" s="4"/>
      <c r="DJ364" s="4"/>
      <c r="DK364" s="4"/>
      <c r="DL364" s="4"/>
      <c r="DM364" s="4"/>
      <c r="DN364" s="4"/>
      <c r="DO364" s="4"/>
      <c r="DP364" s="4">
        <v>182</v>
      </c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>
        <v>627</v>
      </c>
      <c r="GD364" s="4">
        <v>503</v>
      </c>
      <c r="GE364" s="4">
        <v>433</v>
      </c>
      <c r="GF364" s="4">
        <v>592</v>
      </c>
      <c r="GG364" s="4">
        <v>396</v>
      </c>
      <c r="GH364" s="4">
        <v>485</v>
      </c>
      <c r="GI364" s="4">
        <v>395</v>
      </c>
      <c r="GJ364" s="4">
        <v>335</v>
      </c>
      <c r="GK364" s="4">
        <v>291</v>
      </c>
      <c r="GL364" s="4">
        <v>240</v>
      </c>
      <c r="GM364" s="4">
        <v>202</v>
      </c>
      <c r="GN364" s="4">
        <v>174</v>
      </c>
      <c r="GO364" s="4">
        <v>152</v>
      </c>
      <c r="GP364" s="4">
        <v>130</v>
      </c>
      <c r="GQ364" s="4">
        <v>105</v>
      </c>
      <c r="GR364" s="4">
        <v>80</v>
      </c>
      <c r="GS364" s="4">
        <v>55</v>
      </c>
      <c r="GT364" s="4">
        <v>30</v>
      </c>
      <c r="GU364" s="4">
        <v>11</v>
      </c>
      <c r="GV364" s="4"/>
      <c r="GW364" s="4"/>
      <c r="GX364" s="4"/>
      <c r="GY364" s="4"/>
      <c r="GZ364" s="4"/>
      <c r="HA364" s="4">
        <v>247</v>
      </c>
      <c r="HB364" s="4">
        <v>216</v>
      </c>
      <c r="HC364" s="19">
        <v>5.1</v>
      </c>
      <c r="HD364" s="19">
        <v>4.4</v>
      </c>
      <c r="HE364" s="19">
        <v>3.6</v>
      </c>
      <c r="HF364" s="19">
        <v>5.4</v>
      </c>
      <c r="HG364" s="19">
        <v>5.5</v>
      </c>
      <c r="HH364" s="19">
        <v>8</v>
      </c>
      <c r="HI364" s="19">
        <v>8.2</v>
      </c>
      <c r="HJ364" s="19">
        <v>8.4</v>
      </c>
      <c r="HK364" s="19">
        <v>8.3</v>
      </c>
      <c r="HL364" s="19">
        <v>8.6</v>
      </c>
      <c r="HM364" s="19">
        <v>8.4</v>
      </c>
      <c r="HN364" s="19">
        <v>7.3</v>
      </c>
      <c r="HO364" s="19">
        <v>6.3</v>
      </c>
      <c r="HP364" s="19">
        <v>5.2</v>
      </c>
      <c r="HQ364" s="19">
        <v>4.4</v>
      </c>
      <c r="HR364" s="19">
        <v>3.8</v>
      </c>
      <c r="HS364" s="19">
        <v>2.9</v>
      </c>
      <c r="HT364" s="19">
        <v>1.8</v>
      </c>
      <c r="HU364" s="19">
        <v>0.7</v>
      </c>
      <c r="HV364" s="20">
        <v>0</v>
      </c>
      <c r="HW364" s="20">
        <v>0</v>
      </c>
      <c r="HX364" s="20">
        <v>0</v>
      </c>
      <c r="HY364" s="20">
        <v>0</v>
      </c>
      <c r="HZ364" s="20">
        <v>0</v>
      </c>
      <c r="IA364" s="19">
        <v>13</v>
      </c>
      <c r="IB364" s="19">
        <v>14.4</v>
      </c>
    </row>
    <row r="365">
      <c r="A365" s="2" t="s">
        <v>2323</v>
      </c>
      <c r="B365" s="2" t="s">
        <v>279</v>
      </c>
      <c r="C365" s="2" t="s">
        <v>908</v>
      </c>
      <c r="D365" s="2" t="s">
        <v>281</v>
      </c>
      <c r="E365" s="2" t="s">
        <v>282</v>
      </c>
      <c r="F365" s="2" t="s">
        <v>2307</v>
      </c>
      <c r="G365" s="2" t="s">
        <v>2307</v>
      </c>
      <c r="H365" s="2" t="s">
        <v>2307</v>
      </c>
      <c r="I365" s="2" t="s">
        <v>345</v>
      </c>
      <c r="J365" s="2" t="s">
        <v>256</v>
      </c>
      <c r="K365" s="2" t="s">
        <v>2318</v>
      </c>
      <c r="L365" s="3">
        <v>28.98</v>
      </c>
      <c r="M365" s="3">
        <v>30.43</v>
      </c>
      <c r="N365" s="3">
        <v>64.99</v>
      </c>
      <c r="O365" s="2" t="s">
        <v>230</v>
      </c>
      <c r="P365" s="2" t="s">
        <v>231</v>
      </c>
      <c r="Q365" s="2" t="s">
        <v>232</v>
      </c>
      <c r="R365" s="2" t="s">
        <v>233</v>
      </c>
      <c r="S365" s="2" t="s">
        <v>2324</v>
      </c>
      <c r="T365" s="2" t="s">
        <v>2310</v>
      </c>
      <c r="U365" s="2" t="s">
        <v>287</v>
      </c>
      <c r="V365" s="2" t="s">
        <v>2311</v>
      </c>
      <c r="W365" s="2" t="s">
        <v>915</v>
      </c>
      <c r="X365" s="2" t="s">
        <v>237</v>
      </c>
      <c r="Y365" s="2" t="s">
        <v>2320</v>
      </c>
      <c r="Z365" s="4">
        <v>163</v>
      </c>
      <c r="AA365" s="4">
        <f>=ROUNDDOWN(9.05555555555556,0)</f>
      </c>
      <c r="AB365" s="5">
        <v>18</v>
      </c>
      <c r="AC365" s="2" t="s">
        <v>145</v>
      </c>
      <c r="AD365" s="4">
        <v>228</v>
      </c>
      <c r="AE365" s="4">
        <v>245</v>
      </c>
      <c r="AF365" s="6">
        <v>70</v>
      </c>
      <c r="AG365" s="6"/>
      <c r="AH365" s="7">
        <v>1</v>
      </c>
      <c r="AI365" s="4"/>
      <c r="AJ365" s="4">
        <f>=ROUNDDOWN({0},0)</f>
      </c>
      <c r="AK365" s="5"/>
      <c r="AL365" s="2" t="s">
        <v>233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233</v>
      </c>
      <c r="AW365" s="8" t="s">
        <v>233</v>
      </c>
      <c r="AX365" s="4" t="s">
        <v>233</v>
      </c>
      <c r="AY365" s="8" t="s">
        <v>233</v>
      </c>
      <c r="AZ365" s="7" t="s">
        <v>233</v>
      </c>
      <c r="BA365" s="7" t="s">
        <v>233</v>
      </c>
      <c r="BB365" s="7"/>
      <c r="BC365" s="4" t="s">
        <v>233</v>
      </c>
      <c r="BD365" s="8" t="s">
        <v>233</v>
      </c>
      <c r="BE365" s="4" t="s">
        <v>233</v>
      </c>
      <c r="BF365" s="8" t="s">
        <v>233</v>
      </c>
      <c r="BG365" s="7" t="s">
        <v>233</v>
      </c>
      <c r="BH365" s="7" t="s">
        <v>233</v>
      </c>
      <c r="BI365" s="7"/>
      <c r="BJ365" s="4">
        <v>116</v>
      </c>
      <c r="BK365" s="8">
        <v>3948.98</v>
      </c>
      <c r="BL365" s="2" t="s">
        <v>2325</v>
      </c>
      <c r="BM365" s="7"/>
      <c r="BN365" s="7"/>
      <c r="BO365" s="4"/>
      <c r="BP365" s="8"/>
      <c r="BQ365" s="4"/>
      <c r="BR365" s="8"/>
      <c r="BS365" s="7"/>
      <c r="BT365" s="7"/>
      <c r="BU365" s="2" t="s">
        <v>2314</v>
      </c>
      <c r="BV365" s="2" t="s">
        <v>233</v>
      </c>
      <c r="BW365" s="2" t="s">
        <v>233</v>
      </c>
      <c r="BX365" s="2" t="s">
        <v>241</v>
      </c>
      <c r="BY365" s="2" t="s">
        <v>242</v>
      </c>
      <c r="BZ365" s="2" t="s">
        <v>230</v>
      </c>
      <c r="CA365" s="2" t="s">
        <v>2322</v>
      </c>
      <c r="CB365" s="2" t="s">
        <v>2326</v>
      </c>
      <c r="CC365" s="2" t="s">
        <v>245</v>
      </c>
      <c r="CD365" s="2" t="s">
        <v>233</v>
      </c>
      <c r="CE365" s="4">
        <v>70</v>
      </c>
      <c r="CF365" s="4">
        <v>93</v>
      </c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>
        <v>228</v>
      </c>
      <c r="DH365" s="4"/>
      <c r="DI365" s="4"/>
      <c r="DJ365" s="4"/>
      <c r="DK365" s="4"/>
      <c r="DL365" s="4"/>
      <c r="DM365" s="4"/>
      <c r="DN365" s="4"/>
      <c r="DO365" s="4"/>
      <c r="DP365" s="4">
        <v>17</v>
      </c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>
        <v>189</v>
      </c>
      <c r="GD365" s="4">
        <v>116</v>
      </c>
      <c r="GE365" s="4">
        <v>81</v>
      </c>
      <c r="GF365" s="4">
        <v>257</v>
      </c>
      <c r="GG365" s="4">
        <v>156</v>
      </c>
      <c r="GH365" s="4">
        <v>126</v>
      </c>
      <c r="GI365" s="4">
        <v>80</v>
      </c>
      <c r="GJ365" s="4">
        <v>50</v>
      </c>
      <c r="GK365" s="4">
        <v>28</v>
      </c>
      <c r="GL365" s="4">
        <v>3</v>
      </c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>
        <v>110</v>
      </c>
      <c r="HB365" s="4">
        <v>94</v>
      </c>
      <c r="HC365" s="19">
        <v>2.9</v>
      </c>
      <c r="HD365" s="19">
        <v>2</v>
      </c>
      <c r="HE365" s="19">
        <v>1.3</v>
      </c>
      <c r="HF365" s="19">
        <v>4.6</v>
      </c>
      <c r="HG365" s="19">
        <v>4.3</v>
      </c>
      <c r="HH365" s="19">
        <v>4.1</v>
      </c>
      <c r="HI365" s="19">
        <v>3.3</v>
      </c>
      <c r="HJ365" s="19">
        <v>2.5</v>
      </c>
      <c r="HK365" s="19">
        <v>1.8</v>
      </c>
      <c r="HL365" s="19">
        <v>0.2</v>
      </c>
      <c r="HM365" s="20">
        <v>0</v>
      </c>
      <c r="HN365" s="20">
        <v>0</v>
      </c>
      <c r="HO365" s="20">
        <v>0</v>
      </c>
      <c r="HP365" s="20">
        <v>0</v>
      </c>
      <c r="HQ365" s="20">
        <v>0</v>
      </c>
      <c r="HR365" s="20">
        <v>0</v>
      </c>
      <c r="HS365" s="20">
        <v>0</v>
      </c>
      <c r="HT365" s="20">
        <v>0</v>
      </c>
      <c r="HU365" s="20">
        <v>0</v>
      </c>
      <c r="HV365" s="20">
        <v>0</v>
      </c>
      <c r="HW365" s="20">
        <v>0</v>
      </c>
      <c r="HX365" s="20">
        <v>0</v>
      </c>
      <c r="HY365" s="20">
        <v>0</v>
      </c>
      <c r="HZ365" s="20">
        <v>0</v>
      </c>
      <c r="IA365" s="19">
        <v>11</v>
      </c>
      <c r="IB365" s="19">
        <v>11.8</v>
      </c>
    </row>
    <row r="366">
      <c r="A366" s="2" t="s">
        <v>2327</v>
      </c>
      <c r="B366" s="2" t="s">
        <v>279</v>
      </c>
      <c r="C366" s="2" t="s">
        <v>908</v>
      </c>
      <c r="D366" s="2" t="s">
        <v>281</v>
      </c>
      <c r="E366" s="2" t="s">
        <v>282</v>
      </c>
      <c r="F366" s="2" t="s">
        <v>2307</v>
      </c>
      <c r="G366" s="2" t="s">
        <v>2307</v>
      </c>
      <c r="H366" s="2" t="s">
        <v>2307</v>
      </c>
      <c r="I366" s="2" t="s">
        <v>345</v>
      </c>
      <c r="J366" s="2" t="s">
        <v>336</v>
      </c>
      <c r="K366" s="2" t="s">
        <v>2328</v>
      </c>
      <c r="L366" s="3">
        <v>24.3</v>
      </c>
      <c r="M366" s="3">
        <v>25.52</v>
      </c>
      <c r="N366" s="3">
        <v>54.99</v>
      </c>
      <c r="O366" s="2" t="s">
        <v>230</v>
      </c>
      <c r="P366" s="2" t="s">
        <v>586</v>
      </c>
      <c r="Q366" s="2" t="s">
        <v>232</v>
      </c>
      <c r="R366" s="2" t="s">
        <v>233</v>
      </c>
      <c r="S366" s="2" t="s">
        <v>2329</v>
      </c>
      <c r="T366" s="2" t="s">
        <v>2310</v>
      </c>
      <c r="U366" s="2" t="s">
        <v>233</v>
      </c>
      <c r="V366" s="2" t="s">
        <v>2311</v>
      </c>
      <c r="W366" s="2" t="s">
        <v>915</v>
      </c>
      <c r="X366" s="2" t="s">
        <v>237</v>
      </c>
      <c r="Y366" s="2" t="s">
        <v>2302</v>
      </c>
      <c r="Z366" s="4">
        <v>620</v>
      </c>
      <c r="AA366" s="4">
        <f>=ROUNDDOWN(17.2222222222222,0)</f>
      </c>
      <c r="AB366" s="5">
        <v>36</v>
      </c>
      <c r="AC366" s="2" t="s">
        <v>145</v>
      </c>
      <c r="AD366" s="4">
        <v>424</v>
      </c>
      <c r="AE366" s="4">
        <v>424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233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 t="s">
        <v>233</v>
      </c>
      <c r="BD366" s="8" t="s">
        <v>233</v>
      </c>
      <c r="BE366" s="4" t="s">
        <v>233</v>
      </c>
      <c r="BF366" s="8" t="s">
        <v>233</v>
      </c>
      <c r="BG366" s="7" t="s">
        <v>233</v>
      </c>
      <c r="BH366" s="7" t="s">
        <v>233</v>
      </c>
      <c r="BI366" s="7"/>
      <c r="BJ366" s="4">
        <v>230</v>
      </c>
      <c r="BK366" s="8">
        <v>6370.63</v>
      </c>
      <c r="BL366" s="2" t="s">
        <v>2330</v>
      </c>
      <c r="BM366" s="7"/>
      <c r="BN366" s="7"/>
      <c r="BO366" s="4"/>
      <c r="BP366" s="8"/>
      <c r="BQ366" s="4"/>
      <c r="BR366" s="8"/>
      <c r="BS366" s="7"/>
      <c r="BT366" s="7"/>
      <c r="BU366" s="2" t="s">
        <v>2314</v>
      </c>
      <c r="BV366" s="2" t="s">
        <v>233</v>
      </c>
      <c r="BW366" s="2" t="s">
        <v>233</v>
      </c>
      <c r="BX366" s="2" t="s">
        <v>241</v>
      </c>
      <c r="BY366" s="2" t="s">
        <v>242</v>
      </c>
      <c r="BZ366" s="2" t="s">
        <v>230</v>
      </c>
      <c r="CA366" s="2" t="s">
        <v>1460</v>
      </c>
      <c r="CB366" s="2" t="s">
        <v>306</v>
      </c>
      <c r="CC366" s="2" t="s">
        <v>245</v>
      </c>
      <c r="CD366" s="2" t="s">
        <v>233</v>
      </c>
      <c r="CE366" s="4">
        <v>620</v>
      </c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>
        <v>424</v>
      </c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>
        <v>649</v>
      </c>
      <c r="GD366" s="4">
        <v>568</v>
      </c>
      <c r="GE366" s="4">
        <v>498</v>
      </c>
      <c r="GF366" s="4">
        <v>820</v>
      </c>
      <c r="GG366" s="4">
        <v>624</v>
      </c>
      <c r="GH366" s="4">
        <v>531</v>
      </c>
      <c r="GI366" s="4">
        <v>441</v>
      </c>
      <c r="GJ366" s="4">
        <v>381</v>
      </c>
      <c r="GK366" s="4">
        <v>337</v>
      </c>
      <c r="GL366" s="4">
        <v>286</v>
      </c>
      <c r="GM366" s="4">
        <v>248</v>
      </c>
      <c r="GN366" s="4">
        <v>220</v>
      </c>
      <c r="GO366" s="4">
        <v>198</v>
      </c>
      <c r="GP366" s="4">
        <v>176</v>
      </c>
      <c r="GQ366" s="4">
        <v>151</v>
      </c>
      <c r="GR366" s="4">
        <v>126</v>
      </c>
      <c r="GS366" s="4">
        <v>101</v>
      </c>
      <c r="GT366" s="4">
        <v>76</v>
      </c>
      <c r="GU366" s="4">
        <v>57</v>
      </c>
      <c r="GV366" s="4">
        <v>252</v>
      </c>
      <c r="GW366" s="4">
        <v>234</v>
      </c>
      <c r="GX366" s="4">
        <v>216</v>
      </c>
      <c r="GY366" s="4">
        <v>198</v>
      </c>
      <c r="GZ366" s="4">
        <v>180</v>
      </c>
      <c r="HA366" s="4">
        <v>162</v>
      </c>
      <c r="HB366" s="4">
        <v>144</v>
      </c>
      <c r="HC366" s="19">
        <v>5.8</v>
      </c>
      <c r="HD366" s="19">
        <v>4.9</v>
      </c>
      <c r="HE366" s="19">
        <v>4.2</v>
      </c>
      <c r="HF366" s="19">
        <v>7.5</v>
      </c>
      <c r="HG366" s="19">
        <v>8.7</v>
      </c>
      <c r="HH366" s="19">
        <v>8.7</v>
      </c>
      <c r="HI366" s="19">
        <v>9.2</v>
      </c>
      <c r="HJ366" s="19">
        <v>9.5</v>
      </c>
      <c r="HK366" s="19">
        <v>9.6</v>
      </c>
      <c r="HL366" s="19">
        <v>10.2</v>
      </c>
      <c r="HM366" s="19">
        <v>10.3</v>
      </c>
      <c r="HN366" s="19">
        <v>9.2</v>
      </c>
      <c r="HO366" s="19">
        <v>8.3</v>
      </c>
      <c r="HP366" s="19">
        <v>7</v>
      </c>
      <c r="HQ366" s="19">
        <v>6.3</v>
      </c>
      <c r="HR366" s="19">
        <v>5.7</v>
      </c>
      <c r="HS366" s="19">
        <v>5.1</v>
      </c>
      <c r="HT366" s="19">
        <v>4.2</v>
      </c>
      <c r="HU366" s="19">
        <v>3.2</v>
      </c>
      <c r="HV366" s="19">
        <v>14</v>
      </c>
      <c r="HW366" s="19">
        <v>13</v>
      </c>
      <c r="HX366" s="19">
        <v>12</v>
      </c>
      <c r="HY366" s="19">
        <v>11</v>
      </c>
      <c r="HZ366" s="19">
        <v>10.6</v>
      </c>
      <c r="IA366" s="19">
        <v>10.1</v>
      </c>
      <c r="IB366" s="19">
        <v>9.6</v>
      </c>
    </row>
    <row r="367">
      <c r="A367" s="2" t="s">
        <v>2331</v>
      </c>
      <c r="B367" s="2" t="s">
        <v>279</v>
      </c>
      <c r="C367" s="2" t="s">
        <v>908</v>
      </c>
      <c r="D367" s="2" t="s">
        <v>281</v>
      </c>
      <c r="E367" s="2" t="s">
        <v>282</v>
      </c>
      <c r="F367" s="2" t="s">
        <v>2307</v>
      </c>
      <c r="G367" s="2" t="s">
        <v>2307</v>
      </c>
      <c r="H367" s="2" t="s">
        <v>2307</v>
      </c>
      <c r="I367" s="2" t="s">
        <v>345</v>
      </c>
      <c r="J367" s="2" t="s">
        <v>285</v>
      </c>
      <c r="K367" s="2" t="s">
        <v>2332</v>
      </c>
      <c r="L367" s="3">
        <v>28.98</v>
      </c>
      <c r="M367" s="3">
        <v>30.43</v>
      </c>
      <c r="N367" s="3">
        <v>64.99</v>
      </c>
      <c r="O367" s="2" t="s">
        <v>230</v>
      </c>
      <c r="P367" s="2" t="s">
        <v>231</v>
      </c>
      <c r="Q367" s="2" t="s">
        <v>232</v>
      </c>
      <c r="R367" s="2" t="s">
        <v>233</v>
      </c>
      <c r="S367" s="2" t="s">
        <v>2333</v>
      </c>
      <c r="T367" s="2" t="s">
        <v>2310</v>
      </c>
      <c r="U367" s="2" t="s">
        <v>287</v>
      </c>
      <c r="V367" s="2" t="s">
        <v>2311</v>
      </c>
      <c r="W367" s="2" t="s">
        <v>915</v>
      </c>
      <c r="X367" s="2" t="s">
        <v>237</v>
      </c>
      <c r="Y367" s="2" t="s">
        <v>2312</v>
      </c>
      <c r="Z367" s="4">
        <v>370</v>
      </c>
      <c r="AA367" s="4">
        <f>=ROUNDDOWN(28.4615384615385,0)</f>
      </c>
      <c r="AB367" s="5">
        <v>13</v>
      </c>
      <c r="AC367" s="2" t="s">
        <v>145</v>
      </c>
      <c r="AD367" s="4">
        <v>153</v>
      </c>
      <c r="AE367" s="4">
        <v>153</v>
      </c>
      <c r="AF367" s="6">
        <v>74</v>
      </c>
      <c r="AG367" s="6"/>
      <c r="AH367" s="7">
        <v>1</v>
      </c>
      <c r="AI367" s="4"/>
      <c r="AJ367" s="4">
        <f>=ROUNDDOWN({0},0)</f>
      </c>
      <c r="AK367" s="5"/>
      <c r="AL367" s="2" t="s">
        <v>233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 t="s">
        <v>233</v>
      </c>
      <c r="BD367" s="8" t="s">
        <v>233</v>
      </c>
      <c r="BE367" s="4" t="s">
        <v>233</v>
      </c>
      <c r="BF367" s="8" t="s">
        <v>233</v>
      </c>
      <c r="BG367" s="7" t="s">
        <v>233</v>
      </c>
      <c r="BH367" s="7" t="s">
        <v>233</v>
      </c>
      <c r="BI367" s="7"/>
      <c r="BJ367" s="4">
        <v>37</v>
      </c>
      <c r="BK367" s="8">
        <v>1213.9</v>
      </c>
      <c r="BL367" s="2" t="s">
        <v>2334</v>
      </c>
      <c r="BM367" s="7"/>
      <c r="BN367" s="7"/>
      <c r="BO367" s="4"/>
      <c r="BP367" s="8"/>
      <c r="BQ367" s="4"/>
      <c r="BR367" s="8"/>
      <c r="BS367" s="7"/>
      <c r="BT367" s="7"/>
      <c r="BU367" s="2" t="s">
        <v>2314</v>
      </c>
      <c r="BV367" s="2" t="s">
        <v>233</v>
      </c>
      <c r="BW367" s="2" t="s">
        <v>233</v>
      </c>
      <c r="BX367" s="2" t="s">
        <v>241</v>
      </c>
      <c r="BY367" s="2" t="s">
        <v>242</v>
      </c>
      <c r="BZ367" s="2" t="s">
        <v>230</v>
      </c>
      <c r="CA367" s="2" t="s">
        <v>1269</v>
      </c>
      <c r="CB367" s="2" t="s">
        <v>2251</v>
      </c>
      <c r="CC367" s="2" t="s">
        <v>245</v>
      </c>
      <c r="CD367" s="2" t="s">
        <v>233</v>
      </c>
      <c r="CE367" s="4">
        <v>369</v>
      </c>
      <c r="CF367" s="4"/>
      <c r="CG367" s="4"/>
      <c r="CH367" s="4"/>
      <c r="CI367" s="4"/>
      <c r="CJ367" s="4"/>
      <c r="CK367" s="4">
        <v>1</v>
      </c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>
        <v>153</v>
      </c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>
        <v>382</v>
      </c>
      <c r="GD367" s="4">
        <v>311</v>
      </c>
      <c r="GE367" s="4">
        <v>286</v>
      </c>
      <c r="GF367" s="4">
        <v>405</v>
      </c>
      <c r="GG367" s="4">
        <v>341</v>
      </c>
      <c r="GH367" s="4">
        <v>310</v>
      </c>
      <c r="GI367" s="4">
        <v>280</v>
      </c>
      <c r="GJ367" s="4">
        <v>260</v>
      </c>
      <c r="GK367" s="4">
        <v>245</v>
      </c>
      <c r="GL367" s="4">
        <v>228</v>
      </c>
      <c r="GM367" s="4">
        <v>215</v>
      </c>
      <c r="GN367" s="4">
        <v>205</v>
      </c>
      <c r="GO367" s="4">
        <v>197</v>
      </c>
      <c r="GP367" s="4">
        <v>189</v>
      </c>
      <c r="GQ367" s="4">
        <v>180</v>
      </c>
      <c r="GR367" s="4">
        <v>171</v>
      </c>
      <c r="GS367" s="4">
        <v>162</v>
      </c>
      <c r="GT367" s="4">
        <v>153</v>
      </c>
      <c r="GU367" s="4">
        <v>146</v>
      </c>
      <c r="GV367" s="4">
        <v>139</v>
      </c>
      <c r="GW367" s="4">
        <v>133</v>
      </c>
      <c r="GX367" s="4">
        <v>127</v>
      </c>
      <c r="GY367" s="4">
        <v>121</v>
      </c>
      <c r="GZ367" s="4">
        <v>115</v>
      </c>
      <c r="HA367" s="4">
        <v>109</v>
      </c>
      <c r="HB367" s="4">
        <v>103</v>
      </c>
      <c r="HC367" s="19">
        <v>8</v>
      </c>
      <c r="HD367" s="19">
        <v>8.2</v>
      </c>
      <c r="HE367" s="19">
        <v>7.2</v>
      </c>
      <c r="HF367" s="19">
        <v>11.3</v>
      </c>
      <c r="HG367" s="19">
        <v>14.2</v>
      </c>
      <c r="HH367" s="19">
        <v>15.5</v>
      </c>
      <c r="HI367" s="19">
        <v>17.5</v>
      </c>
      <c r="HJ367" s="19">
        <v>18.6</v>
      </c>
      <c r="HK367" s="19">
        <v>20.4</v>
      </c>
      <c r="HL367" s="19">
        <v>22.8</v>
      </c>
      <c r="HM367" s="19">
        <v>23.9</v>
      </c>
      <c r="HN367" s="19">
        <v>25.6</v>
      </c>
      <c r="HO367" s="19">
        <v>21.9</v>
      </c>
      <c r="HP367" s="19">
        <v>21</v>
      </c>
      <c r="HQ367" s="19">
        <v>22.5</v>
      </c>
      <c r="HR367" s="19">
        <v>21.4</v>
      </c>
      <c r="HS367" s="19">
        <v>23.1</v>
      </c>
      <c r="HT367" s="19">
        <v>25.5</v>
      </c>
      <c r="HU367" s="19">
        <v>24.3</v>
      </c>
      <c r="HV367" s="19">
        <v>23.2</v>
      </c>
      <c r="HW367" s="19">
        <v>22.2</v>
      </c>
      <c r="HX367" s="19">
        <v>21.2</v>
      </c>
      <c r="HY367" s="19">
        <v>20.2</v>
      </c>
      <c r="HZ367" s="19">
        <v>19.2</v>
      </c>
      <c r="IA367" s="19">
        <v>18.2</v>
      </c>
      <c r="IB367" s="19">
        <v>20.6</v>
      </c>
    </row>
    <row r="368">
      <c r="A368" s="2" t="s">
        <v>2335</v>
      </c>
      <c r="B368" s="2" t="s">
        <v>279</v>
      </c>
      <c r="C368" s="2" t="s">
        <v>908</v>
      </c>
      <c r="D368" s="2" t="s">
        <v>281</v>
      </c>
      <c r="E368" s="2" t="s">
        <v>282</v>
      </c>
      <c r="F368" s="2" t="s">
        <v>2307</v>
      </c>
      <c r="G368" s="2" t="s">
        <v>2307</v>
      </c>
      <c r="H368" s="2" t="s">
        <v>2307</v>
      </c>
      <c r="I368" s="2" t="s">
        <v>345</v>
      </c>
      <c r="J368" s="2" t="s">
        <v>256</v>
      </c>
      <c r="K368" s="2" t="s">
        <v>2336</v>
      </c>
      <c r="L368" s="3">
        <v>28.98</v>
      </c>
      <c r="M368" s="3">
        <v>30.43</v>
      </c>
      <c r="N368" s="3">
        <v>64.99</v>
      </c>
      <c r="O368" s="2" t="s">
        <v>230</v>
      </c>
      <c r="P368" s="2" t="s">
        <v>231</v>
      </c>
      <c r="Q368" s="2" t="s">
        <v>232</v>
      </c>
      <c r="R368" s="2" t="s">
        <v>233</v>
      </c>
      <c r="S368" s="2" t="s">
        <v>2324</v>
      </c>
      <c r="T368" s="2" t="s">
        <v>2310</v>
      </c>
      <c r="U368" s="2" t="s">
        <v>287</v>
      </c>
      <c r="V368" s="2" t="s">
        <v>2311</v>
      </c>
      <c r="W368" s="2" t="s">
        <v>915</v>
      </c>
      <c r="X368" s="2" t="s">
        <v>237</v>
      </c>
      <c r="Y368" s="2" t="s">
        <v>2320</v>
      </c>
      <c r="Z368" s="4">
        <v>77</v>
      </c>
      <c r="AA368" s="4">
        <f>=ROUNDDOWN(5.13333333333333,0)</f>
      </c>
      <c r="AB368" s="5">
        <v>15</v>
      </c>
      <c r="AC368" s="2" t="s">
        <v>145</v>
      </c>
      <c r="AD368" s="4">
        <v>121</v>
      </c>
      <c r="AE368" s="4">
        <v>121</v>
      </c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233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233</v>
      </c>
      <c r="AW368" s="8" t="s">
        <v>233</v>
      </c>
      <c r="AX368" s="4" t="s">
        <v>233</v>
      </c>
      <c r="AY368" s="8" t="s">
        <v>233</v>
      </c>
      <c r="AZ368" s="7" t="s">
        <v>233</v>
      </c>
      <c r="BA368" s="7" t="s">
        <v>233</v>
      </c>
      <c r="BB368" s="7"/>
      <c r="BC368" s="4" t="s">
        <v>233</v>
      </c>
      <c r="BD368" s="8" t="s">
        <v>233</v>
      </c>
      <c r="BE368" s="4" t="s">
        <v>233</v>
      </c>
      <c r="BF368" s="8" t="s">
        <v>233</v>
      </c>
      <c r="BG368" s="7" t="s">
        <v>233</v>
      </c>
      <c r="BH368" s="7" t="s">
        <v>233</v>
      </c>
      <c r="BI368" s="7"/>
      <c r="BJ368" s="4">
        <v>133</v>
      </c>
      <c r="BK368" s="8">
        <v>4500.54</v>
      </c>
      <c r="BL368" s="2" t="s">
        <v>2337</v>
      </c>
      <c r="BM368" s="7"/>
      <c r="BN368" s="7"/>
      <c r="BO368" s="4"/>
      <c r="BP368" s="8"/>
      <c r="BQ368" s="4"/>
      <c r="BR368" s="8"/>
      <c r="BS368" s="7"/>
      <c r="BT368" s="7"/>
      <c r="BU368" s="2" t="s">
        <v>2314</v>
      </c>
      <c r="BV368" s="2" t="s">
        <v>233</v>
      </c>
      <c r="BW368" s="2" t="s">
        <v>233</v>
      </c>
      <c r="BX368" s="2" t="s">
        <v>241</v>
      </c>
      <c r="BY368" s="2" t="s">
        <v>242</v>
      </c>
      <c r="BZ368" s="2" t="s">
        <v>230</v>
      </c>
      <c r="CA368" s="2" t="s">
        <v>2322</v>
      </c>
      <c r="CB368" s="2" t="s">
        <v>2338</v>
      </c>
      <c r="CC368" s="2" t="s">
        <v>245</v>
      </c>
      <c r="CD368" s="2" t="s">
        <v>233</v>
      </c>
      <c r="CE368" s="4">
        <v>15</v>
      </c>
      <c r="CF368" s="4">
        <v>62</v>
      </c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>
        <v>121</v>
      </c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>
        <v>113</v>
      </c>
      <c r="GD368" s="4">
        <v>25</v>
      </c>
      <c r="GE368" s="4"/>
      <c r="GF368" s="4">
        <v>121</v>
      </c>
      <c r="GG368" s="4">
        <v>43</v>
      </c>
      <c r="GH368" s="4">
        <v>9</v>
      </c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>
        <v>130</v>
      </c>
      <c r="GW368" s="4">
        <v>108</v>
      </c>
      <c r="GX368" s="4">
        <v>100</v>
      </c>
      <c r="GY368" s="4">
        <v>92</v>
      </c>
      <c r="GZ368" s="4">
        <v>84</v>
      </c>
      <c r="HA368" s="4">
        <v>76</v>
      </c>
      <c r="HB368" s="4">
        <v>68</v>
      </c>
      <c r="HC368" s="19">
        <v>2</v>
      </c>
      <c r="HD368" s="19">
        <v>0.6</v>
      </c>
      <c r="HE368" s="20">
        <v>0</v>
      </c>
      <c r="HF368" s="19">
        <v>3</v>
      </c>
      <c r="HG368" s="19">
        <v>1.7</v>
      </c>
      <c r="HH368" s="19">
        <v>0.5</v>
      </c>
      <c r="HI368" s="20">
        <v>0</v>
      </c>
      <c r="HJ368" s="20">
        <v>0</v>
      </c>
      <c r="HK368" s="20">
        <v>0</v>
      </c>
      <c r="HL368" s="20">
        <v>0</v>
      </c>
      <c r="HM368" s="20">
        <v>0</v>
      </c>
      <c r="HN368" s="20">
        <v>0</v>
      </c>
      <c r="HO368" s="20">
        <v>0</v>
      </c>
      <c r="HP368" s="20">
        <v>0</v>
      </c>
      <c r="HQ368" s="20">
        <v>0</v>
      </c>
      <c r="HR368" s="20">
        <v>0</v>
      </c>
      <c r="HS368" s="20">
        <v>0</v>
      </c>
      <c r="HT368" s="20">
        <v>0</v>
      </c>
      <c r="HU368" s="20">
        <v>0</v>
      </c>
      <c r="HV368" s="19">
        <v>10.8</v>
      </c>
      <c r="HW368" s="19">
        <v>13.5</v>
      </c>
      <c r="HX368" s="19">
        <v>12.5</v>
      </c>
      <c r="HY368" s="19">
        <v>11.5</v>
      </c>
      <c r="HZ368" s="19">
        <v>10.5</v>
      </c>
      <c r="IA368" s="19">
        <v>10.9</v>
      </c>
      <c r="IB368" s="19">
        <v>11.3</v>
      </c>
    </row>
    <row r="369">
      <c r="A369" s="2" t="s">
        <v>2339</v>
      </c>
      <c r="B369" s="2" t="s">
        <v>279</v>
      </c>
      <c r="C369" s="2" t="s">
        <v>908</v>
      </c>
      <c r="D369" s="2" t="s">
        <v>281</v>
      </c>
      <c r="E369" s="2" t="s">
        <v>282</v>
      </c>
      <c r="F369" s="2" t="s">
        <v>2307</v>
      </c>
      <c r="G369" s="2" t="s">
        <v>2307</v>
      </c>
      <c r="H369" s="2" t="s">
        <v>2307</v>
      </c>
      <c r="I369" s="2" t="s">
        <v>345</v>
      </c>
      <c r="J369" s="2" t="s">
        <v>285</v>
      </c>
      <c r="K369" s="2" t="s">
        <v>2336</v>
      </c>
      <c r="L369" s="3">
        <v>28.98</v>
      </c>
      <c r="M369" s="3">
        <v>30.43</v>
      </c>
      <c r="N369" s="3">
        <v>64.99</v>
      </c>
      <c r="O369" s="2" t="s">
        <v>230</v>
      </c>
      <c r="P369" s="2" t="s">
        <v>231</v>
      </c>
      <c r="Q369" s="2" t="s">
        <v>232</v>
      </c>
      <c r="R369" s="2" t="s">
        <v>233</v>
      </c>
      <c r="S369" s="2" t="s">
        <v>2324</v>
      </c>
      <c r="T369" s="2" t="s">
        <v>2310</v>
      </c>
      <c r="U369" s="2" t="s">
        <v>287</v>
      </c>
      <c r="V369" s="2" t="s">
        <v>2311</v>
      </c>
      <c r="W369" s="2" t="s">
        <v>915</v>
      </c>
      <c r="X369" s="2" t="s">
        <v>237</v>
      </c>
      <c r="Y369" s="2" t="s">
        <v>2320</v>
      </c>
      <c r="Z369" s="4">
        <v>138</v>
      </c>
      <c r="AA369" s="4">
        <f>=ROUNDDOWN(17.25,0)</f>
      </c>
      <c r="AB369" s="5">
        <v>8</v>
      </c>
      <c r="AC369" s="2" t="s">
        <v>145</v>
      </c>
      <c r="AD369" s="4">
        <v>100</v>
      </c>
      <c r="AE369" s="4">
        <v>100</v>
      </c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233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233</v>
      </c>
      <c r="AW369" s="8" t="s">
        <v>233</v>
      </c>
      <c r="AX369" s="4" t="s">
        <v>233</v>
      </c>
      <c r="AY369" s="8" t="s">
        <v>233</v>
      </c>
      <c r="AZ369" s="7" t="s">
        <v>233</v>
      </c>
      <c r="BA369" s="7" t="s">
        <v>233</v>
      </c>
      <c r="BB369" s="7"/>
      <c r="BC369" s="4" t="s">
        <v>233</v>
      </c>
      <c r="BD369" s="8" t="s">
        <v>233</v>
      </c>
      <c r="BE369" s="4" t="s">
        <v>233</v>
      </c>
      <c r="BF369" s="8" t="s">
        <v>233</v>
      </c>
      <c r="BG369" s="7" t="s">
        <v>233</v>
      </c>
      <c r="BH369" s="7" t="s">
        <v>233</v>
      </c>
      <c r="BI369" s="7"/>
      <c r="BJ369" s="4">
        <v>28</v>
      </c>
      <c r="BK369" s="8">
        <v>965.01</v>
      </c>
      <c r="BL369" s="2" t="s">
        <v>2340</v>
      </c>
      <c r="BM369" s="7"/>
      <c r="BN369" s="7"/>
      <c r="BO369" s="4"/>
      <c r="BP369" s="8"/>
      <c r="BQ369" s="4"/>
      <c r="BR369" s="8"/>
      <c r="BS369" s="7"/>
      <c r="BT369" s="7"/>
      <c r="BU369" s="2" t="s">
        <v>2314</v>
      </c>
      <c r="BV369" s="2" t="s">
        <v>233</v>
      </c>
      <c r="BW369" s="2" t="s">
        <v>233</v>
      </c>
      <c r="BX369" s="2" t="s">
        <v>241</v>
      </c>
      <c r="BY369" s="2" t="s">
        <v>242</v>
      </c>
      <c r="BZ369" s="2" t="s">
        <v>230</v>
      </c>
      <c r="CA369" s="2" t="s">
        <v>2322</v>
      </c>
      <c r="CB369" s="2" t="s">
        <v>2341</v>
      </c>
      <c r="CC369" s="2" t="s">
        <v>245</v>
      </c>
      <c r="CD369" s="2" t="s">
        <v>233</v>
      </c>
      <c r="CE369" s="4">
        <v>138</v>
      </c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>
        <v>100</v>
      </c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>
        <v>181</v>
      </c>
      <c r="GD369" s="4">
        <v>122</v>
      </c>
      <c r="GE369" s="4">
        <v>107</v>
      </c>
      <c r="GF369" s="4">
        <v>186</v>
      </c>
      <c r="GG369" s="4">
        <v>147</v>
      </c>
      <c r="GH369" s="4">
        <v>129</v>
      </c>
      <c r="GI369" s="4">
        <v>111</v>
      </c>
      <c r="GJ369" s="4">
        <v>99</v>
      </c>
      <c r="GK369" s="4">
        <v>90</v>
      </c>
      <c r="GL369" s="4">
        <v>80</v>
      </c>
      <c r="GM369" s="4">
        <v>72</v>
      </c>
      <c r="GN369" s="4">
        <v>66</v>
      </c>
      <c r="GO369" s="4">
        <v>61</v>
      </c>
      <c r="GP369" s="4">
        <v>56</v>
      </c>
      <c r="GQ369" s="4">
        <v>51</v>
      </c>
      <c r="GR369" s="4">
        <v>46</v>
      </c>
      <c r="GS369" s="4">
        <v>41</v>
      </c>
      <c r="GT369" s="4">
        <v>36</v>
      </c>
      <c r="GU369" s="4">
        <v>32</v>
      </c>
      <c r="GV369" s="4">
        <v>55</v>
      </c>
      <c r="GW369" s="4">
        <v>51</v>
      </c>
      <c r="GX369" s="4">
        <v>47</v>
      </c>
      <c r="GY369" s="4">
        <v>43</v>
      </c>
      <c r="GZ369" s="4">
        <v>39</v>
      </c>
      <c r="HA369" s="4">
        <v>35</v>
      </c>
      <c r="HB369" s="4">
        <v>31</v>
      </c>
      <c r="HC369" s="19">
        <v>5.3</v>
      </c>
      <c r="HD369" s="19">
        <v>5.3</v>
      </c>
      <c r="HE369" s="19">
        <v>4.5</v>
      </c>
      <c r="HF369" s="19">
        <v>8.5</v>
      </c>
      <c r="HG369" s="19">
        <v>10.5</v>
      </c>
      <c r="HH369" s="19">
        <v>10.8</v>
      </c>
      <c r="HI369" s="19">
        <v>11.1</v>
      </c>
      <c r="HJ369" s="19">
        <v>12.4</v>
      </c>
      <c r="HK369" s="19">
        <v>12.9</v>
      </c>
      <c r="HL369" s="19">
        <v>13.3</v>
      </c>
      <c r="HM369" s="19">
        <v>14.4</v>
      </c>
      <c r="HN369" s="19">
        <v>13.2</v>
      </c>
      <c r="HO369" s="19">
        <v>12.2</v>
      </c>
      <c r="HP369" s="19">
        <v>11.2</v>
      </c>
      <c r="HQ369" s="19">
        <v>10.2</v>
      </c>
      <c r="HR369" s="19">
        <v>11.5</v>
      </c>
      <c r="HS369" s="19">
        <v>10.3</v>
      </c>
      <c r="HT369" s="19">
        <v>9</v>
      </c>
      <c r="HU369" s="19">
        <v>8</v>
      </c>
      <c r="HV369" s="19">
        <v>13.8</v>
      </c>
      <c r="HW369" s="19">
        <v>12.8</v>
      </c>
      <c r="HX369" s="19">
        <v>11.8</v>
      </c>
      <c r="HY369" s="19">
        <v>10.8</v>
      </c>
      <c r="HZ369" s="19">
        <v>9.8</v>
      </c>
      <c r="IA369" s="19">
        <v>8.8</v>
      </c>
      <c r="IB369" s="19">
        <v>10.3</v>
      </c>
    </row>
    <row r="370">
      <c r="A370" s="2" t="s">
        <v>2342</v>
      </c>
      <c r="B370" s="2" t="s">
        <v>279</v>
      </c>
      <c r="C370" s="2" t="s">
        <v>908</v>
      </c>
      <c r="D370" s="2" t="s">
        <v>281</v>
      </c>
      <c r="E370" s="2" t="s">
        <v>282</v>
      </c>
      <c r="F370" s="2" t="s">
        <v>2307</v>
      </c>
      <c r="G370" s="2" t="s">
        <v>2307</v>
      </c>
      <c r="H370" s="2" t="s">
        <v>2307</v>
      </c>
      <c r="I370" s="2" t="s">
        <v>345</v>
      </c>
      <c r="J370" s="2" t="s">
        <v>256</v>
      </c>
      <c r="K370" s="2" t="s">
        <v>2343</v>
      </c>
      <c r="L370" s="3">
        <v>28.98</v>
      </c>
      <c r="M370" s="3">
        <v>30.43</v>
      </c>
      <c r="N370" s="3">
        <v>64.99</v>
      </c>
      <c r="O370" s="2" t="s">
        <v>230</v>
      </c>
      <c r="P370" s="2" t="s">
        <v>231</v>
      </c>
      <c r="Q370" s="2" t="s">
        <v>232</v>
      </c>
      <c r="R370" s="2" t="s">
        <v>233</v>
      </c>
      <c r="S370" s="2" t="s">
        <v>2344</v>
      </c>
      <c r="T370" s="2" t="s">
        <v>2310</v>
      </c>
      <c r="U370" s="2" t="s">
        <v>233</v>
      </c>
      <c r="V370" s="2" t="s">
        <v>914</v>
      </c>
      <c r="W370" s="2" t="s">
        <v>915</v>
      </c>
      <c r="X370" s="2" t="s">
        <v>237</v>
      </c>
      <c r="Y370" s="2" t="s">
        <v>1117</v>
      </c>
      <c r="Z370" s="4">
        <v>148</v>
      </c>
      <c r="AA370" s="4">
        <f>=ROUNDDOWN(9.25,0)</f>
      </c>
      <c r="AB370" s="5">
        <v>16</v>
      </c>
      <c r="AC370" s="2" t="s">
        <v>145</v>
      </c>
      <c r="AD370" s="4">
        <v>160</v>
      </c>
      <c r="AE370" s="4">
        <v>160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233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 t="s">
        <v>233</v>
      </c>
      <c r="BD370" s="8" t="s">
        <v>233</v>
      </c>
      <c r="BE370" s="4" t="s">
        <v>233</v>
      </c>
      <c r="BF370" s="8" t="s">
        <v>233</v>
      </c>
      <c r="BG370" s="7" t="s">
        <v>233</v>
      </c>
      <c r="BH370" s="7" t="s">
        <v>233</v>
      </c>
      <c r="BI370" s="7"/>
      <c r="BJ370" s="4">
        <v>147</v>
      </c>
      <c r="BK370" s="8">
        <v>4741.98</v>
      </c>
      <c r="BL370" s="2" t="s">
        <v>2345</v>
      </c>
      <c r="BM370" s="7"/>
      <c r="BN370" s="7"/>
      <c r="BO370" s="4"/>
      <c r="BP370" s="8"/>
      <c r="BQ370" s="4"/>
      <c r="BR370" s="8"/>
      <c r="BS370" s="7"/>
      <c r="BT370" s="7"/>
      <c r="BU370" s="2" t="s">
        <v>2314</v>
      </c>
      <c r="BV370" s="2" t="s">
        <v>233</v>
      </c>
      <c r="BW370" s="2" t="s">
        <v>233</v>
      </c>
      <c r="BX370" s="2" t="s">
        <v>241</v>
      </c>
      <c r="BY370" s="2" t="s">
        <v>242</v>
      </c>
      <c r="BZ370" s="2" t="s">
        <v>230</v>
      </c>
      <c r="CA370" s="2" t="s">
        <v>1460</v>
      </c>
      <c r="CB370" s="2" t="s">
        <v>306</v>
      </c>
      <c r="CC370" s="2" t="s">
        <v>245</v>
      </c>
      <c r="CD370" s="2" t="s">
        <v>233</v>
      </c>
      <c r="CE370" s="4">
        <v>148</v>
      </c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>
        <v>160</v>
      </c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>
        <v>176</v>
      </c>
      <c r="GD370" s="4">
        <v>87</v>
      </c>
      <c r="GE370" s="4">
        <v>56</v>
      </c>
      <c r="GF370" s="4">
        <v>175</v>
      </c>
      <c r="GG370" s="4">
        <v>98</v>
      </c>
      <c r="GH370" s="4">
        <v>61</v>
      </c>
      <c r="GI370" s="4">
        <v>25</v>
      </c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>
        <v>146</v>
      </c>
      <c r="GW370" s="4">
        <v>124</v>
      </c>
      <c r="GX370" s="4">
        <v>116</v>
      </c>
      <c r="GY370" s="4">
        <v>108</v>
      </c>
      <c r="GZ370" s="4">
        <v>100</v>
      </c>
      <c r="HA370" s="4">
        <v>92</v>
      </c>
      <c r="HB370" s="4">
        <v>84</v>
      </c>
      <c r="HC370" s="19">
        <v>2.9</v>
      </c>
      <c r="HD370" s="19">
        <v>1.9</v>
      </c>
      <c r="HE370" s="19">
        <v>1.2</v>
      </c>
      <c r="HF370" s="19">
        <v>4</v>
      </c>
      <c r="HG370" s="19">
        <v>3.5</v>
      </c>
      <c r="HH370" s="19">
        <v>2.5</v>
      </c>
      <c r="HI370" s="19">
        <v>1.4</v>
      </c>
      <c r="HJ370" s="20">
        <v>0</v>
      </c>
      <c r="HK370" s="20">
        <v>0</v>
      </c>
      <c r="HL370" s="20">
        <v>0</v>
      </c>
      <c r="HM370" s="20">
        <v>0</v>
      </c>
      <c r="HN370" s="20">
        <v>0</v>
      </c>
      <c r="HO370" s="20">
        <v>0</v>
      </c>
      <c r="HP370" s="20">
        <v>0</v>
      </c>
      <c r="HQ370" s="20">
        <v>0</v>
      </c>
      <c r="HR370" s="20">
        <v>0</v>
      </c>
      <c r="HS370" s="20">
        <v>0</v>
      </c>
      <c r="HT370" s="20">
        <v>0</v>
      </c>
      <c r="HU370" s="20">
        <v>0</v>
      </c>
      <c r="HV370" s="19">
        <v>12.2</v>
      </c>
      <c r="HW370" s="19">
        <v>15.5</v>
      </c>
      <c r="HX370" s="19">
        <v>14.5</v>
      </c>
      <c r="HY370" s="19">
        <v>13.5</v>
      </c>
      <c r="HZ370" s="19">
        <v>12.5</v>
      </c>
      <c r="IA370" s="19">
        <v>11.5</v>
      </c>
      <c r="IB370" s="19">
        <v>12</v>
      </c>
    </row>
    <row r="371">
      <c r="A371" s="2" t="s">
        <v>2346</v>
      </c>
      <c r="B371" s="2" t="s">
        <v>279</v>
      </c>
      <c r="C371" s="2" t="s">
        <v>908</v>
      </c>
      <c r="D371" s="2" t="s">
        <v>281</v>
      </c>
      <c r="E371" s="2" t="s">
        <v>282</v>
      </c>
      <c r="F371" s="2" t="s">
        <v>2307</v>
      </c>
      <c r="G371" s="2" t="s">
        <v>2307</v>
      </c>
      <c r="H371" s="2" t="s">
        <v>2307</v>
      </c>
      <c r="I371" s="2" t="s">
        <v>345</v>
      </c>
      <c r="J371" s="2" t="s">
        <v>285</v>
      </c>
      <c r="K371" s="2" t="s">
        <v>2347</v>
      </c>
      <c r="L371" s="3">
        <v>28.98</v>
      </c>
      <c r="M371" s="3">
        <v>30.43</v>
      </c>
      <c r="N371" s="3">
        <v>64.99</v>
      </c>
      <c r="O371" s="2" t="s">
        <v>230</v>
      </c>
      <c r="P371" s="2" t="s">
        <v>586</v>
      </c>
      <c r="Q371" s="2" t="s">
        <v>232</v>
      </c>
      <c r="R371" s="2" t="s">
        <v>233</v>
      </c>
      <c r="S371" s="2" t="s">
        <v>2348</v>
      </c>
      <c r="T371" s="2" t="s">
        <v>2310</v>
      </c>
      <c r="U371" s="2" t="s">
        <v>233</v>
      </c>
      <c r="V371" s="2" t="s">
        <v>914</v>
      </c>
      <c r="W371" s="2" t="s">
        <v>915</v>
      </c>
      <c r="X371" s="2" t="s">
        <v>237</v>
      </c>
      <c r="Y371" s="2" t="s">
        <v>2349</v>
      </c>
      <c r="Z371" s="4">
        <v>428</v>
      </c>
      <c r="AA371" s="4">
        <f>=ROUNDDOWN(30.5714285714286,0)</f>
      </c>
      <c r="AB371" s="5">
        <v>14</v>
      </c>
      <c r="AC371" s="2" t="s">
        <v>145</v>
      </c>
      <c r="AD371" s="4">
        <v>125</v>
      </c>
      <c r="AE371" s="4">
        <v>155</v>
      </c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233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 t="s">
        <v>233</v>
      </c>
      <c r="BD371" s="8" t="s">
        <v>233</v>
      </c>
      <c r="BE371" s="4" t="s">
        <v>233</v>
      </c>
      <c r="BF371" s="8" t="s">
        <v>233</v>
      </c>
      <c r="BG371" s="7" t="s">
        <v>233</v>
      </c>
      <c r="BH371" s="7" t="s">
        <v>233</v>
      </c>
      <c r="BI371" s="7"/>
      <c r="BJ371" s="4">
        <v>44</v>
      </c>
      <c r="BK371" s="8">
        <v>1446.11</v>
      </c>
      <c r="BL371" s="2" t="s">
        <v>2350</v>
      </c>
      <c r="BM371" s="7"/>
      <c r="BN371" s="7"/>
      <c r="BO371" s="4"/>
      <c r="BP371" s="8"/>
      <c r="BQ371" s="4"/>
      <c r="BR371" s="8"/>
      <c r="BS371" s="7"/>
      <c r="BT371" s="7"/>
      <c r="BU371" s="2" t="s">
        <v>2314</v>
      </c>
      <c r="BV371" s="2" t="s">
        <v>233</v>
      </c>
      <c r="BW371" s="2" t="s">
        <v>233</v>
      </c>
      <c r="BX371" s="2" t="s">
        <v>241</v>
      </c>
      <c r="BY371" s="2" t="s">
        <v>242</v>
      </c>
      <c r="BZ371" s="2" t="s">
        <v>230</v>
      </c>
      <c r="CA371" s="2" t="s">
        <v>2351</v>
      </c>
      <c r="CB371" s="2" t="s">
        <v>2352</v>
      </c>
      <c r="CC371" s="2" t="s">
        <v>245</v>
      </c>
      <c r="CD371" s="2" t="s">
        <v>233</v>
      </c>
      <c r="CE371" s="4">
        <v>428</v>
      </c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>
        <v>125</v>
      </c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>
        <v>30</v>
      </c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>
        <v>470</v>
      </c>
      <c r="GD371" s="4">
        <v>391</v>
      </c>
      <c r="GE371" s="4">
        <v>365</v>
      </c>
      <c r="GF371" s="4">
        <v>455</v>
      </c>
      <c r="GG371" s="4">
        <v>390</v>
      </c>
      <c r="GH371" s="4">
        <v>359</v>
      </c>
      <c r="GI371" s="4">
        <v>329</v>
      </c>
      <c r="GJ371" s="4">
        <v>308</v>
      </c>
      <c r="GK371" s="4">
        <v>292</v>
      </c>
      <c r="GL371" s="4">
        <v>274</v>
      </c>
      <c r="GM371" s="4">
        <v>260</v>
      </c>
      <c r="GN371" s="4">
        <v>280</v>
      </c>
      <c r="GO371" s="4">
        <v>272</v>
      </c>
      <c r="GP371" s="4">
        <v>264</v>
      </c>
      <c r="GQ371" s="4">
        <v>255</v>
      </c>
      <c r="GR371" s="4">
        <v>246</v>
      </c>
      <c r="GS371" s="4">
        <v>237</v>
      </c>
      <c r="GT371" s="4">
        <v>228</v>
      </c>
      <c r="GU371" s="4">
        <v>221</v>
      </c>
      <c r="GV371" s="4">
        <v>214</v>
      </c>
      <c r="GW371" s="4">
        <v>207</v>
      </c>
      <c r="GX371" s="4">
        <v>200</v>
      </c>
      <c r="GY371" s="4">
        <v>193</v>
      </c>
      <c r="GZ371" s="4">
        <v>186</v>
      </c>
      <c r="HA371" s="4">
        <v>179</v>
      </c>
      <c r="HB371" s="4">
        <v>172</v>
      </c>
      <c r="HC371" s="19">
        <v>9.2</v>
      </c>
      <c r="HD371" s="19">
        <v>10</v>
      </c>
      <c r="HE371" s="19">
        <v>9.1</v>
      </c>
      <c r="HF371" s="19">
        <v>12.3</v>
      </c>
      <c r="HG371" s="19">
        <v>16.3</v>
      </c>
      <c r="HH371" s="19">
        <v>17.1</v>
      </c>
      <c r="HI371" s="19">
        <v>19.4</v>
      </c>
      <c r="HJ371" s="19">
        <v>22</v>
      </c>
      <c r="HK371" s="19">
        <v>24.3</v>
      </c>
      <c r="HL371" s="19">
        <v>27.4</v>
      </c>
      <c r="HM371" s="19">
        <v>28.9</v>
      </c>
      <c r="HN371" s="19">
        <v>35</v>
      </c>
      <c r="HO371" s="19">
        <v>30.2</v>
      </c>
      <c r="HP371" s="19">
        <v>29.3</v>
      </c>
      <c r="HQ371" s="19">
        <v>31.9</v>
      </c>
      <c r="HR371" s="19">
        <v>30.8</v>
      </c>
      <c r="HS371" s="19">
        <v>29.6</v>
      </c>
      <c r="HT371" s="19">
        <v>32.6</v>
      </c>
      <c r="HU371" s="19">
        <v>31.6</v>
      </c>
      <c r="HV371" s="19">
        <v>30.6</v>
      </c>
      <c r="HW371" s="19">
        <v>29.6</v>
      </c>
      <c r="HX371" s="19">
        <v>28.6</v>
      </c>
      <c r="HY371" s="19">
        <v>27.6</v>
      </c>
      <c r="HZ371" s="19">
        <v>26.6</v>
      </c>
      <c r="IA371" s="19">
        <v>29.8</v>
      </c>
      <c r="IB371" s="19">
        <v>28.7</v>
      </c>
    </row>
    <row r="372">
      <c r="A372" s="2" t="s">
        <v>2353</v>
      </c>
      <c r="B372" s="2" t="s">
        <v>279</v>
      </c>
      <c r="C372" s="2" t="s">
        <v>908</v>
      </c>
      <c r="D372" s="2" t="s">
        <v>281</v>
      </c>
      <c r="E372" s="2" t="s">
        <v>282</v>
      </c>
      <c r="F372" s="2" t="s">
        <v>2307</v>
      </c>
      <c r="G372" s="2" t="s">
        <v>2307</v>
      </c>
      <c r="H372" s="2" t="s">
        <v>2307</v>
      </c>
      <c r="I372" s="2" t="s">
        <v>345</v>
      </c>
      <c r="J372" s="2" t="s">
        <v>256</v>
      </c>
      <c r="K372" s="2" t="s">
        <v>2354</v>
      </c>
      <c r="L372" s="3">
        <v>28.98</v>
      </c>
      <c r="M372" s="3">
        <v>30.43</v>
      </c>
      <c r="N372" s="3">
        <v>64.99</v>
      </c>
      <c r="O372" s="2" t="s">
        <v>230</v>
      </c>
      <c r="P372" s="2" t="s">
        <v>231</v>
      </c>
      <c r="Q372" s="2" t="s">
        <v>232</v>
      </c>
      <c r="R372" s="2" t="s">
        <v>233</v>
      </c>
      <c r="S372" s="2" t="s">
        <v>2355</v>
      </c>
      <c r="T372" s="2" t="s">
        <v>2310</v>
      </c>
      <c r="U372" s="2" t="s">
        <v>287</v>
      </c>
      <c r="V372" s="2" t="s">
        <v>1431</v>
      </c>
      <c r="W372" s="2" t="s">
        <v>915</v>
      </c>
      <c r="X372" s="2" t="s">
        <v>237</v>
      </c>
      <c r="Y372" s="2" t="s">
        <v>2320</v>
      </c>
      <c r="Z372" s="4">
        <v>316</v>
      </c>
      <c r="AA372" s="4">
        <f>=ROUNDDOWN(18.5882352941176,0)</f>
      </c>
      <c r="AB372" s="5">
        <v>17</v>
      </c>
      <c r="AC372" s="2" t="s">
        <v>145</v>
      </c>
      <c r="AD372" s="4">
        <v>194</v>
      </c>
      <c r="AE372" s="4">
        <v>194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233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233</v>
      </c>
      <c r="AW372" s="8" t="s">
        <v>233</v>
      </c>
      <c r="AX372" s="4" t="s">
        <v>233</v>
      </c>
      <c r="AY372" s="8" t="s">
        <v>233</v>
      </c>
      <c r="AZ372" s="7" t="s">
        <v>233</v>
      </c>
      <c r="BA372" s="7" t="s">
        <v>233</v>
      </c>
      <c r="BB372" s="7"/>
      <c r="BC372" s="4" t="s">
        <v>233</v>
      </c>
      <c r="BD372" s="8" t="s">
        <v>233</v>
      </c>
      <c r="BE372" s="4" t="s">
        <v>233</v>
      </c>
      <c r="BF372" s="8" t="s">
        <v>233</v>
      </c>
      <c r="BG372" s="7" t="s">
        <v>233</v>
      </c>
      <c r="BH372" s="7" t="s">
        <v>233</v>
      </c>
      <c r="BI372" s="7"/>
      <c r="BJ372" s="4">
        <v>86</v>
      </c>
      <c r="BK372" s="8">
        <v>2953.58</v>
      </c>
      <c r="BL372" s="2" t="s">
        <v>2356</v>
      </c>
      <c r="BM372" s="7"/>
      <c r="BN372" s="7"/>
      <c r="BO372" s="4"/>
      <c r="BP372" s="8"/>
      <c r="BQ372" s="4"/>
      <c r="BR372" s="8"/>
      <c r="BS372" s="7"/>
      <c r="BT372" s="7"/>
      <c r="BU372" s="2" t="s">
        <v>2314</v>
      </c>
      <c r="BV372" s="2" t="s">
        <v>233</v>
      </c>
      <c r="BW372" s="2" t="s">
        <v>233</v>
      </c>
      <c r="BX372" s="2" t="s">
        <v>241</v>
      </c>
      <c r="BY372" s="2" t="s">
        <v>242</v>
      </c>
      <c r="BZ372" s="2" t="s">
        <v>230</v>
      </c>
      <c r="CA372" s="2" t="s">
        <v>2322</v>
      </c>
      <c r="CB372" s="2" t="s">
        <v>2357</v>
      </c>
      <c r="CC372" s="2" t="s">
        <v>245</v>
      </c>
      <c r="CD372" s="2" t="s">
        <v>233</v>
      </c>
      <c r="CE372" s="4">
        <v>202</v>
      </c>
      <c r="CF372" s="4">
        <v>114</v>
      </c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>
        <v>194</v>
      </c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>
        <v>337</v>
      </c>
      <c r="GD372" s="4">
        <v>253</v>
      </c>
      <c r="GE372" s="4">
        <v>220</v>
      </c>
      <c r="GF372" s="4">
        <v>365</v>
      </c>
      <c r="GG372" s="4">
        <v>270</v>
      </c>
      <c r="GH372" s="4">
        <v>225</v>
      </c>
      <c r="GI372" s="4">
        <v>182</v>
      </c>
      <c r="GJ372" s="4">
        <v>154</v>
      </c>
      <c r="GK372" s="4">
        <v>133</v>
      </c>
      <c r="GL372" s="4">
        <v>109</v>
      </c>
      <c r="GM372" s="4">
        <v>91</v>
      </c>
      <c r="GN372" s="4">
        <v>78</v>
      </c>
      <c r="GO372" s="4">
        <v>68</v>
      </c>
      <c r="GP372" s="4">
        <v>58</v>
      </c>
      <c r="GQ372" s="4">
        <v>46</v>
      </c>
      <c r="GR372" s="4">
        <v>34</v>
      </c>
      <c r="GS372" s="4">
        <v>22</v>
      </c>
      <c r="GT372" s="4">
        <v>10</v>
      </c>
      <c r="GU372" s="4">
        <v>1</v>
      </c>
      <c r="GV372" s="4">
        <v>120</v>
      </c>
      <c r="GW372" s="4">
        <v>110</v>
      </c>
      <c r="GX372" s="4">
        <v>101</v>
      </c>
      <c r="GY372" s="4">
        <v>92</v>
      </c>
      <c r="GZ372" s="4">
        <v>83</v>
      </c>
      <c r="HA372" s="4">
        <v>74</v>
      </c>
      <c r="HB372" s="4">
        <v>65</v>
      </c>
      <c r="HC372" s="19">
        <v>5.2</v>
      </c>
      <c r="HD372" s="19">
        <v>4.5</v>
      </c>
      <c r="HE372" s="19">
        <v>3.8</v>
      </c>
      <c r="HF372" s="19">
        <v>6.9</v>
      </c>
      <c r="HG372" s="19">
        <v>7.9</v>
      </c>
      <c r="HH372" s="19">
        <v>7.8</v>
      </c>
      <c r="HI372" s="19">
        <v>7.9</v>
      </c>
      <c r="HJ372" s="19">
        <v>8.1</v>
      </c>
      <c r="HK372" s="19">
        <v>8.3</v>
      </c>
      <c r="HL372" s="19">
        <v>8.4</v>
      </c>
      <c r="HM372" s="19">
        <v>8.3</v>
      </c>
      <c r="HN372" s="19">
        <v>7.1</v>
      </c>
      <c r="HO372" s="19">
        <v>5.7</v>
      </c>
      <c r="HP372" s="19">
        <v>4.8</v>
      </c>
      <c r="HQ372" s="19">
        <v>4.2</v>
      </c>
      <c r="HR372" s="19">
        <v>3.4</v>
      </c>
      <c r="HS372" s="19">
        <v>2.2</v>
      </c>
      <c r="HT372" s="19">
        <v>1.1</v>
      </c>
      <c r="HU372" s="19">
        <v>0.1</v>
      </c>
      <c r="HV372" s="19">
        <v>13.3</v>
      </c>
      <c r="HW372" s="19">
        <v>12.2</v>
      </c>
      <c r="HX372" s="19">
        <v>11.2</v>
      </c>
      <c r="HY372" s="19">
        <v>10.2</v>
      </c>
      <c r="HZ372" s="19">
        <v>10.4</v>
      </c>
      <c r="IA372" s="19">
        <v>9.3</v>
      </c>
      <c r="IB372" s="19">
        <v>8.1</v>
      </c>
    </row>
    <row r="373">
      <c r="A373" s="2" t="s">
        <v>2358</v>
      </c>
      <c r="B373" s="2" t="s">
        <v>279</v>
      </c>
      <c r="C373" s="2" t="s">
        <v>908</v>
      </c>
      <c r="D373" s="2" t="s">
        <v>281</v>
      </c>
      <c r="E373" s="2" t="s">
        <v>282</v>
      </c>
      <c r="F373" s="2" t="s">
        <v>2307</v>
      </c>
      <c r="G373" s="2" t="s">
        <v>2307</v>
      </c>
      <c r="H373" s="2" t="s">
        <v>2307</v>
      </c>
      <c r="I373" s="2" t="s">
        <v>345</v>
      </c>
      <c r="J373" s="2" t="s">
        <v>285</v>
      </c>
      <c r="K373" s="2" t="s">
        <v>2354</v>
      </c>
      <c r="L373" s="3">
        <v>28.98</v>
      </c>
      <c r="M373" s="3">
        <v>30.43</v>
      </c>
      <c r="N373" s="3">
        <v>64.99</v>
      </c>
      <c r="O373" s="2" t="s">
        <v>230</v>
      </c>
      <c r="P373" s="2" t="s">
        <v>231</v>
      </c>
      <c r="Q373" s="2" t="s">
        <v>232</v>
      </c>
      <c r="R373" s="2" t="s">
        <v>233</v>
      </c>
      <c r="S373" s="2" t="s">
        <v>2355</v>
      </c>
      <c r="T373" s="2" t="s">
        <v>2310</v>
      </c>
      <c r="U373" s="2" t="s">
        <v>287</v>
      </c>
      <c r="V373" s="2" t="s">
        <v>1431</v>
      </c>
      <c r="W373" s="2" t="s">
        <v>915</v>
      </c>
      <c r="X373" s="2" t="s">
        <v>237</v>
      </c>
      <c r="Y373" s="2" t="s">
        <v>2320</v>
      </c>
      <c r="Z373" s="4">
        <v>177</v>
      </c>
      <c r="AA373" s="4">
        <f>=ROUNDDOWN(19.6666666666667,0)</f>
      </c>
      <c r="AB373" s="5">
        <v>9</v>
      </c>
      <c r="AC373" s="2" t="s">
        <v>145</v>
      </c>
      <c r="AD373" s="4">
        <v>92</v>
      </c>
      <c r="AE373" s="4">
        <v>92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233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233</v>
      </c>
      <c r="AW373" s="8" t="s">
        <v>233</v>
      </c>
      <c r="AX373" s="4" t="s">
        <v>233</v>
      </c>
      <c r="AY373" s="8" t="s">
        <v>233</v>
      </c>
      <c r="AZ373" s="7" t="s">
        <v>233</v>
      </c>
      <c r="BA373" s="7" t="s">
        <v>233</v>
      </c>
      <c r="BB373" s="7"/>
      <c r="BC373" s="4" t="s">
        <v>233</v>
      </c>
      <c r="BD373" s="8" t="s">
        <v>233</v>
      </c>
      <c r="BE373" s="4" t="s">
        <v>233</v>
      </c>
      <c r="BF373" s="8" t="s">
        <v>233</v>
      </c>
      <c r="BG373" s="7" t="s">
        <v>233</v>
      </c>
      <c r="BH373" s="7" t="s">
        <v>233</v>
      </c>
      <c r="BI373" s="7"/>
      <c r="BJ373" s="4">
        <v>41</v>
      </c>
      <c r="BK373" s="8">
        <v>1436.89</v>
      </c>
      <c r="BL373" s="2" t="s">
        <v>2359</v>
      </c>
      <c r="BM373" s="7"/>
      <c r="BN373" s="7"/>
      <c r="BO373" s="4"/>
      <c r="BP373" s="8"/>
      <c r="BQ373" s="4"/>
      <c r="BR373" s="8"/>
      <c r="BS373" s="7"/>
      <c r="BT373" s="7"/>
      <c r="BU373" s="2" t="s">
        <v>2314</v>
      </c>
      <c r="BV373" s="2" t="s">
        <v>233</v>
      </c>
      <c r="BW373" s="2" t="s">
        <v>233</v>
      </c>
      <c r="BX373" s="2" t="s">
        <v>241</v>
      </c>
      <c r="BY373" s="2" t="s">
        <v>242</v>
      </c>
      <c r="BZ373" s="2" t="s">
        <v>230</v>
      </c>
      <c r="CA373" s="2" t="s">
        <v>2322</v>
      </c>
      <c r="CB373" s="2" t="s">
        <v>2338</v>
      </c>
      <c r="CC373" s="2" t="s">
        <v>245</v>
      </c>
      <c r="CD373" s="2" t="s">
        <v>233</v>
      </c>
      <c r="CE373" s="4">
        <v>120</v>
      </c>
      <c r="CF373" s="4">
        <v>57</v>
      </c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>
        <v>92</v>
      </c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>
        <v>180</v>
      </c>
      <c r="GD373" s="4">
        <v>122</v>
      </c>
      <c r="GE373" s="4">
        <v>105</v>
      </c>
      <c r="GF373" s="4">
        <v>173</v>
      </c>
      <c r="GG373" s="4">
        <v>128</v>
      </c>
      <c r="GH373" s="4">
        <v>107</v>
      </c>
      <c r="GI373" s="4">
        <v>86</v>
      </c>
      <c r="GJ373" s="4">
        <v>72</v>
      </c>
      <c r="GK373" s="4">
        <v>62</v>
      </c>
      <c r="GL373" s="4">
        <v>50</v>
      </c>
      <c r="GM373" s="4">
        <v>41</v>
      </c>
      <c r="GN373" s="4">
        <v>34</v>
      </c>
      <c r="GO373" s="4">
        <v>29</v>
      </c>
      <c r="GP373" s="4">
        <v>24</v>
      </c>
      <c r="GQ373" s="4">
        <v>18</v>
      </c>
      <c r="GR373" s="4">
        <v>12</v>
      </c>
      <c r="GS373" s="4">
        <v>6</v>
      </c>
      <c r="GT373" s="4"/>
      <c r="GU373" s="4"/>
      <c r="GV373" s="4">
        <v>69</v>
      </c>
      <c r="GW373" s="4">
        <v>62</v>
      </c>
      <c r="GX373" s="4">
        <v>57</v>
      </c>
      <c r="GY373" s="4">
        <v>52</v>
      </c>
      <c r="GZ373" s="4">
        <v>47</v>
      </c>
      <c r="HA373" s="4">
        <v>42</v>
      </c>
      <c r="HB373" s="4">
        <v>37</v>
      </c>
      <c r="HC373" s="19">
        <v>5</v>
      </c>
      <c r="HD373" s="19">
        <v>4.5</v>
      </c>
      <c r="HE373" s="19">
        <v>3.8</v>
      </c>
      <c r="HF373" s="19">
        <v>6.9</v>
      </c>
      <c r="HG373" s="19">
        <v>8</v>
      </c>
      <c r="HH373" s="19">
        <v>7.6</v>
      </c>
      <c r="HI373" s="19">
        <v>7.8</v>
      </c>
      <c r="HJ373" s="19">
        <v>7.2</v>
      </c>
      <c r="HK373" s="19">
        <v>7.8</v>
      </c>
      <c r="HL373" s="19">
        <v>8.3</v>
      </c>
      <c r="HM373" s="19">
        <v>6.8</v>
      </c>
      <c r="HN373" s="19">
        <v>5.7</v>
      </c>
      <c r="HO373" s="19">
        <v>4.8</v>
      </c>
      <c r="HP373" s="19">
        <v>4</v>
      </c>
      <c r="HQ373" s="19">
        <v>3</v>
      </c>
      <c r="HR373" s="19">
        <v>2.4</v>
      </c>
      <c r="HS373" s="19">
        <v>1.2</v>
      </c>
      <c r="HT373" s="20">
        <v>0</v>
      </c>
      <c r="HU373" s="20">
        <v>0</v>
      </c>
      <c r="HV373" s="19">
        <v>11.5</v>
      </c>
      <c r="HW373" s="19">
        <v>12.4</v>
      </c>
      <c r="HX373" s="19">
        <v>11.4</v>
      </c>
      <c r="HY373" s="19">
        <v>10.4</v>
      </c>
      <c r="HZ373" s="19">
        <v>9.4</v>
      </c>
      <c r="IA373" s="19">
        <v>10.5</v>
      </c>
      <c r="IB373" s="19">
        <v>9.3</v>
      </c>
    </row>
    <row r="374">
      <c r="A374" s="2" t="s">
        <v>2360</v>
      </c>
      <c r="B374" s="2" t="s">
        <v>279</v>
      </c>
      <c r="C374" s="2" t="s">
        <v>908</v>
      </c>
      <c r="D374" s="2" t="s">
        <v>281</v>
      </c>
      <c r="E374" s="2" t="s">
        <v>282</v>
      </c>
      <c r="F374" s="2" t="s">
        <v>2307</v>
      </c>
      <c r="G374" s="2" t="s">
        <v>2307</v>
      </c>
      <c r="H374" s="2" t="s">
        <v>2307</v>
      </c>
      <c r="I374" s="2" t="s">
        <v>345</v>
      </c>
      <c r="J374" s="2" t="s">
        <v>228</v>
      </c>
      <c r="K374" s="2" t="s">
        <v>2361</v>
      </c>
      <c r="L374" s="3">
        <v>19.8</v>
      </c>
      <c r="M374" s="3">
        <v>20.79</v>
      </c>
      <c r="N374" s="3">
        <v>44.99</v>
      </c>
      <c r="O374" s="2" t="s">
        <v>230</v>
      </c>
      <c r="P374" s="2" t="s">
        <v>231</v>
      </c>
      <c r="Q374" s="2" t="s">
        <v>232</v>
      </c>
      <c r="R374" s="2" t="s">
        <v>233</v>
      </c>
      <c r="S374" s="2" t="s">
        <v>2362</v>
      </c>
      <c r="T374" s="2" t="s">
        <v>2310</v>
      </c>
      <c r="U374" s="2" t="s">
        <v>233</v>
      </c>
      <c r="V374" s="2" t="s">
        <v>2311</v>
      </c>
      <c r="W374" s="2" t="s">
        <v>915</v>
      </c>
      <c r="X374" s="2" t="s">
        <v>237</v>
      </c>
      <c r="Y374" s="2" t="s">
        <v>2302</v>
      </c>
      <c r="Z374" s="4">
        <v>284</v>
      </c>
      <c r="AA374" s="4">
        <f>=ROUNDDOWN(31.5555555555556,0)</f>
      </c>
      <c r="AB374" s="5">
        <v>9</v>
      </c>
      <c r="AC374" s="2" t="s">
        <v>145</v>
      </c>
      <c r="AD374" s="4">
        <v>32</v>
      </c>
      <c r="AE374" s="4">
        <v>32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233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233</v>
      </c>
      <c r="AW374" s="8" t="s">
        <v>233</v>
      </c>
      <c r="AX374" s="4" t="s">
        <v>233</v>
      </c>
      <c r="AY374" s="8" t="s">
        <v>233</v>
      </c>
      <c r="AZ374" s="7" t="s">
        <v>233</v>
      </c>
      <c r="BA374" s="7" t="s">
        <v>233</v>
      </c>
      <c r="BB374" s="7"/>
      <c r="BC374" s="4" t="s">
        <v>233</v>
      </c>
      <c r="BD374" s="8" t="s">
        <v>233</v>
      </c>
      <c r="BE374" s="4" t="s">
        <v>233</v>
      </c>
      <c r="BF374" s="8" t="s">
        <v>233</v>
      </c>
      <c r="BG374" s="7" t="s">
        <v>233</v>
      </c>
      <c r="BH374" s="7" t="s">
        <v>233</v>
      </c>
      <c r="BI374" s="7"/>
      <c r="BJ374" s="4">
        <v>64</v>
      </c>
      <c r="BK374" s="8">
        <v>1447.06</v>
      </c>
      <c r="BL374" s="2" t="s">
        <v>2363</v>
      </c>
      <c r="BM374" s="7"/>
      <c r="BN374" s="7"/>
      <c r="BO374" s="4"/>
      <c r="BP374" s="8"/>
      <c r="BQ374" s="4"/>
      <c r="BR374" s="8"/>
      <c r="BS374" s="7"/>
      <c r="BT374" s="7"/>
      <c r="BU374" s="2" t="s">
        <v>2314</v>
      </c>
      <c r="BV374" s="2" t="s">
        <v>233</v>
      </c>
      <c r="BW374" s="2" t="s">
        <v>233</v>
      </c>
      <c r="BX374" s="2" t="s">
        <v>241</v>
      </c>
      <c r="BY374" s="2" t="s">
        <v>242</v>
      </c>
      <c r="BZ374" s="2" t="s">
        <v>230</v>
      </c>
      <c r="CA374" s="2" t="s">
        <v>1460</v>
      </c>
      <c r="CB374" s="2" t="s">
        <v>2364</v>
      </c>
      <c r="CC374" s="2" t="s">
        <v>245</v>
      </c>
      <c r="CD374" s="2" t="s">
        <v>233</v>
      </c>
      <c r="CE374" s="4">
        <v>284</v>
      </c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>
        <v>32</v>
      </c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>
        <v>304</v>
      </c>
      <c r="GD374" s="4">
        <v>282</v>
      </c>
      <c r="GE374" s="4">
        <v>270</v>
      </c>
      <c r="GF374" s="4">
        <v>283</v>
      </c>
      <c r="GG374" s="4">
        <v>246</v>
      </c>
      <c r="GH374" s="4">
        <v>229</v>
      </c>
      <c r="GI374" s="4">
        <v>212</v>
      </c>
      <c r="GJ374" s="4">
        <v>201</v>
      </c>
      <c r="GK374" s="4">
        <v>191</v>
      </c>
      <c r="GL374" s="4">
        <v>180</v>
      </c>
      <c r="GM374" s="4">
        <v>171</v>
      </c>
      <c r="GN374" s="4">
        <v>164</v>
      </c>
      <c r="GO374" s="4">
        <v>158</v>
      </c>
      <c r="GP374" s="4">
        <v>152</v>
      </c>
      <c r="GQ374" s="4">
        <v>146</v>
      </c>
      <c r="GR374" s="4">
        <v>140</v>
      </c>
      <c r="GS374" s="4">
        <v>134</v>
      </c>
      <c r="GT374" s="4">
        <v>128</v>
      </c>
      <c r="GU374" s="4">
        <v>123</v>
      </c>
      <c r="GV374" s="4">
        <v>118</v>
      </c>
      <c r="GW374" s="4">
        <v>114</v>
      </c>
      <c r="GX374" s="4">
        <v>110</v>
      </c>
      <c r="GY374" s="4">
        <v>106</v>
      </c>
      <c r="GZ374" s="4">
        <v>102</v>
      </c>
      <c r="HA374" s="4">
        <v>98</v>
      </c>
      <c r="HB374" s="4">
        <v>94</v>
      </c>
      <c r="HC374" s="19">
        <v>13.8</v>
      </c>
      <c r="HD374" s="19">
        <v>13.4</v>
      </c>
      <c r="HE374" s="19">
        <v>12.3</v>
      </c>
      <c r="HF374" s="19">
        <v>14.2</v>
      </c>
      <c r="HG374" s="19">
        <v>17.6</v>
      </c>
      <c r="HH374" s="19">
        <v>19.1</v>
      </c>
      <c r="HI374" s="19">
        <v>21.2</v>
      </c>
      <c r="HJ374" s="19">
        <v>22.3</v>
      </c>
      <c r="HK374" s="19">
        <v>23.9</v>
      </c>
      <c r="HL374" s="19">
        <v>25.7</v>
      </c>
      <c r="HM374" s="19">
        <v>28.5</v>
      </c>
      <c r="HN374" s="19">
        <v>27.3</v>
      </c>
      <c r="HO374" s="19">
        <v>26.3</v>
      </c>
      <c r="HP374" s="19">
        <v>25.3</v>
      </c>
      <c r="HQ374" s="19">
        <v>24.3</v>
      </c>
      <c r="HR374" s="19">
        <v>23.3</v>
      </c>
      <c r="HS374" s="19">
        <v>26.8</v>
      </c>
      <c r="HT374" s="19">
        <v>32</v>
      </c>
      <c r="HU374" s="19">
        <v>30.8</v>
      </c>
      <c r="HV374" s="19">
        <v>29.5</v>
      </c>
      <c r="HW374" s="19">
        <v>28.5</v>
      </c>
      <c r="HX374" s="19">
        <v>27.5</v>
      </c>
      <c r="HY374" s="19">
        <v>26.5</v>
      </c>
      <c r="HZ374" s="19">
        <v>25.5</v>
      </c>
      <c r="IA374" s="19">
        <v>24.5</v>
      </c>
      <c r="IB374" s="19">
        <v>31.3</v>
      </c>
    </row>
    <row r="375">
      <c r="A375" s="2" t="s">
        <v>2365</v>
      </c>
      <c r="B375" s="2" t="s">
        <v>279</v>
      </c>
      <c r="C375" s="2" t="s">
        <v>908</v>
      </c>
      <c r="D375" s="2" t="s">
        <v>281</v>
      </c>
      <c r="E375" s="2" t="s">
        <v>282</v>
      </c>
      <c r="F375" s="2" t="s">
        <v>2307</v>
      </c>
      <c r="G375" s="2" t="s">
        <v>2307</v>
      </c>
      <c r="H375" s="2" t="s">
        <v>2307</v>
      </c>
      <c r="I375" s="2" t="s">
        <v>345</v>
      </c>
      <c r="J375" s="2" t="s">
        <v>252</v>
      </c>
      <c r="K375" s="2" t="s">
        <v>2361</v>
      </c>
      <c r="L375" s="3">
        <v>21.78</v>
      </c>
      <c r="M375" s="3">
        <v>22.87</v>
      </c>
      <c r="N375" s="3">
        <v>49.99</v>
      </c>
      <c r="O375" s="2" t="s">
        <v>230</v>
      </c>
      <c r="P375" s="2" t="s">
        <v>231</v>
      </c>
      <c r="Q375" s="2" t="s">
        <v>232</v>
      </c>
      <c r="R375" s="2" t="s">
        <v>233</v>
      </c>
      <c r="S375" s="2" t="s">
        <v>2362</v>
      </c>
      <c r="T375" s="2" t="s">
        <v>2310</v>
      </c>
      <c r="U375" s="2" t="s">
        <v>233</v>
      </c>
      <c r="V375" s="2" t="s">
        <v>2311</v>
      </c>
      <c r="W375" s="2" t="s">
        <v>915</v>
      </c>
      <c r="X375" s="2" t="s">
        <v>237</v>
      </c>
      <c r="Y375" s="2" t="s">
        <v>2302</v>
      </c>
      <c r="Z375" s="4">
        <v>231</v>
      </c>
      <c r="AA375" s="4">
        <f>=ROUNDDOWN(17.7692307692308,0)</f>
      </c>
      <c r="AB375" s="5">
        <v>13</v>
      </c>
      <c r="AC375" s="2" t="s">
        <v>145</v>
      </c>
      <c r="AD375" s="4">
        <v>105</v>
      </c>
      <c r="AE375" s="4">
        <v>131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233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233</v>
      </c>
      <c r="AW375" s="8" t="s">
        <v>233</v>
      </c>
      <c r="AX375" s="4" t="s">
        <v>233</v>
      </c>
      <c r="AY375" s="8" t="s">
        <v>233</v>
      </c>
      <c r="AZ375" s="7" t="s">
        <v>233</v>
      </c>
      <c r="BA375" s="7" t="s">
        <v>233</v>
      </c>
      <c r="BB375" s="7"/>
      <c r="BC375" s="4" t="s">
        <v>233</v>
      </c>
      <c r="BD375" s="8" t="s">
        <v>233</v>
      </c>
      <c r="BE375" s="4" t="s">
        <v>233</v>
      </c>
      <c r="BF375" s="8" t="s">
        <v>233</v>
      </c>
      <c r="BG375" s="7" t="s">
        <v>233</v>
      </c>
      <c r="BH375" s="7" t="s">
        <v>233</v>
      </c>
      <c r="BI375" s="7"/>
      <c r="BJ375" s="4">
        <v>172</v>
      </c>
      <c r="BK375" s="8">
        <v>4252.11</v>
      </c>
      <c r="BL375" s="2" t="s">
        <v>2366</v>
      </c>
      <c r="BM375" s="7"/>
      <c r="BN375" s="7"/>
      <c r="BO375" s="4"/>
      <c r="BP375" s="8"/>
      <c r="BQ375" s="4"/>
      <c r="BR375" s="8"/>
      <c r="BS375" s="7"/>
      <c r="BT375" s="7"/>
      <c r="BU375" s="2" t="s">
        <v>2314</v>
      </c>
      <c r="BV375" s="2" t="s">
        <v>233</v>
      </c>
      <c r="BW375" s="2" t="s">
        <v>233</v>
      </c>
      <c r="BX375" s="2" t="s">
        <v>241</v>
      </c>
      <c r="BY375" s="2" t="s">
        <v>242</v>
      </c>
      <c r="BZ375" s="2" t="s">
        <v>230</v>
      </c>
      <c r="CA375" s="2" t="s">
        <v>1460</v>
      </c>
      <c r="CB375" s="2" t="s">
        <v>2367</v>
      </c>
      <c r="CC375" s="2" t="s">
        <v>245</v>
      </c>
      <c r="CD375" s="2" t="s">
        <v>233</v>
      </c>
      <c r="CE375" s="4">
        <v>231</v>
      </c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>
        <v>105</v>
      </c>
      <c r="DH375" s="4"/>
      <c r="DI375" s="4"/>
      <c r="DJ375" s="4"/>
      <c r="DK375" s="4"/>
      <c r="DL375" s="4"/>
      <c r="DM375" s="4"/>
      <c r="DN375" s="4"/>
      <c r="DO375" s="4"/>
      <c r="DP375" s="4">
        <v>26</v>
      </c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>
        <v>263</v>
      </c>
      <c r="GD375" s="4">
        <v>239</v>
      </c>
      <c r="GE375" s="4">
        <v>223</v>
      </c>
      <c r="GF375" s="4">
        <v>303</v>
      </c>
      <c r="GG375" s="4">
        <v>253</v>
      </c>
      <c r="GH375" s="4">
        <v>256</v>
      </c>
      <c r="GI375" s="4">
        <v>234</v>
      </c>
      <c r="GJ375" s="4">
        <v>220</v>
      </c>
      <c r="GK375" s="4">
        <v>208</v>
      </c>
      <c r="GL375" s="4">
        <v>192</v>
      </c>
      <c r="GM375" s="4">
        <v>179</v>
      </c>
      <c r="GN375" s="4">
        <v>170</v>
      </c>
      <c r="GO375" s="4">
        <v>162</v>
      </c>
      <c r="GP375" s="4">
        <v>154</v>
      </c>
      <c r="GQ375" s="4">
        <v>145</v>
      </c>
      <c r="GR375" s="4">
        <v>136</v>
      </c>
      <c r="GS375" s="4">
        <v>127</v>
      </c>
      <c r="GT375" s="4">
        <v>118</v>
      </c>
      <c r="GU375" s="4">
        <v>111</v>
      </c>
      <c r="GV375" s="4">
        <v>104</v>
      </c>
      <c r="GW375" s="4">
        <v>98</v>
      </c>
      <c r="GX375" s="4">
        <v>92</v>
      </c>
      <c r="GY375" s="4">
        <v>86</v>
      </c>
      <c r="GZ375" s="4">
        <v>80</v>
      </c>
      <c r="HA375" s="4">
        <v>74</v>
      </c>
      <c r="HB375" s="4">
        <v>68</v>
      </c>
      <c r="HC375" s="19">
        <v>9.1</v>
      </c>
      <c r="HD375" s="19">
        <v>8.5</v>
      </c>
      <c r="HE375" s="19">
        <v>7.4</v>
      </c>
      <c r="HF375" s="19">
        <v>11.2</v>
      </c>
      <c r="HG375" s="19">
        <v>14.1</v>
      </c>
      <c r="HH375" s="19">
        <v>16</v>
      </c>
      <c r="HI375" s="19">
        <v>16.7</v>
      </c>
      <c r="HJ375" s="19">
        <v>18.3</v>
      </c>
      <c r="HK375" s="19">
        <v>17.3</v>
      </c>
      <c r="HL375" s="19">
        <v>19.2</v>
      </c>
      <c r="HM375" s="19">
        <v>22.4</v>
      </c>
      <c r="HN375" s="19">
        <v>21.3</v>
      </c>
      <c r="HO375" s="19">
        <v>18</v>
      </c>
      <c r="HP375" s="19">
        <v>17.1</v>
      </c>
      <c r="HQ375" s="19">
        <v>18.1</v>
      </c>
      <c r="HR375" s="19">
        <v>17</v>
      </c>
      <c r="HS375" s="19">
        <v>18.1</v>
      </c>
      <c r="HT375" s="19">
        <v>19.7</v>
      </c>
      <c r="HU375" s="19">
        <v>18.5</v>
      </c>
      <c r="HV375" s="19">
        <v>17.3</v>
      </c>
      <c r="HW375" s="19">
        <v>16.3</v>
      </c>
      <c r="HX375" s="19">
        <v>15.3</v>
      </c>
      <c r="HY375" s="19">
        <v>14.3</v>
      </c>
      <c r="HZ375" s="19">
        <v>13.3</v>
      </c>
      <c r="IA375" s="19">
        <v>12.3</v>
      </c>
      <c r="IB375" s="19">
        <v>13.6</v>
      </c>
    </row>
    <row r="376">
      <c r="A376" s="2" t="s">
        <v>2368</v>
      </c>
      <c r="B376" s="2" t="s">
        <v>279</v>
      </c>
      <c r="C376" s="2" t="s">
        <v>908</v>
      </c>
      <c r="D376" s="2" t="s">
        <v>281</v>
      </c>
      <c r="E376" s="2" t="s">
        <v>282</v>
      </c>
      <c r="F376" s="2" t="s">
        <v>2307</v>
      </c>
      <c r="G376" s="2" t="s">
        <v>2307</v>
      </c>
      <c r="H376" s="2" t="s">
        <v>2307</v>
      </c>
      <c r="I376" s="2" t="s">
        <v>345</v>
      </c>
      <c r="J376" s="2" t="s">
        <v>336</v>
      </c>
      <c r="K376" s="2" t="s">
        <v>2361</v>
      </c>
      <c r="L376" s="3">
        <v>24.3</v>
      </c>
      <c r="M376" s="3">
        <v>25.52</v>
      </c>
      <c r="N376" s="3">
        <v>54.99</v>
      </c>
      <c r="O376" s="2" t="s">
        <v>230</v>
      </c>
      <c r="P376" s="2" t="s">
        <v>586</v>
      </c>
      <c r="Q376" s="2" t="s">
        <v>232</v>
      </c>
      <c r="R376" s="2" t="s">
        <v>233</v>
      </c>
      <c r="S376" s="2" t="s">
        <v>2369</v>
      </c>
      <c r="T376" s="2" t="s">
        <v>2310</v>
      </c>
      <c r="U376" s="2" t="s">
        <v>233</v>
      </c>
      <c r="V376" s="2" t="s">
        <v>2311</v>
      </c>
      <c r="W376" s="2" t="s">
        <v>915</v>
      </c>
      <c r="X376" s="2" t="s">
        <v>237</v>
      </c>
      <c r="Y376" s="2" t="s">
        <v>2302</v>
      </c>
      <c r="Z376" s="4">
        <v>68</v>
      </c>
      <c r="AA376" s="4">
        <f>=ROUNDDOWN(2.42857142857143,0)</f>
      </c>
      <c r="AB376" s="5">
        <v>28</v>
      </c>
      <c r="AC376" s="2" t="s">
        <v>145</v>
      </c>
      <c r="AD376" s="4">
        <v>192</v>
      </c>
      <c r="AE376" s="4">
        <v>327</v>
      </c>
      <c r="AF376" s="6">
        <v>65</v>
      </c>
      <c r="AG376" s="6"/>
      <c r="AH376" s="7">
        <v>0.9355</v>
      </c>
      <c r="AI376" s="4"/>
      <c r="AJ376" s="4">
        <f>=ROUNDDOWN({0},0)</f>
      </c>
      <c r="AK376" s="5"/>
      <c r="AL376" s="2" t="s">
        <v>233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233</v>
      </c>
      <c r="AW376" s="8" t="s">
        <v>233</v>
      </c>
      <c r="AX376" s="4" t="s">
        <v>233</v>
      </c>
      <c r="AY376" s="8" t="s">
        <v>233</v>
      </c>
      <c r="AZ376" s="7" t="s">
        <v>233</v>
      </c>
      <c r="BA376" s="7" t="s">
        <v>233</v>
      </c>
      <c r="BB376" s="7"/>
      <c r="BC376" s="4" t="s">
        <v>233</v>
      </c>
      <c r="BD376" s="8" t="s">
        <v>233</v>
      </c>
      <c r="BE376" s="4" t="s">
        <v>233</v>
      </c>
      <c r="BF376" s="8" t="s">
        <v>233</v>
      </c>
      <c r="BG376" s="7" t="s">
        <v>233</v>
      </c>
      <c r="BH376" s="7" t="s">
        <v>233</v>
      </c>
      <c r="BI376" s="7"/>
      <c r="BJ376" s="4">
        <v>352</v>
      </c>
      <c r="BK376" s="8">
        <v>9880.8</v>
      </c>
      <c r="BL376" s="2" t="s">
        <v>2370</v>
      </c>
      <c r="BM376" s="7"/>
      <c r="BN376" s="7"/>
      <c r="BO376" s="4"/>
      <c r="BP376" s="8"/>
      <c r="BQ376" s="4"/>
      <c r="BR376" s="8"/>
      <c r="BS376" s="7"/>
      <c r="BT376" s="7"/>
      <c r="BU376" s="2" t="s">
        <v>2314</v>
      </c>
      <c r="BV376" s="2" t="s">
        <v>233</v>
      </c>
      <c r="BW376" s="2" t="s">
        <v>233</v>
      </c>
      <c r="BX376" s="2" t="s">
        <v>241</v>
      </c>
      <c r="BY376" s="2" t="s">
        <v>242</v>
      </c>
      <c r="BZ376" s="2" t="s">
        <v>230</v>
      </c>
      <c r="CA376" s="2" t="s">
        <v>1460</v>
      </c>
      <c r="CB376" s="2" t="s">
        <v>488</v>
      </c>
      <c r="CC376" s="2" t="s">
        <v>245</v>
      </c>
      <c r="CD376" s="2" t="s">
        <v>233</v>
      </c>
      <c r="CE376" s="4">
        <v>68</v>
      </c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>
        <v>192</v>
      </c>
      <c r="DH376" s="4"/>
      <c r="DI376" s="4"/>
      <c r="DJ376" s="4"/>
      <c r="DK376" s="4"/>
      <c r="DL376" s="4"/>
      <c r="DM376" s="4"/>
      <c r="DN376" s="4"/>
      <c r="DO376" s="4"/>
      <c r="DP376" s="4">
        <v>135</v>
      </c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>
        <v>214</v>
      </c>
      <c r="GD376" s="4">
        <v>140</v>
      </c>
      <c r="GE376" s="4">
        <v>100</v>
      </c>
      <c r="GF376" s="4">
        <v>230</v>
      </c>
      <c r="GG376" s="4">
        <v>106</v>
      </c>
      <c r="GH376" s="4">
        <v>183</v>
      </c>
      <c r="GI376" s="4">
        <v>127</v>
      </c>
      <c r="GJ376" s="4">
        <v>91</v>
      </c>
      <c r="GK376" s="4">
        <v>65</v>
      </c>
      <c r="GL376" s="4">
        <v>35</v>
      </c>
      <c r="GM376" s="4">
        <v>13</v>
      </c>
      <c r="GN376" s="4"/>
      <c r="GO376" s="4"/>
      <c r="GP376" s="4"/>
      <c r="GQ376" s="4"/>
      <c r="GR376" s="4"/>
      <c r="GS376" s="4"/>
      <c r="GT376" s="4"/>
      <c r="GU376" s="4"/>
      <c r="GV376" s="4">
        <v>176</v>
      </c>
      <c r="GW376" s="4">
        <v>166</v>
      </c>
      <c r="GX376" s="4">
        <v>156</v>
      </c>
      <c r="GY376" s="4">
        <v>146</v>
      </c>
      <c r="GZ376" s="4">
        <v>136</v>
      </c>
      <c r="HA376" s="4">
        <v>126</v>
      </c>
      <c r="HB376" s="4">
        <v>116</v>
      </c>
      <c r="HC376" s="19">
        <v>2.9</v>
      </c>
      <c r="HD376" s="19">
        <v>2</v>
      </c>
      <c r="HE376" s="19">
        <v>1.3</v>
      </c>
      <c r="HF376" s="19">
        <v>3.4</v>
      </c>
      <c r="HG376" s="19">
        <v>2.4</v>
      </c>
      <c r="HH376" s="19">
        <v>4.9</v>
      </c>
      <c r="HI376" s="19">
        <v>4.5</v>
      </c>
      <c r="HJ376" s="19">
        <v>3.8</v>
      </c>
      <c r="HK376" s="19">
        <v>3.3</v>
      </c>
      <c r="HL376" s="19">
        <v>2.2</v>
      </c>
      <c r="HM376" s="19">
        <v>0.9</v>
      </c>
      <c r="HN376" s="20">
        <v>0</v>
      </c>
      <c r="HO376" s="20">
        <v>0</v>
      </c>
      <c r="HP376" s="20">
        <v>0</v>
      </c>
      <c r="HQ376" s="20">
        <v>0</v>
      </c>
      <c r="HR376" s="20">
        <v>0</v>
      </c>
      <c r="HS376" s="20">
        <v>0</v>
      </c>
      <c r="HT376" s="20">
        <v>0</v>
      </c>
      <c r="HU376" s="20">
        <v>0</v>
      </c>
      <c r="HV376" s="19">
        <v>17.6</v>
      </c>
      <c r="HW376" s="19">
        <v>16.6</v>
      </c>
      <c r="HX376" s="19">
        <v>15.6</v>
      </c>
      <c r="HY376" s="19">
        <v>14.6</v>
      </c>
      <c r="HZ376" s="19">
        <v>13.6</v>
      </c>
      <c r="IA376" s="19">
        <v>14</v>
      </c>
      <c r="IB376" s="19">
        <v>12.9</v>
      </c>
    </row>
    <row r="377">
      <c r="A377" s="2" t="s">
        <v>2371</v>
      </c>
      <c r="B377" s="2" t="s">
        <v>279</v>
      </c>
      <c r="C377" s="2" t="s">
        <v>908</v>
      </c>
      <c r="D377" s="2" t="s">
        <v>281</v>
      </c>
      <c r="E377" s="2" t="s">
        <v>282</v>
      </c>
      <c r="F377" s="2" t="s">
        <v>2307</v>
      </c>
      <c r="G377" s="2" t="s">
        <v>2307</v>
      </c>
      <c r="H377" s="2" t="s">
        <v>2307</v>
      </c>
      <c r="I377" s="2" t="s">
        <v>345</v>
      </c>
      <c r="J377" s="2" t="s">
        <v>256</v>
      </c>
      <c r="K377" s="2" t="s">
        <v>2361</v>
      </c>
      <c r="L377" s="3">
        <v>28.98</v>
      </c>
      <c r="M377" s="3">
        <v>30.43</v>
      </c>
      <c r="N377" s="3">
        <v>64.99</v>
      </c>
      <c r="O377" s="2" t="s">
        <v>230</v>
      </c>
      <c r="P377" s="2" t="s">
        <v>231</v>
      </c>
      <c r="Q377" s="2" t="s">
        <v>232</v>
      </c>
      <c r="R377" s="2" t="s">
        <v>233</v>
      </c>
      <c r="S377" s="2" t="s">
        <v>2369</v>
      </c>
      <c r="T377" s="2" t="s">
        <v>2310</v>
      </c>
      <c r="U377" s="2" t="s">
        <v>233</v>
      </c>
      <c r="V377" s="2" t="s">
        <v>2311</v>
      </c>
      <c r="W377" s="2" t="s">
        <v>915</v>
      </c>
      <c r="X377" s="2" t="s">
        <v>237</v>
      </c>
      <c r="Y377" s="2" t="s">
        <v>2302</v>
      </c>
      <c r="Z377" s="4">
        <v>129</v>
      </c>
      <c r="AA377" s="4">
        <f>=ROUNDDOWN(9.21428571428572,0)</f>
      </c>
      <c r="AB377" s="5">
        <v>14</v>
      </c>
      <c r="AC377" s="2" t="s">
        <v>145</v>
      </c>
      <c r="AD377" s="4">
        <v>98</v>
      </c>
      <c r="AE377" s="4">
        <v>98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233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233</v>
      </c>
      <c r="AW377" s="8" t="s">
        <v>233</v>
      </c>
      <c r="AX377" s="4" t="s">
        <v>233</v>
      </c>
      <c r="AY377" s="8" t="s">
        <v>233</v>
      </c>
      <c r="AZ377" s="7" t="s">
        <v>233</v>
      </c>
      <c r="BA377" s="7" t="s">
        <v>233</v>
      </c>
      <c r="BB377" s="7"/>
      <c r="BC377" s="4" t="s">
        <v>233</v>
      </c>
      <c r="BD377" s="8" t="s">
        <v>233</v>
      </c>
      <c r="BE377" s="4" t="s">
        <v>233</v>
      </c>
      <c r="BF377" s="8" t="s">
        <v>233</v>
      </c>
      <c r="BG377" s="7" t="s">
        <v>233</v>
      </c>
      <c r="BH377" s="7" t="s">
        <v>233</v>
      </c>
      <c r="BI377" s="7"/>
      <c r="BJ377" s="4">
        <v>124</v>
      </c>
      <c r="BK377" s="8">
        <v>4143.77</v>
      </c>
      <c r="BL377" s="2" t="s">
        <v>2372</v>
      </c>
      <c r="BM377" s="7"/>
      <c r="BN377" s="7"/>
      <c r="BO377" s="4"/>
      <c r="BP377" s="8"/>
      <c r="BQ377" s="4"/>
      <c r="BR377" s="8"/>
      <c r="BS377" s="7"/>
      <c r="BT377" s="7"/>
      <c r="BU377" s="2" t="s">
        <v>2314</v>
      </c>
      <c r="BV377" s="2" t="s">
        <v>233</v>
      </c>
      <c r="BW377" s="2" t="s">
        <v>233</v>
      </c>
      <c r="BX377" s="2" t="s">
        <v>241</v>
      </c>
      <c r="BY377" s="2" t="s">
        <v>242</v>
      </c>
      <c r="BZ377" s="2" t="s">
        <v>230</v>
      </c>
      <c r="CA377" s="2" t="s">
        <v>1460</v>
      </c>
      <c r="CB377" s="2" t="s">
        <v>2292</v>
      </c>
      <c r="CC377" s="2" t="s">
        <v>245</v>
      </c>
      <c r="CD377" s="2" t="s">
        <v>233</v>
      </c>
      <c r="CE377" s="4">
        <v>129</v>
      </c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>
        <v>98</v>
      </c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>
        <v>165</v>
      </c>
      <c r="GD377" s="4">
        <v>97</v>
      </c>
      <c r="GE377" s="4">
        <v>71</v>
      </c>
      <c r="GF377" s="4">
        <v>134</v>
      </c>
      <c r="GG377" s="4">
        <v>69</v>
      </c>
      <c r="GH377" s="4">
        <v>38</v>
      </c>
      <c r="GI377" s="4">
        <v>8</v>
      </c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>
        <v>116</v>
      </c>
      <c r="GW377" s="4">
        <v>95</v>
      </c>
      <c r="GX377" s="4">
        <v>88</v>
      </c>
      <c r="GY377" s="4">
        <v>81</v>
      </c>
      <c r="GZ377" s="4">
        <v>74</v>
      </c>
      <c r="HA377" s="4">
        <v>67</v>
      </c>
      <c r="HB377" s="4">
        <v>60</v>
      </c>
      <c r="HC377" s="19">
        <v>3.4</v>
      </c>
      <c r="HD377" s="19">
        <v>2.5</v>
      </c>
      <c r="HE377" s="19">
        <v>1.8</v>
      </c>
      <c r="HF377" s="19">
        <v>3.7</v>
      </c>
      <c r="HG377" s="19">
        <v>3</v>
      </c>
      <c r="HH377" s="19">
        <v>2</v>
      </c>
      <c r="HI377" s="19">
        <v>0.6</v>
      </c>
      <c r="HJ377" s="20">
        <v>0</v>
      </c>
      <c r="HK377" s="20">
        <v>0</v>
      </c>
      <c r="HL377" s="20">
        <v>0</v>
      </c>
      <c r="HM377" s="20">
        <v>0</v>
      </c>
      <c r="HN377" s="20">
        <v>0</v>
      </c>
      <c r="HO377" s="20">
        <v>0</v>
      </c>
      <c r="HP377" s="20">
        <v>0</v>
      </c>
      <c r="HQ377" s="20">
        <v>0</v>
      </c>
      <c r="HR377" s="20">
        <v>0</v>
      </c>
      <c r="HS377" s="20">
        <v>0</v>
      </c>
      <c r="HT377" s="20">
        <v>0</v>
      </c>
      <c r="HU377" s="20">
        <v>0</v>
      </c>
      <c r="HV377" s="19">
        <v>11.6</v>
      </c>
      <c r="HW377" s="19">
        <v>13.6</v>
      </c>
      <c r="HX377" s="19">
        <v>12.6</v>
      </c>
      <c r="HY377" s="19">
        <v>11.6</v>
      </c>
      <c r="HZ377" s="19">
        <v>10.6</v>
      </c>
      <c r="IA377" s="19">
        <v>11.2</v>
      </c>
      <c r="IB377" s="19">
        <v>10</v>
      </c>
    </row>
    <row r="378">
      <c r="A378" s="2" t="s">
        <v>2373</v>
      </c>
      <c r="B378" s="2" t="s">
        <v>279</v>
      </c>
      <c r="C378" s="2" t="s">
        <v>908</v>
      </c>
      <c r="D378" s="2" t="s">
        <v>281</v>
      </c>
      <c r="E378" s="2" t="s">
        <v>282</v>
      </c>
      <c r="F378" s="2" t="s">
        <v>2307</v>
      </c>
      <c r="G378" s="2" t="s">
        <v>2307</v>
      </c>
      <c r="H378" s="2" t="s">
        <v>2307</v>
      </c>
      <c r="I378" s="2" t="s">
        <v>345</v>
      </c>
      <c r="J378" s="2" t="s">
        <v>285</v>
      </c>
      <c r="K378" s="2" t="s">
        <v>2361</v>
      </c>
      <c r="L378" s="3">
        <v>28.98</v>
      </c>
      <c r="M378" s="3">
        <v>30.43</v>
      </c>
      <c r="N378" s="3">
        <v>64.99</v>
      </c>
      <c r="O378" s="2" t="s">
        <v>230</v>
      </c>
      <c r="P378" s="2" t="s">
        <v>231</v>
      </c>
      <c r="Q378" s="2" t="s">
        <v>232</v>
      </c>
      <c r="R378" s="2" t="s">
        <v>233</v>
      </c>
      <c r="S378" s="2" t="s">
        <v>2369</v>
      </c>
      <c r="T378" s="2" t="s">
        <v>2310</v>
      </c>
      <c r="U378" s="2" t="s">
        <v>233</v>
      </c>
      <c r="V378" s="2" t="s">
        <v>2311</v>
      </c>
      <c r="W378" s="2" t="s">
        <v>237</v>
      </c>
      <c r="X378" s="2" t="s">
        <v>233</v>
      </c>
      <c r="Y378" s="2" t="s">
        <v>2302</v>
      </c>
      <c r="Z378" s="4">
        <v>62</v>
      </c>
      <c r="AA378" s="4">
        <f>=ROUNDDOWN(6.88888888888889,0)</f>
      </c>
      <c r="AB378" s="5">
        <v>9</v>
      </c>
      <c r="AC378" s="2" t="s">
        <v>145</v>
      </c>
      <c r="AD378" s="4">
        <v>57</v>
      </c>
      <c r="AE378" s="4">
        <v>57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233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233</v>
      </c>
      <c r="AW378" s="8" t="s">
        <v>233</v>
      </c>
      <c r="AX378" s="4" t="s">
        <v>233</v>
      </c>
      <c r="AY378" s="8" t="s">
        <v>233</v>
      </c>
      <c r="AZ378" s="7" t="s">
        <v>233</v>
      </c>
      <c r="BA378" s="7" t="s">
        <v>233</v>
      </c>
      <c r="BB378" s="7"/>
      <c r="BC378" s="4" t="s">
        <v>233</v>
      </c>
      <c r="BD378" s="8" t="s">
        <v>233</v>
      </c>
      <c r="BE378" s="4" t="s">
        <v>233</v>
      </c>
      <c r="BF378" s="8" t="s">
        <v>233</v>
      </c>
      <c r="BG378" s="7" t="s">
        <v>233</v>
      </c>
      <c r="BH378" s="7" t="s">
        <v>233</v>
      </c>
      <c r="BI378" s="7"/>
      <c r="BJ378" s="4">
        <v>59</v>
      </c>
      <c r="BK378" s="8">
        <v>2006.45</v>
      </c>
      <c r="BL378" s="2" t="s">
        <v>2374</v>
      </c>
      <c r="BM378" s="7"/>
      <c r="BN378" s="7"/>
      <c r="BO378" s="4"/>
      <c r="BP378" s="8"/>
      <c r="BQ378" s="4"/>
      <c r="BR378" s="8"/>
      <c r="BS378" s="7"/>
      <c r="BT378" s="7"/>
      <c r="BU378" s="2" t="s">
        <v>2314</v>
      </c>
      <c r="BV378" s="2" t="s">
        <v>233</v>
      </c>
      <c r="BW378" s="2" t="s">
        <v>233</v>
      </c>
      <c r="BX378" s="2" t="s">
        <v>241</v>
      </c>
      <c r="BY378" s="2" t="s">
        <v>242</v>
      </c>
      <c r="BZ378" s="2" t="s">
        <v>230</v>
      </c>
      <c r="CA378" s="2" t="s">
        <v>1460</v>
      </c>
      <c r="CB378" s="2" t="s">
        <v>2375</v>
      </c>
      <c r="CC378" s="2" t="s">
        <v>245</v>
      </c>
      <c r="CD378" s="2" t="s">
        <v>233</v>
      </c>
      <c r="CE378" s="4">
        <v>62</v>
      </c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>
        <v>57</v>
      </c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>
        <v>97</v>
      </c>
      <c r="GD378" s="4">
        <v>55</v>
      </c>
      <c r="GE378" s="4">
        <v>38</v>
      </c>
      <c r="GF378" s="4">
        <v>71</v>
      </c>
      <c r="GG378" s="4">
        <v>26</v>
      </c>
      <c r="GH378" s="4">
        <v>5</v>
      </c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>
        <v>78</v>
      </c>
      <c r="GW378" s="4">
        <v>66</v>
      </c>
      <c r="GX378" s="4">
        <v>61</v>
      </c>
      <c r="GY378" s="4">
        <v>56</v>
      </c>
      <c r="GZ378" s="4">
        <v>51</v>
      </c>
      <c r="HA378" s="4">
        <v>46</v>
      </c>
      <c r="HB378" s="4">
        <v>41</v>
      </c>
      <c r="HC378" s="19">
        <v>3</v>
      </c>
      <c r="HD378" s="19">
        <v>2</v>
      </c>
      <c r="HE378" s="19">
        <v>1.4</v>
      </c>
      <c r="HF378" s="19">
        <v>2.8</v>
      </c>
      <c r="HG378" s="19">
        <v>1.6</v>
      </c>
      <c r="HH378" s="19">
        <v>0.4</v>
      </c>
      <c r="HI378" s="20">
        <v>0</v>
      </c>
      <c r="HJ378" s="20">
        <v>0</v>
      </c>
      <c r="HK378" s="20">
        <v>0</v>
      </c>
      <c r="HL378" s="20">
        <v>0</v>
      </c>
      <c r="HM378" s="20">
        <v>0</v>
      </c>
      <c r="HN378" s="20">
        <v>0</v>
      </c>
      <c r="HO378" s="20">
        <v>0</v>
      </c>
      <c r="HP378" s="20">
        <v>0</v>
      </c>
      <c r="HQ378" s="20">
        <v>0</v>
      </c>
      <c r="HR378" s="20">
        <v>0</v>
      </c>
      <c r="HS378" s="20">
        <v>0</v>
      </c>
      <c r="HT378" s="20">
        <v>0</v>
      </c>
      <c r="HU378" s="20">
        <v>0</v>
      </c>
      <c r="HV378" s="19">
        <v>11.1</v>
      </c>
      <c r="HW378" s="19">
        <v>13.2</v>
      </c>
      <c r="HX378" s="19">
        <v>12.2</v>
      </c>
      <c r="HY378" s="19">
        <v>11.2</v>
      </c>
      <c r="HZ378" s="19">
        <v>10.2</v>
      </c>
      <c r="IA378" s="19">
        <v>11.5</v>
      </c>
      <c r="IB378" s="19">
        <v>10.3</v>
      </c>
    </row>
    <row r="379">
      <c r="A379" s="2" t="s">
        <v>2376</v>
      </c>
      <c r="B379" s="2" t="s">
        <v>279</v>
      </c>
      <c r="C379" s="2" t="s">
        <v>908</v>
      </c>
      <c r="D379" s="2" t="s">
        <v>281</v>
      </c>
      <c r="E379" s="2" t="s">
        <v>282</v>
      </c>
      <c r="F379" s="2" t="s">
        <v>2307</v>
      </c>
      <c r="G379" s="2" t="s">
        <v>2307</v>
      </c>
      <c r="H379" s="2" t="s">
        <v>2307</v>
      </c>
      <c r="I379" s="2" t="s">
        <v>345</v>
      </c>
      <c r="J379" s="2" t="s">
        <v>256</v>
      </c>
      <c r="K379" s="2" t="s">
        <v>2377</v>
      </c>
      <c r="L379" s="3">
        <v>28.98</v>
      </c>
      <c r="M379" s="3">
        <v>30.43</v>
      </c>
      <c r="N379" s="3">
        <v>64.99</v>
      </c>
      <c r="O379" s="2" t="s">
        <v>230</v>
      </c>
      <c r="P379" s="2" t="s">
        <v>231</v>
      </c>
      <c r="Q379" s="2" t="s">
        <v>232</v>
      </c>
      <c r="R379" s="2" t="s">
        <v>233</v>
      </c>
      <c r="S379" s="2" t="s">
        <v>2378</v>
      </c>
      <c r="T379" s="2" t="s">
        <v>2310</v>
      </c>
      <c r="U379" s="2" t="s">
        <v>233</v>
      </c>
      <c r="V379" s="2" t="s">
        <v>2311</v>
      </c>
      <c r="W379" s="2" t="s">
        <v>915</v>
      </c>
      <c r="X379" s="2" t="s">
        <v>237</v>
      </c>
      <c r="Y379" s="2" t="s">
        <v>1117</v>
      </c>
      <c r="Z379" s="4">
        <v>50</v>
      </c>
      <c r="AA379" s="4">
        <f>=ROUNDDOWN(4.54545454545455,0)</f>
      </c>
      <c r="AB379" s="5">
        <v>11</v>
      </c>
      <c r="AC379" s="2" t="s">
        <v>145</v>
      </c>
      <c r="AD379" s="4">
        <v>90</v>
      </c>
      <c r="AE379" s="4">
        <v>90</v>
      </c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233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 t="s">
        <v>233</v>
      </c>
      <c r="BD379" s="8" t="s">
        <v>233</v>
      </c>
      <c r="BE379" s="4" t="s">
        <v>233</v>
      </c>
      <c r="BF379" s="8" t="s">
        <v>233</v>
      </c>
      <c r="BG379" s="7" t="s">
        <v>233</v>
      </c>
      <c r="BH379" s="7" t="s">
        <v>233</v>
      </c>
      <c r="BI379" s="7"/>
      <c r="BJ379" s="4">
        <v>124</v>
      </c>
      <c r="BK379" s="8">
        <v>4218.18</v>
      </c>
      <c r="BL379" s="2" t="s">
        <v>2379</v>
      </c>
      <c r="BM379" s="7"/>
      <c r="BN379" s="7"/>
      <c r="BO379" s="4"/>
      <c r="BP379" s="8"/>
      <c r="BQ379" s="4"/>
      <c r="BR379" s="8"/>
      <c r="BS379" s="7"/>
      <c r="BT379" s="7"/>
      <c r="BU379" s="2" t="s">
        <v>2314</v>
      </c>
      <c r="BV379" s="2" t="s">
        <v>233</v>
      </c>
      <c r="BW379" s="2" t="s">
        <v>233</v>
      </c>
      <c r="BX379" s="2" t="s">
        <v>241</v>
      </c>
      <c r="BY379" s="2" t="s">
        <v>242</v>
      </c>
      <c r="BZ379" s="2" t="s">
        <v>230</v>
      </c>
      <c r="CA379" s="2" t="s">
        <v>1460</v>
      </c>
      <c r="CB379" s="2" t="s">
        <v>2047</v>
      </c>
      <c r="CC379" s="2" t="s">
        <v>245</v>
      </c>
      <c r="CD379" s="2" t="s">
        <v>233</v>
      </c>
      <c r="CE379" s="4">
        <v>2</v>
      </c>
      <c r="CF379" s="4">
        <v>48</v>
      </c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>
        <v>90</v>
      </c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>
        <v>57</v>
      </c>
      <c r="GD379" s="4"/>
      <c r="GE379" s="4"/>
      <c r="GF379" s="4">
        <v>90</v>
      </c>
      <c r="GG379" s="4">
        <v>4</v>
      </c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>
        <v>129</v>
      </c>
      <c r="GW379" s="4">
        <v>110</v>
      </c>
      <c r="GX379" s="4">
        <v>105</v>
      </c>
      <c r="GY379" s="4">
        <v>100</v>
      </c>
      <c r="GZ379" s="4">
        <v>95</v>
      </c>
      <c r="HA379" s="4">
        <v>90</v>
      </c>
      <c r="HB379" s="4">
        <v>85</v>
      </c>
      <c r="HC379" s="19">
        <v>1.2</v>
      </c>
      <c r="HD379" s="20">
        <v>0</v>
      </c>
      <c r="HE379" s="20">
        <v>0</v>
      </c>
      <c r="HF379" s="19">
        <v>2.5</v>
      </c>
      <c r="HG379" s="19">
        <v>0.2</v>
      </c>
      <c r="HH379" s="20">
        <v>0</v>
      </c>
      <c r="HI379" s="20">
        <v>0</v>
      </c>
      <c r="HJ379" s="20">
        <v>0</v>
      </c>
      <c r="HK379" s="20">
        <v>0</v>
      </c>
      <c r="HL379" s="20">
        <v>0</v>
      </c>
      <c r="HM379" s="20">
        <v>0</v>
      </c>
      <c r="HN379" s="20">
        <v>0</v>
      </c>
      <c r="HO379" s="20">
        <v>0</v>
      </c>
      <c r="HP379" s="20">
        <v>0</v>
      </c>
      <c r="HQ379" s="20">
        <v>0</v>
      </c>
      <c r="HR379" s="20">
        <v>0</v>
      </c>
      <c r="HS379" s="20">
        <v>0</v>
      </c>
      <c r="HT379" s="20">
        <v>0</v>
      </c>
      <c r="HU379" s="20">
        <v>0</v>
      </c>
      <c r="HV379" s="19">
        <v>16.1</v>
      </c>
      <c r="HW379" s="19">
        <v>22</v>
      </c>
      <c r="HX379" s="19">
        <v>21</v>
      </c>
      <c r="HY379" s="19">
        <v>20</v>
      </c>
      <c r="HZ379" s="19">
        <v>19</v>
      </c>
      <c r="IA379" s="19">
        <v>22.5</v>
      </c>
      <c r="IB379" s="19">
        <v>21.3</v>
      </c>
    </row>
    <row r="380">
      <c r="A380" s="2" t="s">
        <v>2380</v>
      </c>
      <c r="B380" s="2" t="s">
        <v>279</v>
      </c>
      <c r="C380" s="2" t="s">
        <v>2381</v>
      </c>
      <c r="D380" s="2" t="s">
        <v>281</v>
      </c>
      <c r="E380" s="2" t="s">
        <v>282</v>
      </c>
      <c r="F380" s="2" t="s">
        <v>2382</v>
      </c>
      <c r="G380" s="2" t="s">
        <v>2382</v>
      </c>
      <c r="H380" s="2" t="s">
        <v>2382</v>
      </c>
      <c r="I380" s="2" t="s">
        <v>2383</v>
      </c>
      <c r="J380" s="2" t="s">
        <v>256</v>
      </c>
      <c r="K380" s="2" t="s">
        <v>2384</v>
      </c>
      <c r="L380" s="3">
        <v>27.39</v>
      </c>
      <c r="M380" s="3">
        <v>28.76</v>
      </c>
      <c r="N380" s="3">
        <v>62.99</v>
      </c>
      <c r="O380" s="2" t="s">
        <v>230</v>
      </c>
      <c r="P380" s="2" t="s">
        <v>231</v>
      </c>
      <c r="Q380" s="2" t="s">
        <v>232</v>
      </c>
      <c r="R380" s="2" t="s">
        <v>233</v>
      </c>
      <c r="S380" s="2" t="s">
        <v>2385</v>
      </c>
      <c r="T380" s="2" t="s">
        <v>2310</v>
      </c>
      <c r="U380" s="2" t="s">
        <v>287</v>
      </c>
      <c r="V380" s="2" t="s">
        <v>2311</v>
      </c>
      <c r="W380" s="2" t="s">
        <v>237</v>
      </c>
      <c r="X380" s="2" t="s">
        <v>233</v>
      </c>
      <c r="Y380" s="2" t="s">
        <v>1117</v>
      </c>
      <c r="Z380" s="4">
        <v>243</v>
      </c>
      <c r="AA380" s="4">
        <f>=ROUNDDOWN(14.2941176470588,0)</f>
      </c>
      <c r="AB380" s="5">
        <v>17</v>
      </c>
      <c r="AC380" s="2" t="s">
        <v>140</v>
      </c>
      <c r="AD380" s="4">
        <v>101</v>
      </c>
      <c r="AE380" s="4">
        <v>156</v>
      </c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233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233</v>
      </c>
      <c r="AW380" s="8" t="s">
        <v>233</v>
      </c>
      <c r="AX380" s="4" t="s">
        <v>233</v>
      </c>
      <c r="AY380" s="8" t="s">
        <v>233</v>
      </c>
      <c r="AZ380" s="7" t="s">
        <v>233</v>
      </c>
      <c r="BA380" s="7" t="s">
        <v>233</v>
      </c>
      <c r="BB380" s="7"/>
      <c r="BC380" s="4" t="s">
        <v>233</v>
      </c>
      <c r="BD380" s="8" t="s">
        <v>233</v>
      </c>
      <c r="BE380" s="4" t="s">
        <v>233</v>
      </c>
      <c r="BF380" s="8" t="s">
        <v>233</v>
      </c>
      <c r="BG380" s="7" t="s">
        <v>233</v>
      </c>
      <c r="BH380" s="7" t="s">
        <v>233</v>
      </c>
      <c r="BI380" s="7"/>
      <c r="BJ380" s="4">
        <v>272</v>
      </c>
      <c r="BK380" s="8">
        <v>8436.76</v>
      </c>
      <c r="BL380" s="2" t="s">
        <v>2386</v>
      </c>
      <c r="BM380" s="7"/>
      <c r="BN380" s="7"/>
      <c r="BO380" s="4"/>
      <c r="BP380" s="8"/>
      <c r="BQ380" s="4"/>
      <c r="BR380" s="8"/>
      <c r="BS380" s="7"/>
      <c r="BT380" s="7"/>
      <c r="BU380" s="2" t="s">
        <v>2387</v>
      </c>
      <c r="BV380" s="2" t="s">
        <v>233</v>
      </c>
      <c r="BW380" s="2" t="s">
        <v>233</v>
      </c>
      <c r="BX380" s="2" t="s">
        <v>241</v>
      </c>
      <c r="BY380" s="2" t="s">
        <v>242</v>
      </c>
      <c r="BZ380" s="2" t="s">
        <v>230</v>
      </c>
      <c r="CA380" s="2" t="s">
        <v>1460</v>
      </c>
      <c r="CB380" s="2" t="s">
        <v>2388</v>
      </c>
      <c r="CC380" s="2" t="s">
        <v>245</v>
      </c>
      <c r="CD380" s="2" t="s">
        <v>233</v>
      </c>
      <c r="CE380" s="4">
        <v>243</v>
      </c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>
        <v>101</v>
      </c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>
        <v>5</v>
      </c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>
        <v>50</v>
      </c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>
        <v>276</v>
      </c>
      <c r="GD380" s="4">
        <v>209</v>
      </c>
      <c r="GE380" s="4">
        <v>239</v>
      </c>
      <c r="GF380" s="4">
        <v>206</v>
      </c>
      <c r="GG380" s="4">
        <v>155</v>
      </c>
      <c r="GH380" s="4">
        <v>134</v>
      </c>
      <c r="GI380" s="4">
        <v>108</v>
      </c>
      <c r="GJ380" s="4">
        <v>46</v>
      </c>
      <c r="GK380" s="4">
        <v>37</v>
      </c>
      <c r="GL380" s="4">
        <v>26</v>
      </c>
      <c r="GM380" s="4">
        <v>18</v>
      </c>
      <c r="GN380" s="4">
        <v>62</v>
      </c>
      <c r="GO380" s="4">
        <v>58</v>
      </c>
      <c r="GP380" s="4">
        <v>54</v>
      </c>
      <c r="GQ380" s="4">
        <v>49</v>
      </c>
      <c r="GR380" s="4">
        <v>40</v>
      </c>
      <c r="GS380" s="4">
        <v>30</v>
      </c>
      <c r="GT380" s="4">
        <v>20</v>
      </c>
      <c r="GU380" s="4">
        <v>11</v>
      </c>
      <c r="GV380" s="4">
        <v>289</v>
      </c>
      <c r="GW380" s="4">
        <v>281</v>
      </c>
      <c r="GX380" s="4">
        <v>273</v>
      </c>
      <c r="GY380" s="4">
        <v>265</v>
      </c>
      <c r="GZ380" s="4">
        <v>257</v>
      </c>
      <c r="HA380" s="4">
        <v>249</v>
      </c>
      <c r="HB380" s="4">
        <v>241</v>
      </c>
      <c r="HC380" s="19">
        <v>4.9</v>
      </c>
      <c r="HD380" s="19">
        <v>4.6</v>
      </c>
      <c r="HE380" s="19">
        <v>7</v>
      </c>
      <c r="HF380" s="19">
        <v>5</v>
      </c>
      <c r="HG380" s="19">
        <v>5</v>
      </c>
      <c r="HH380" s="19">
        <v>5</v>
      </c>
      <c r="HI380" s="19">
        <v>4.9</v>
      </c>
      <c r="HJ380" s="19">
        <v>5.8</v>
      </c>
      <c r="HK380" s="19">
        <v>5.3</v>
      </c>
      <c r="HL380" s="19">
        <v>4.3</v>
      </c>
      <c r="HM380" s="19">
        <v>3.6</v>
      </c>
      <c r="HN380" s="19">
        <v>10.3</v>
      </c>
      <c r="HO380" s="19">
        <v>8.3</v>
      </c>
      <c r="HP380" s="19">
        <v>6.8</v>
      </c>
      <c r="HQ380" s="19">
        <v>4.9</v>
      </c>
      <c r="HR380" s="19">
        <v>4</v>
      </c>
      <c r="HS380" s="19">
        <v>3.3</v>
      </c>
      <c r="HT380" s="19">
        <v>2.5</v>
      </c>
      <c r="HU380" s="19">
        <v>1.4</v>
      </c>
      <c r="HV380" s="19">
        <v>36.1</v>
      </c>
      <c r="HW380" s="19">
        <v>35.1</v>
      </c>
      <c r="HX380" s="19">
        <v>34.1</v>
      </c>
      <c r="HY380" s="19">
        <v>33.1</v>
      </c>
      <c r="HZ380" s="19">
        <v>32.1</v>
      </c>
      <c r="IA380" s="19">
        <v>31.1</v>
      </c>
      <c r="IB380" s="19">
        <v>34.4</v>
      </c>
    </row>
    <row r="381">
      <c r="A381" s="2" t="s">
        <v>2389</v>
      </c>
      <c r="B381" s="2" t="s">
        <v>279</v>
      </c>
      <c r="C381" s="2" t="s">
        <v>2381</v>
      </c>
      <c r="D381" s="2" t="s">
        <v>281</v>
      </c>
      <c r="E381" s="2" t="s">
        <v>282</v>
      </c>
      <c r="F381" s="2" t="s">
        <v>2382</v>
      </c>
      <c r="G381" s="2" t="s">
        <v>2382</v>
      </c>
      <c r="H381" s="2" t="s">
        <v>2382</v>
      </c>
      <c r="I381" s="2" t="s">
        <v>2383</v>
      </c>
      <c r="J381" s="2" t="s">
        <v>285</v>
      </c>
      <c r="K381" s="2" t="s">
        <v>2384</v>
      </c>
      <c r="L381" s="3">
        <v>27.39</v>
      </c>
      <c r="M381" s="3">
        <v>28.76</v>
      </c>
      <c r="N381" s="3">
        <v>62.99</v>
      </c>
      <c r="O381" s="2" t="s">
        <v>230</v>
      </c>
      <c r="P381" s="2" t="s">
        <v>231</v>
      </c>
      <c r="Q381" s="2" t="s">
        <v>232</v>
      </c>
      <c r="R381" s="2" t="s">
        <v>233</v>
      </c>
      <c r="S381" s="2" t="s">
        <v>2385</v>
      </c>
      <c r="T381" s="2" t="s">
        <v>2310</v>
      </c>
      <c r="U381" s="2" t="s">
        <v>233</v>
      </c>
      <c r="V381" s="2" t="s">
        <v>2311</v>
      </c>
      <c r="W381" s="2" t="s">
        <v>237</v>
      </c>
      <c r="X381" s="2" t="s">
        <v>233</v>
      </c>
      <c r="Y381" s="2" t="s">
        <v>1117</v>
      </c>
      <c r="Z381" s="4">
        <v>288</v>
      </c>
      <c r="AA381" s="4">
        <f>=ROUNDDOWN(32,0)</f>
      </c>
      <c r="AB381" s="5">
        <v>9</v>
      </c>
      <c r="AC381" s="2" t="s">
        <v>140</v>
      </c>
      <c r="AD381" s="4">
        <v>69</v>
      </c>
      <c r="AE381" s="4">
        <v>83</v>
      </c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233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233</v>
      </c>
      <c r="AW381" s="8" t="s">
        <v>233</v>
      </c>
      <c r="AX381" s="4" t="s">
        <v>233</v>
      </c>
      <c r="AY381" s="8" t="s">
        <v>233</v>
      </c>
      <c r="AZ381" s="7" t="s">
        <v>233</v>
      </c>
      <c r="BA381" s="7" t="s">
        <v>233</v>
      </c>
      <c r="BB381" s="7"/>
      <c r="BC381" s="4" t="s">
        <v>233</v>
      </c>
      <c r="BD381" s="8" t="s">
        <v>233</v>
      </c>
      <c r="BE381" s="4" t="s">
        <v>233</v>
      </c>
      <c r="BF381" s="8" t="s">
        <v>233</v>
      </c>
      <c r="BG381" s="7" t="s">
        <v>233</v>
      </c>
      <c r="BH381" s="7" t="s">
        <v>233</v>
      </c>
      <c r="BI381" s="7"/>
      <c r="BJ381" s="4">
        <v>79</v>
      </c>
      <c r="BK381" s="8">
        <v>2285.69</v>
      </c>
      <c r="BL381" s="2" t="s">
        <v>2390</v>
      </c>
      <c r="BM381" s="7"/>
      <c r="BN381" s="7"/>
      <c r="BO381" s="4"/>
      <c r="BP381" s="8"/>
      <c r="BQ381" s="4"/>
      <c r="BR381" s="8"/>
      <c r="BS381" s="7"/>
      <c r="BT381" s="7"/>
      <c r="BU381" s="2" t="s">
        <v>2387</v>
      </c>
      <c r="BV381" s="2" t="s">
        <v>233</v>
      </c>
      <c r="BW381" s="2" t="s">
        <v>233</v>
      </c>
      <c r="BX381" s="2" t="s">
        <v>241</v>
      </c>
      <c r="BY381" s="2" t="s">
        <v>242</v>
      </c>
      <c r="BZ381" s="2" t="s">
        <v>230</v>
      </c>
      <c r="CA381" s="2" t="s">
        <v>1460</v>
      </c>
      <c r="CB381" s="2" t="s">
        <v>2391</v>
      </c>
      <c r="CC381" s="2" t="s">
        <v>245</v>
      </c>
      <c r="CD381" s="2" t="s">
        <v>233</v>
      </c>
      <c r="CE381" s="4">
        <v>288</v>
      </c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>
        <v>69</v>
      </c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>
        <v>14</v>
      </c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>
        <v>294</v>
      </c>
      <c r="GD381" s="4">
        <v>240</v>
      </c>
      <c r="GE381" s="4">
        <v>265</v>
      </c>
      <c r="GF381" s="4">
        <v>249</v>
      </c>
      <c r="GG381" s="4">
        <v>225</v>
      </c>
      <c r="GH381" s="4">
        <v>226</v>
      </c>
      <c r="GI381" s="4">
        <v>214</v>
      </c>
      <c r="GJ381" s="4">
        <v>176</v>
      </c>
      <c r="GK381" s="4">
        <v>172</v>
      </c>
      <c r="GL381" s="4">
        <v>167</v>
      </c>
      <c r="GM381" s="4">
        <v>164</v>
      </c>
      <c r="GN381" s="4">
        <v>162</v>
      </c>
      <c r="GO381" s="4">
        <v>160</v>
      </c>
      <c r="GP381" s="4">
        <v>158</v>
      </c>
      <c r="GQ381" s="4">
        <v>156</v>
      </c>
      <c r="GR381" s="4">
        <v>154</v>
      </c>
      <c r="GS381" s="4">
        <v>151</v>
      </c>
      <c r="GT381" s="4">
        <v>146</v>
      </c>
      <c r="GU381" s="4">
        <v>141</v>
      </c>
      <c r="GV381" s="4">
        <v>146</v>
      </c>
      <c r="GW381" s="4">
        <v>142</v>
      </c>
      <c r="GX381" s="4">
        <v>138</v>
      </c>
      <c r="GY381" s="4">
        <v>134</v>
      </c>
      <c r="GZ381" s="4">
        <v>130</v>
      </c>
      <c r="HA381" s="4">
        <v>126</v>
      </c>
      <c r="HB381" s="4">
        <v>122</v>
      </c>
      <c r="HC381" s="19">
        <v>8.6</v>
      </c>
      <c r="HD381" s="19">
        <v>10</v>
      </c>
      <c r="HE381" s="19">
        <v>16.6</v>
      </c>
      <c r="HF381" s="19">
        <v>11.3</v>
      </c>
      <c r="HG381" s="19">
        <v>13.2</v>
      </c>
      <c r="HH381" s="19">
        <v>15.1</v>
      </c>
      <c r="HI381" s="19">
        <v>17.8</v>
      </c>
      <c r="HJ381" s="19">
        <v>44</v>
      </c>
      <c r="HK381" s="19">
        <v>57.3</v>
      </c>
      <c r="HL381" s="19">
        <v>83.5</v>
      </c>
      <c r="HM381" s="19">
        <v>82</v>
      </c>
      <c r="HN381" s="19">
        <v>81</v>
      </c>
      <c r="HO381" s="19">
        <v>80</v>
      </c>
      <c r="HP381" s="19">
        <v>52.7</v>
      </c>
      <c r="HQ381" s="19">
        <v>39</v>
      </c>
      <c r="HR381" s="19">
        <v>38.5</v>
      </c>
      <c r="HS381" s="19">
        <v>30.2</v>
      </c>
      <c r="HT381" s="19">
        <v>36.5</v>
      </c>
      <c r="HU381" s="19">
        <v>35.3</v>
      </c>
      <c r="HV381" s="19">
        <v>36.5</v>
      </c>
      <c r="HW381" s="19">
        <v>35.5</v>
      </c>
      <c r="HX381" s="19">
        <v>34.5</v>
      </c>
      <c r="HY381" s="19">
        <v>33.5</v>
      </c>
      <c r="HZ381" s="19">
        <v>32.5</v>
      </c>
      <c r="IA381" s="19">
        <v>31.5</v>
      </c>
      <c r="IB381" s="19">
        <v>40.7</v>
      </c>
    </row>
    <row r="382">
      <c r="A382" s="2" t="s">
        <v>2392</v>
      </c>
      <c r="B382" s="2" t="s">
        <v>279</v>
      </c>
      <c r="C382" s="2" t="s">
        <v>2381</v>
      </c>
      <c r="D382" s="2" t="s">
        <v>281</v>
      </c>
      <c r="E382" s="2" t="s">
        <v>282</v>
      </c>
      <c r="F382" s="2" t="s">
        <v>2382</v>
      </c>
      <c r="G382" s="2" t="s">
        <v>2382</v>
      </c>
      <c r="H382" s="2" t="s">
        <v>2382</v>
      </c>
      <c r="I382" s="2" t="s">
        <v>2383</v>
      </c>
      <c r="J382" s="2" t="s">
        <v>247</v>
      </c>
      <c r="K382" s="2" t="s">
        <v>2393</v>
      </c>
      <c r="L382" s="3">
        <v>16.16</v>
      </c>
      <c r="M382" s="3">
        <v>16.97</v>
      </c>
      <c r="N382" s="3">
        <v>34.99</v>
      </c>
      <c r="O382" s="2" t="s">
        <v>230</v>
      </c>
      <c r="P382" s="2" t="s">
        <v>231</v>
      </c>
      <c r="Q382" s="2" t="s">
        <v>232</v>
      </c>
      <c r="R382" s="2" t="s">
        <v>233</v>
      </c>
      <c r="S382" s="2" t="s">
        <v>2394</v>
      </c>
      <c r="T382" s="2" t="s">
        <v>2310</v>
      </c>
      <c r="U382" s="2" t="s">
        <v>781</v>
      </c>
      <c r="V382" s="2" t="s">
        <v>1431</v>
      </c>
      <c r="W382" s="2" t="s">
        <v>237</v>
      </c>
      <c r="X382" s="2" t="s">
        <v>712</v>
      </c>
      <c r="Y382" s="2" t="s">
        <v>2395</v>
      </c>
      <c r="Z382" s="4">
        <v>252</v>
      </c>
      <c r="AA382" s="4">
        <f>=ROUNDDOWN(10.5,0)</f>
      </c>
      <c r="AB382" s="5">
        <v>24</v>
      </c>
      <c r="AC382" s="2" t="s">
        <v>140</v>
      </c>
      <c r="AD382" s="4">
        <v>343</v>
      </c>
      <c r="AE382" s="4">
        <v>444</v>
      </c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233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233</v>
      </c>
      <c r="AW382" s="8" t="s">
        <v>233</v>
      </c>
      <c r="AX382" s="4" t="s">
        <v>233</v>
      </c>
      <c r="AY382" s="8" t="s">
        <v>233</v>
      </c>
      <c r="AZ382" s="7" t="s">
        <v>233</v>
      </c>
      <c r="BA382" s="7" t="s">
        <v>233</v>
      </c>
      <c r="BB382" s="7"/>
      <c r="BC382" s="4" t="s">
        <v>233</v>
      </c>
      <c r="BD382" s="8" t="s">
        <v>233</v>
      </c>
      <c r="BE382" s="4" t="s">
        <v>233</v>
      </c>
      <c r="BF382" s="8" t="s">
        <v>233</v>
      </c>
      <c r="BG382" s="7" t="s">
        <v>233</v>
      </c>
      <c r="BH382" s="7" t="s">
        <v>233</v>
      </c>
      <c r="BI382" s="7"/>
      <c r="BJ382" s="4">
        <v>153</v>
      </c>
      <c r="BK382" s="8">
        <v>2782.54</v>
      </c>
      <c r="BL382" s="2" t="s">
        <v>2285</v>
      </c>
      <c r="BM382" s="7"/>
      <c r="BN382" s="7"/>
      <c r="BO382" s="4"/>
      <c r="BP382" s="8"/>
      <c r="BQ382" s="4"/>
      <c r="BR382" s="8"/>
      <c r="BS382" s="7"/>
      <c r="BT382" s="7"/>
      <c r="BU382" s="2" t="s">
        <v>2387</v>
      </c>
      <c r="BV382" s="2" t="s">
        <v>233</v>
      </c>
      <c r="BW382" s="2" t="s">
        <v>233</v>
      </c>
      <c r="BX382" s="2" t="s">
        <v>241</v>
      </c>
      <c r="BY382" s="2" t="s">
        <v>242</v>
      </c>
      <c r="BZ382" s="2" t="s">
        <v>230</v>
      </c>
      <c r="CA382" s="2" t="s">
        <v>2396</v>
      </c>
      <c r="CB382" s="2" t="s">
        <v>2397</v>
      </c>
      <c r="CC382" s="2" t="s">
        <v>245</v>
      </c>
      <c r="CD382" s="2" t="s">
        <v>233</v>
      </c>
      <c r="CE382" s="4">
        <v>252</v>
      </c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>
        <v>343</v>
      </c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>
        <v>101</v>
      </c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>
        <v>354</v>
      </c>
      <c r="GD382" s="4">
        <v>266</v>
      </c>
      <c r="GE382" s="4">
        <v>573</v>
      </c>
      <c r="GF382" s="4">
        <v>517</v>
      </c>
      <c r="GG382" s="4">
        <v>405</v>
      </c>
      <c r="GH382" s="4">
        <v>454</v>
      </c>
      <c r="GI382" s="4">
        <v>404</v>
      </c>
      <c r="GJ382" s="4">
        <v>372</v>
      </c>
      <c r="GK382" s="4">
        <v>349</v>
      </c>
      <c r="GL382" s="4">
        <v>322</v>
      </c>
      <c r="GM382" s="4">
        <v>302</v>
      </c>
      <c r="GN382" s="4">
        <v>288</v>
      </c>
      <c r="GO382" s="4">
        <v>277</v>
      </c>
      <c r="GP382" s="4">
        <v>265</v>
      </c>
      <c r="GQ382" s="4">
        <v>249</v>
      </c>
      <c r="GR382" s="4">
        <v>233</v>
      </c>
      <c r="GS382" s="4">
        <v>217</v>
      </c>
      <c r="GT382" s="4">
        <v>201</v>
      </c>
      <c r="GU382" s="4">
        <v>189</v>
      </c>
      <c r="GV382" s="4">
        <v>177</v>
      </c>
      <c r="GW382" s="4">
        <v>166</v>
      </c>
      <c r="GX382" s="4">
        <v>155</v>
      </c>
      <c r="GY382" s="4">
        <v>144</v>
      </c>
      <c r="GZ382" s="4">
        <v>133</v>
      </c>
      <c r="HA382" s="4">
        <v>122</v>
      </c>
      <c r="HB382" s="4">
        <v>111</v>
      </c>
      <c r="HC382" s="19">
        <v>4.8</v>
      </c>
      <c r="HD382" s="19">
        <v>4.2</v>
      </c>
      <c r="HE382" s="19">
        <v>8.4</v>
      </c>
      <c r="HF382" s="19">
        <v>8.3</v>
      </c>
      <c r="HG382" s="19">
        <v>10.4</v>
      </c>
      <c r="HH382" s="19">
        <v>13.8</v>
      </c>
      <c r="HI382" s="19">
        <v>15.5</v>
      </c>
      <c r="HJ382" s="19">
        <v>17.7</v>
      </c>
      <c r="HK382" s="19">
        <v>19.4</v>
      </c>
      <c r="HL382" s="19">
        <v>23</v>
      </c>
      <c r="HM382" s="19">
        <v>23.2</v>
      </c>
      <c r="HN382" s="19">
        <v>20.6</v>
      </c>
      <c r="HO382" s="19">
        <v>18.5</v>
      </c>
      <c r="HP382" s="19">
        <v>16.6</v>
      </c>
      <c r="HQ382" s="19">
        <v>16.6</v>
      </c>
      <c r="HR382" s="19">
        <v>16.6</v>
      </c>
      <c r="HS382" s="19">
        <v>16.7</v>
      </c>
      <c r="HT382" s="19">
        <v>16.8</v>
      </c>
      <c r="HU382" s="19">
        <v>17.2</v>
      </c>
      <c r="HV382" s="19">
        <v>16.1</v>
      </c>
      <c r="HW382" s="19">
        <v>15.1</v>
      </c>
      <c r="HX382" s="19">
        <v>14.1</v>
      </c>
      <c r="HY382" s="19">
        <v>13.1</v>
      </c>
      <c r="HZ382" s="19">
        <v>13.3</v>
      </c>
      <c r="IA382" s="19">
        <v>12.2</v>
      </c>
      <c r="IB382" s="19">
        <v>11.1</v>
      </c>
    </row>
    <row r="383">
      <c r="A383" s="2" t="s">
        <v>2398</v>
      </c>
      <c r="B383" s="2" t="s">
        <v>279</v>
      </c>
      <c r="C383" s="2" t="s">
        <v>2381</v>
      </c>
      <c r="D383" s="2" t="s">
        <v>281</v>
      </c>
      <c r="E383" s="2" t="s">
        <v>282</v>
      </c>
      <c r="F383" s="2" t="s">
        <v>2382</v>
      </c>
      <c r="G383" s="2" t="s">
        <v>2382</v>
      </c>
      <c r="H383" s="2" t="s">
        <v>2382</v>
      </c>
      <c r="I383" s="2" t="s">
        <v>2383</v>
      </c>
      <c r="J383" s="2" t="s">
        <v>252</v>
      </c>
      <c r="K383" s="2" t="s">
        <v>2393</v>
      </c>
      <c r="L383" s="3">
        <v>19.57</v>
      </c>
      <c r="M383" s="3">
        <v>20.55</v>
      </c>
      <c r="N383" s="3">
        <v>42.99</v>
      </c>
      <c r="O383" s="2" t="s">
        <v>230</v>
      </c>
      <c r="P383" s="2" t="s">
        <v>586</v>
      </c>
      <c r="Q383" s="2" t="s">
        <v>232</v>
      </c>
      <c r="R383" s="2" t="s">
        <v>233</v>
      </c>
      <c r="S383" s="2" t="s">
        <v>2394</v>
      </c>
      <c r="T383" s="2" t="s">
        <v>2310</v>
      </c>
      <c r="U383" s="2" t="s">
        <v>287</v>
      </c>
      <c r="V383" s="2" t="s">
        <v>1431</v>
      </c>
      <c r="W383" s="2" t="s">
        <v>237</v>
      </c>
      <c r="X383" s="2" t="s">
        <v>712</v>
      </c>
      <c r="Y383" s="2" t="s">
        <v>2395</v>
      </c>
      <c r="Z383" s="4">
        <v>815</v>
      </c>
      <c r="AA383" s="4">
        <f>=ROUNDDOWN(22.027027027027,0)</f>
      </c>
      <c r="AB383" s="5">
        <v>37</v>
      </c>
      <c r="AC383" s="2" t="s">
        <v>140</v>
      </c>
      <c r="AD383" s="4">
        <v>376</v>
      </c>
      <c r="AE383" s="4">
        <v>462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233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233</v>
      </c>
      <c r="AW383" s="8" t="s">
        <v>233</v>
      </c>
      <c r="AX383" s="4" t="s">
        <v>233</v>
      </c>
      <c r="AY383" s="8" t="s">
        <v>233</v>
      </c>
      <c r="AZ383" s="7" t="s">
        <v>233</v>
      </c>
      <c r="BA383" s="7" t="s">
        <v>233</v>
      </c>
      <c r="BB383" s="7"/>
      <c r="BC383" s="4" t="s">
        <v>233</v>
      </c>
      <c r="BD383" s="8" t="s">
        <v>233</v>
      </c>
      <c r="BE383" s="4" t="s">
        <v>233</v>
      </c>
      <c r="BF383" s="8" t="s">
        <v>233</v>
      </c>
      <c r="BG383" s="7" t="s">
        <v>233</v>
      </c>
      <c r="BH383" s="7" t="s">
        <v>233</v>
      </c>
      <c r="BI383" s="7"/>
      <c r="BJ383" s="4">
        <v>309</v>
      </c>
      <c r="BK383" s="8">
        <v>6627.92</v>
      </c>
      <c r="BL383" s="2" t="s">
        <v>2399</v>
      </c>
      <c r="BM383" s="7"/>
      <c r="BN383" s="7"/>
      <c r="BO383" s="4"/>
      <c r="BP383" s="8"/>
      <c r="BQ383" s="4"/>
      <c r="BR383" s="8"/>
      <c r="BS383" s="7"/>
      <c r="BT383" s="7"/>
      <c r="BU383" s="2" t="s">
        <v>2387</v>
      </c>
      <c r="BV383" s="2" t="s">
        <v>233</v>
      </c>
      <c r="BW383" s="2" t="s">
        <v>233</v>
      </c>
      <c r="BX383" s="2" t="s">
        <v>241</v>
      </c>
      <c r="BY383" s="2" t="s">
        <v>242</v>
      </c>
      <c r="BZ383" s="2" t="s">
        <v>230</v>
      </c>
      <c r="CA383" s="2" t="s">
        <v>2396</v>
      </c>
      <c r="CB383" s="2" t="s">
        <v>2400</v>
      </c>
      <c r="CC383" s="2" t="s">
        <v>245</v>
      </c>
      <c r="CD383" s="2" t="s">
        <v>233</v>
      </c>
      <c r="CE383" s="4">
        <v>815</v>
      </c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>
        <v>376</v>
      </c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>
        <v>86</v>
      </c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>
        <v>968</v>
      </c>
      <c r="GD383" s="4">
        <v>722</v>
      </c>
      <c r="GE383" s="4">
        <v>1035</v>
      </c>
      <c r="GF383" s="4">
        <v>964</v>
      </c>
      <c r="GG383" s="4">
        <v>853</v>
      </c>
      <c r="GH383" s="4">
        <v>882</v>
      </c>
      <c r="GI383" s="4">
        <v>827</v>
      </c>
      <c r="GJ383" s="4">
        <v>785</v>
      </c>
      <c r="GK383" s="4">
        <v>750</v>
      </c>
      <c r="GL383" s="4">
        <v>712</v>
      </c>
      <c r="GM383" s="4">
        <v>680</v>
      </c>
      <c r="GN383" s="4">
        <v>657</v>
      </c>
      <c r="GO383" s="4">
        <v>637</v>
      </c>
      <c r="GP383" s="4">
        <v>617</v>
      </c>
      <c r="GQ383" s="4">
        <v>595</v>
      </c>
      <c r="GR383" s="4">
        <v>573</v>
      </c>
      <c r="GS383" s="4">
        <v>551</v>
      </c>
      <c r="GT383" s="4">
        <v>529</v>
      </c>
      <c r="GU383" s="4">
        <v>510</v>
      </c>
      <c r="GV383" s="4">
        <v>491</v>
      </c>
      <c r="GW383" s="4">
        <v>474</v>
      </c>
      <c r="GX383" s="4">
        <v>457</v>
      </c>
      <c r="GY383" s="4">
        <v>440</v>
      </c>
      <c r="GZ383" s="4">
        <v>423</v>
      </c>
      <c r="HA383" s="4">
        <v>406</v>
      </c>
      <c r="HB383" s="4">
        <v>389</v>
      </c>
      <c r="HC383" s="19">
        <v>7.9</v>
      </c>
      <c r="HD383" s="19">
        <v>9.5</v>
      </c>
      <c r="HE383" s="19">
        <v>14</v>
      </c>
      <c r="HF383" s="19">
        <v>14.6</v>
      </c>
      <c r="HG383" s="19">
        <v>18.1</v>
      </c>
      <c r="HH383" s="19">
        <v>21</v>
      </c>
      <c r="HI383" s="19">
        <v>22.4</v>
      </c>
      <c r="HJ383" s="19">
        <v>24.5</v>
      </c>
      <c r="HK383" s="19">
        <v>26.8</v>
      </c>
      <c r="HL383" s="19">
        <v>29.7</v>
      </c>
      <c r="HM383" s="19">
        <v>32.4</v>
      </c>
      <c r="HN383" s="19">
        <v>31.3</v>
      </c>
      <c r="HO383" s="19">
        <v>29</v>
      </c>
      <c r="HP383" s="19">
        <v>28</v>
      </c>
      <c r="HQ383" s="19">
        <v>28.3</v>
      </c>
      <c r="HR383" s="19">
        <v>28.7</v>
      </c>
      <c r="HS383" s="19">
        <v>29</v>
      </c>
      <c r="HT383" s="19">
        <v>29.4</v>
      </c>
      <c r="HU383" s="19">
        <v>28.3</v>
      </c>
      <c r="HV383" s="19">
        <v>28.9</v>
      </c>
      <c r="HW383" s="19">
        <v>27.9</v>
      </c>
      <c r="HX383" s="19">
        <v>26.9</v>
      </c>
      <c r="HY383" s="19">
        <v>25.9</v>
      </c>
      <c r="HZ383" s="19">
        <v>26.4</v>
      </c>
      <c r="IA383" s="19">
        <v>25.4</v>
      </c>
      <c r="IB383" s="19">
        <v>24.3</v>
      </c>
    </row>
    <row r="384">
      <c r="A384" s="2" t="s">
        <v>2401</v>
      </c>
      <c r="B384" s="2" t="s">
        <v>279</v>
      </c>
      <c r="C384" s="2" t="s">
        <v>2381</v>
      </c>
      <c r="D384" s="2" t="s">
        <v>281</v>
      </c>
      <c r="E384" s="2" t="s">
        <v>282</v>
      </c>
      <c r="F384" s="2" t="s">
        <v>2382</v>
      </c>
      <c r="G384" s="2" t="s">
        <v>2382</v>
      </c>
      <c r="H384" s="2" t="s">
        <v>2382</v>
      </c>
      <c r="I384" s="2" t="s">
        <v>2383</v>
      </c>
      <c r="J384" s="2" t="s">
        <v>336</v>
      </c>
      <c r="K384" s="2" t="s">
        <v>2393</v>
      </c>
      <c r="L384" s="3">
        <v>22.21</v>
      </c>
      <c r="M384" s="3">
        <v>23.32</v>
      </c>
      <c r="N384" s="3">
        <v>47.99</v>
      </c>
      <c r="O384" s="2" t="s">
        <v>230</v>
      </c>
      <c r="P384" s="2" t="s">
        <v>586</v>
      </c>
      <c r="Q384" s="2" t="s">
        <v>232</v>
      </c>
      <c r="R384" s="2" t="s">
        <v>233</v>
      </c>
      <c r="S384" s="2" t="s">
        <v>2394</v>
      </c>
      <c r="T384" s="2" t="s">
        <v>2310</v>
      </c>
      <c r="U384" s="2" t="s">
        <v>287</v>
      </c>
      <c r="V384" s="2" t="s">
        <v>1431</v>
      </c>
      <c r="W384" s="2" t="s">
        <v>237</v>
      </c>
      <c r="X384" s="2" t="s">
        <v>712</v>
      </c>
      <c r="Y384" s="2" t="s">
        <v>2395</v>
      </c>
      <c r="Z384" s="4">
        <v>945</v>
      </c>
      <c r="AA384" s="4">
        <f>=ROUNDDOWN(23.625,0)</f>
      </c>
      <c r="AB384" s="5">
        <v>40</v>
      </c>
      <c r="AC384" s="2" t="s">
        <v>140</v>
      </c>
      <c r="AD384" s="4">
        <v>470</v>
      </c>
      <c r="AE384" s="4">
        <v>509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233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233</v>
      </c>
      <c r="AW384" s="8" t="s">
        <v>233</v>
      </c>
      <c r="AX384" s="4" t="s">
        <v>233</v>
      </c>
      <c r="AY384" s="8" t="s">
        <v>233</v>
      </c>
      <c r="AZ384" s="7" t="s">
        <v>233</v>
      </c>
      <c r="BA384" s="7" t="s">
        <v>233</v>
      </c>
      <c r="BB384" s="7"/>
      <c r="BC384" s="4" t="s">
        <v>233</v>
      </c>
      <c r="BD384" s="8" t="s">
        <v>233</v>
      </c>
      <c r="BE384" s="4" t="s">
        <v>233</v>
      </c>
      <c r="BF384" s="8" t="s">
        <v>233</v>
      </c>
      <c r="BG384" s="7" t="s">
        <v>233</v>
      </c>
      <c r="BH384" s="7" t="s">
        <v>233</v>
      </c>
      <c r="BI384" s="7"/>
      <c r="BJ384" s="4">
        <v>105</v>
      </c>
      <c r="BK384" s="8">
        <v>2527.82</v>
      </c>
      <c r="BL384" s="2" t="s">
        <v>2402</v>
      </c>
      <c r="BM384" s="7"/>
      <c r="BN384" s="7"/>
      <c r="BO384" s="4"/>
      <c r="BP384" s="8"/>
      <c r="BQ384" s="4"/>
      <c r="BR384" s="8"/>
      <c r="BS384" s="7"/>
      <c r="BT384" s="7"/>
      <c r="BU384" s="2" t="s">
        <v>2387</v>
      </c>
      <c r="BV384" s="2" t="s">
        <v>233</v>
      </c>
      <c r="BW384" s="2" t="s">
        <v>233</v>
      </c>
      <c r="BX384" s="2" t="s">
        <v>241</v>
      </c>
      <c r="BY384" s="2" t="s">
        <v>242</v>
      </c>
      <c r="BZ384" s="2" t="s">
        <v>230</v>
      </c>
      <c r="CA384" s="2" t="s">
        <v>2396</v>
      </c>
      <c r="CB384" s="2" t="s">
        <v>2403</v>
      </c>
      <c r="CC384" s="2" t="s">
        <v>245</v>
      </c>
      <c r="CD384" s="2" t="s">
        <v>233</v>
      </c>
      <c r="CE384" s="4">
        <v>945</v>
      </c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>
        <v>470</v>
      </c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>
        <v>39</v>
      </c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>
        <v>1027</v>
      </c>
      <c r="GD384" s="4">
        <v>668</v>
      </c>
      <c r="GE384" s="4">
        <v>1069</v>
      </c>
      <c r="GF384" s="4">
        <v>989</v>
      </c>
      <c r="GG384" s="4">
        <v>859</v>
      </c>
      <c r="GH384" s="4">
        <v>833</v>
      </c>
      <c r="GI384" s="4">
        <v>770</v>
      </c>
      <c r="GJ384" s="4">
        <v>723</v>
      </c>
      <c r="GK384" s="4">
        <v>685</v>
      </c>
      <c r="GL384" s="4">
        <v>643</v>
      </c>
      <c r="GM384" s="4">
        <v>608</v>
      </c>
      <c r="GN384" s="4">
        <v>583</v>
      </c>
      <c r="GO384" s="4">
        <v>561</v>
      </c>
      <c r="GP384" s="4">
        <v>539</v>
      </c>
      <c r="GQ384" s="4">
        <v>515</v>
      </c>
      <c r="GR384" s="4">
        <v>491</v>
      </c>
      <c r="GS384" s="4">
        <v>467</v>
      </c>
      <c r="GT384" s="4">
        <v>443</v>
      </c>
      <c r="GU384" s="4">
        <v>423</v>
      </c>
      <c r="GV384" s="4">
        <v>403</v>
      </c>
      <c r="GW384" s="4">
        <v>385</v>
      </c>
      <c r="GX384" s="4">
        <v>367</v>
      </c>
      <c r="GY384" s="4">
        <v>349</v>
      </c>
      <c r="GZ384" s="4">
        <v>331</v>
      </c>
      <c r="HA384" s="4">
        <v>313</v>
      </c>
      <c r="HB384" s="4">
        <v>295</v>
      </c>
      <c r="HC384" s="19">
        <v>6.4</v>
      </c>
      <c r="HD384" s="19">
        <v>7.8</v>
      </c>
      <c r="HE384" s="19">
        <v>12.7</v>
      </c>
      <c r="HF384" s="19">
        <v>13</v>
      </c>
      <c r="HG384" s="19">
        <v>16.2</v>
      </c>
      <c r="HH384" s="19">
        <v>17.4</v>
      </c>
      <c r="HI384" s="19">
        <v>19.3</v>
      </c>
      <c r="HJ384" s="19">
        <v>20.7</v>
      </c>
      <c r="HK384" s="19">
        <v>22.1</v>
      </c>
      <c r="HL384" s="19">
        <v>24.7</v>
      </c>
      <c r="HM384" s="19">
        <v>26.4</v>
      </c>
      <c r="HN384" s="19">
        <v>25.3</v>
      </c>
      <c r="HO384" s="19">
        <v>23.4</v>
      </c>
      <c r="HP384" s="19">
        <v>22.5</v>
      </c>
      <c r="HQ384" s="19">
        <v>22.4</v>
      </c>
      <c r="HR384" s="19">
        <v>22.3</v>
      </c>
      <c r="HS384" s="19">
        <v>23.4</v>
      </c>
      <c r="HT384" s="19">
        <v>23.3</v>
      </c>
      <c r="HU384" s="19">
        <v>23.5</v>
      </c>
      <c r="HV384" s="19">
        <v>22.4</v>
      </c>
      <c r="HW384" s="19">
        <v>21.4</v>
      </c>
      <c r="HX384" s="19">
        <v>20.4</v>
      </c>
      <c r="HY384" s="19">
        <v>19.4</v>
      </c>
      <c r="HZ384" s="19">
        <v>18.4</v>
      </c>
      <c r="IA384" s="19">
        <v>18.4</v>
      </c>
      <c r="IB384" s="19">
        <v>18.4</v>
      </c>
    </row>
    <row r="385">
      <c r="A385" s="2" t="s">
        <v>2404</v>
      </c>
      <c r="B385" s="2" t="s">
        <v>279</v>
      </c>
      <c r="C385" s="2" t="s">
        <v>2381</v>
      </c>
      <c r="D385" s="2" t="s">
        <v>281</v>
      </c>
      <c r="E385" s="2" t="s">
        <v>282</v>
      </c>
      <c r="F385" s="2" t="s">
        <v>2382</v>
      </c>
      <c r="G385" s="2" t="s">
        <v>2382</v>
      </c>
      <c r="H385" s="2" t="s">
        <v>2382</v>
      </c>
      <c r="I385" s="2" t="s">
        <v>2383</v>
      </c>
      <c r="J385" s="2" t="s">
        <v>256</v>
      </c>
      <c r="K385" s="2" t="s">
        <v>2393</v>
      </c>
      <c r="L385" s="3">
        <v>27.39</v>
      </c>
      <c r="M385" s="3">
        <v>28.76</v>
      </c>
      <c r="N385" s="3">
        <v>62.99</v>
      </c>
      <c r="O385" s="2" t="s">
        <v>230</v>
      </c>
      <c r="P385" s="2" t="s">
        <v>231</v>
      </c>
      <c r="Q385" s="2" t="s">
        <v>232</v>
      </c>
      <c r="R385" s="2" t="s">
        <v>233</v>
      </c>
      <c r="S385" s="2" t="s">
        <v>2394</v>
      </c>
      <c r="T385" s="2" t="s">
        <v>2310</v>
      </c>
      <c r="U385" s="2" t="s">
        <v>287</v>
      </c>
      <c r="V385" s="2" t="s">
        <v>1431</v>
      </c>
      <c r="W385" s="2" t="s">
        <v>237</v>
      </c>
      <c r="X385" s="2" t="s">
        <v>712</v>
      </c>
      <c r="Y385" s="2" t="s">
        <v>2395</v>
      </c>
      <c r="Z385" s="4">
        <v>442</v>
      </c>
      <c r="AA385" s="4">
        <f>=ROUNDDOWN(44.2,0)</f>
      </c>
      <c r="AB385" s="5">
        <v>10</v>
      </c>
      <c r="AC385" s="2" t="s">
        <v>140</v>
      </c>
      <c r="AD385" s="4">
        <v>215</v>
      </c>
      <c r="AE385" s="4">
        <v>222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233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233</v>
      </c>
      <c r="AW385" s="8" t="s">
        <v>233</v>
      </c>
      <c r="AX385" s="4" t="s">
        <v>233</v>
      </c>
      <c r="AY385" s="8" t="s">
        <v>233</v>
      </c>
      <c r="AZ385" s="7" t="s">
        <v>233</v>
      </c>
      <c r="BA385" s="7" t="s">
        <v>233</v>
      </c>
      <c r="BB385" s="7"/>
      <c r="BC385" s="4" t="s">
        <v>233</v>
      </c>
      <c r="BD385" s="8" t="s">
        <v>233</v>
      </c>
      <c r="BE385" s="4" t="s">
        <v>233</v>
      </c>
      <c r="BF385" s="8" t="s">
        <v>233</v>
      </c>
      <c r="BG385" s="7" t="s">
        <v>233</v>
      </c>
      <c r="BH385" s="7" t="s">
        <v>233</v>
      </c>
      <c r="BI385" s="7"/>
      <c r="BJ385" s="4">
        <v>49</v>
      </c>
      <c r="BK385" s="8">
        <v>1447.57</v>
      </c>
      <c r="BL385" s="2" t="s">
        <v>2405</v>
      </c>
      <c r="BM385" s="7"/>
      <c r="BN385" s="7"/>
      <c r="BO385" s="4"/>
      <c r="BP385" s="8"/>
      <c r="BQ385" s="4"/>
      <c r="BR385" s="8"/>
      <c r="BS385" s="7"/>
      <c r="BT385" s="7"/>
      <c r="BU385" s="2" t="s">
        <v>2387</v>
      </c>
      <c r="BV385" s="2" t="s">
        <v>233</v>
      </c>
      <c r="BW385" s="2" t="s">
        <v>233</v>
      </c>
      <c r="BX385" s="2" t="s">
        <v>241</v>
      </c>
      <c r="BY385" s="2" t="s">
        <v>242</v>
      </c>
      <c r="BZ385" s="2" t="s">
        <v>230</v>
      </c>
      <c r="CA385" s="2" t="s">
        <v>2396</v>
      </c>
      <c r="CB385" s="2" t="s">
        <v>2406</v>
      </c>
      <c r="CC385" s="2" t="s">
        <v>245</v>
      </c>
      <c r="CD385" s="2" t="s">
        <v>233</v>
      </c>
      <c r="CE385" s="4">
        <v>442</v>
      </c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>
        <v>215</v>
      </c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>
        <v>7</v>
      </c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>
        <v>451</v>
      </c>
      <c r="GD385" s="4">
        <v>386</v>
      </c>
      <c r="GE385" s="4">
        <v>583</v>
      </c>
      <c r="GF385" s="4">
        <v>560</v>
      </c>
      <c r="GG385" s="4">
        <v>520</v>
      </c>
      <c r="GH385" s="4">
        <v>508</v>
      </c>
      <c r="GI385" s="4">
        <v>489</v>
      </c>
      <c r="GJ385" s="4">
        <v>475</v>
      </c>
      <c r="GK385" s="4">
        <v>464</v>
      </c>
      <c r="GL385" s="4">
        <v>452</v>
      </c>
      <c r="GM385" s="4">
        <v>442</v>
      </c>
      <c r="GN385" s="4">
        <v>435</v>
      </c>
      <c r="GO385" s="4">
        <v>429</v>
      </c>
      <c r="GP385" s="4">
        <v>423</v>
      </c>
      <c r="GQ385" s="4">
        <v>417</v>
      </c>
      <c r="GR385" s="4">
        <v>411</v>
      </c>
      <c r="GS385" s="4">
        <v>405</v>
      </c>
      <c r="GT385" s="4">
        <v>399</v>
      </c>
      <c r="GU385" s="4">
        <v>394</v>
      </c>
      <c r="GV385" s="4">
        <v>389</v>
      </c>
      <c r="GW385" s="4">
        <v>384</v>
      </c>
      <c r="GX385" s="4">
        <v>379</v>
      </c>
      <c r="GY385" s="4">
        <v>374</v>
      </c>
      <c r="GZ385" s="4">
        <v>369</v>
      </c>
      <c r="HA385" s="4">
        <v>364</v>
      </c>
      <c r="HB385" s="4">
        <v>359</v>
      </c>
      <c r="HC385" s="19">
        <v>12.5</v>
      </c>
      <c r="HD385" s="19">
        <v>15.4</v>
      </c>
      <c r="HE385" s="19">
        <v>23.3</v>
      </c>
      <c r="HF385" s="19">
        <v>24.3</v>
      </c>
      <c r="HG385" s="19">
        <v>32.5</v>
      </c>
      <c r="HH385" s="19">
        <v>36.3</v>
      </c>
      <c r="HI385" s="19">
        <v>40.8</v>
      </c>
      <c r="HJ385" s="19">
        <v>47.5</v>
      </c>
      <c r="HK385" s="19">
        <v>51.6</v>
      </c>
      <c r="HL385" s="19">
        <v>64.6</v>
      </c>
      <c r="HM385" s="19">
        <v>73.7</v>
      </c>
      <c r="HN385" s="19">
        <v>72.5</v>
      </c>
      <c r="HO385" s="19">
        <v>71.5</v>
      </c>
      <c r="HP385" s="19">
        <v>70.5</v>
      </c>
      <c r="HQ385" s="19">
        <v>69.5</v>
      </c>
      <c r="HR385" s="19">
        <v>68.5</v>
      </c>
      <c r="HS385" s="19">
        <v>81</v>
      </c>
      <c r="HT385" s="19">
        <v>79.8</v>
      </c>
      <c r="HU385" s="19">
        <v>78.8</v>
      </c>
      <c r="HV385" s="19">
        <v>77.8</v>
      </c>
      <c r="HW385" s="19">
        <v>76.8</v>
      </c>
      <c r="HX385" s="19">
        <v>75.8</v>
      </c>
      <c r="HY385" s="19">
        <v>74.8</v>
      </c>
      <c r="HZ385" s="19">
        <v>73.8</v>
      </c>
      <c r="IA385" s="19">
        <v>91</v>
      </c>
      <c r="IB385" s="19">
        <v>89.8</v>
      </c>
    </row>
    <row r="386">
      <c r="A386" s="2" t="s">
        <v>2407</v>
      </c>
      <c r="B386" s="2" t="s">
        <v>279</v>
      </c>
      <c r="C386" s="2" t="s">
        <v>2381</v>
      </c>
      <c r="D386" s="2" t="s">
        <v>281</v>
      </c>
      <c r="E386" s="2" t="s">
        <v>282</v>
      </c>
      <c r="F386" s="2" t="s">
        <v>2382</v>
      </c>
      <c r="G386" s="2" t="s">
        <v>2382</v>
      </c>
      <c r="H386" s="2" t="s">
        <v>2382</v>
      </c>
      <c r="I386" s="2" t="s">
        <v>2383</v>
      </c>
      <c r="J386" s="2" t="s">
        <v>228</v>
      </c>
      <c r="K386" s="2" t="s">
        <v>2408</v>
      </c>
      <c r="L386" s="3">
        <v>14.89</v>
      </c>
      <c r="M386" s="3">
        <v>15.63</v>
      </c>
      <c r="N386" s="3">
        <v>31.99</v>
      </c>
      <c r="O386" s="2" t="s">
        <v>230</v>
      </c>
      <c r="P386" s="2" t="s">
        <v>231</v>
      </c>
      <c r="Q386" s="2" t="s">
        <v>232</v>
      </c>
      <c r="R386" s="2" t="s">
        <v>233</v>
      </c>
      <c r="S386" s="2" t="s">
        <v>2409</v>
      </c>
      <c r="T386" s="2" t="s">
        <v>2310</v>
      </c>
      <c r="U386" s="2" t="s">
        <v>781</v>
      </c>
      <c r="V386" s="2" t="s">
        <v>2311</v>
      </c>
      <c r="W386" s="2" t="s">
        <v>237</v>
      </c>
      <c r="X386" s="2" t="s">
        <v>915</v>
      </c>
      <c r="Y386" s="2" t="s">
        <v>2410</v>
      </c>
      <c r="Z386" s="4">
        <v>558</v>
      </c>
      <c r="AA386" s="4">
        <f>=ROUNDDOWN(11.16,0)</f>
      </c>
      <c r="AB386" s="5">
        <v>50</v>
      </c>
      <c r="AC386" s="2" t="s">
        <v>2411</v>
      </c>
      <c r="AD386" s="4">
        <v>250</v>
      </c>
      <c r="AE386" s="4">
        <v>350</v>
      </c>
      <c r="AF386" s="6">
        <v>65</v>
      </c>
      <c r="AG386" s="6"/>
      <c r="AH386" s="7">
        <v>0.5161</v>
      </c>
      <c r="AI386" s="4"/>
      <c r="AJ386" s="4">
        <f>=ROUNDDOWN({0},0)</f>
      </c>
      <c r="AK386" s="5"/>
      <c r="AL386" s="2" t="s">
        <v>233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233</v>
      </c>
      <c r="AW386" s="8" t="s">
        <v>233</v>
      </c>
      <c r="AX386" s="4" t="s">
        <v>233</v>
      </c>
      <c r="AY386" s="8" t="s">
        <v>233</v>
      </c>
      <c r="AZ386" s="7" t="s">
        <v>233</v>
      </c>
      <c r="BA386" s="7" t="s">
        <v>233</v>
      </c>
      <c r="BB386" s="7"/>
      <c r="BC386" s="4" t="s">
        <v>233</v>
      </c>
      <c r="BD386" s="8" t="s">
        <v>233</v>
      </c>
      <c r="BE386" s="4" t="s">
        <v>233</v>
      </c>
      <c r="BF386" s="8" t="s">
        <v>233</v>
      </c>
      <c r="BG386" s="7" t="s">
        <v>233</v>
      </c>
      <c r="BH386" s="7" t="s">
        <v>233</v>
      </c>
      <c r="BI386" s="7"/>
      <c r="BJ386" s="4">
        <v>1276</v>
      </c>
      <c r="BK386" s="8">
        <v>20179.44</v>
      </c>
      <c r="BL386" s="2" t="s">
        <v>2412</v>
      </c>
      <c r="BM386" s="7"/>
      <c r="BN386" s="7"/>
      <c r="BO386" s="4"/>
      <c r="BP386" s="8"/>
      <c r="BQ386" s="4"/>
      <c r="BR386" s="8"/>
      <c r="BS386" s="7"/>
      <c r="BT386" s="7"/>
      <c r="BU386" s="2" t="s">
        <v>2387</v>
      </c>
      <c r="BV386" s="2" t="s">
        <v>233</v>
      </c>
      <c r="BW386" s="2" t="s">
        <v>233</v>
      </c>
      <c r="BX386" s="2" t="s">
        <v>241</v>
      </c>
      <c r="BY386" s="2" t="s">
        <v>242</v>
      </c>
      <c r="BZ386" s="2" t="s">
        <v>230</v>
      </c>
      <c r="CA386" s="2" t="s">
        <v>2413</v>
      </c>
      <c r="CB386" s="2" t="s">
        <v>2406</v>
      </c>
      <c r="CC386" s="2" t="s">
        <v>245</v>
      </c>
      <c r="CD386" s="2" t="s">
        <v>233</v>
      </c>
      <c r="CE386" s="4">
        <v>558</v>
      </c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>
        <v>250</v>
      </c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>
        <v>100</v>
      </c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>
        <v>563</v>
      </c>
      <c r="GD386" s="4">
        <v>115</v>
      </c>
      <c r="GE386" s="4">
        <v>32</v>
      </c>
      <c r="GF386" s="4"/>
      <c r="GG386" s="4"/>
      <c r="GH386" s="4"/>
      <c r="GI386" s="4"/>
      <c r="GJ386" s="4"/>
      <c r="GK386" s="4"/>
      <c r="GL386" s="4"/>
      <c r="GM386" s="4"/>
      <c r="GN386" s="4">
        <v>250</v>
      </c>
      <c r="GO386" s="4">
        <v>70</v>
      </c>
      <c r="GP386" s="4">
        <v>43</v>
      </c>
      <c r="GQ386" s="4">
        <v>15</v>
      </c>
      <c r="GR386" s="4"/>
      <c r="GS386" s="4">
        <v>100</v>
      </c>
      <c r="GT386" s="4">
        <v>42</v>
      </c>
      <c r="GU386" s="4">
        <v>17</v>
      </c>
      <c r="GV386" s="4">
        <v>206</v>
      </c>
      <c r="GW386" s="4">
        <v>176</v>
      </c>
      <c r="GX386" s="4">
        <v>154</v>
      </c>
      <c r="GY386" s="4">
        <v>132</v>
      </c>
      <c r="GZ386" s="4">
        <v>186</v>
      </c>
      <c r="HA386" s="4">
        <v>164</v>
      </c>
      <c r="HB386" s="4">
        <v>142</v>
      </c>
      <c r="HC386" s="19">
        <v>3.3</v>
      </c>
      <c r="HD386" s="19">
        <v>1.6</v>
      </c>
      <c r="HE386" s="19">
        <v>0.5</v>
      </c>
      <c r="HF386" s="20">
        <v>0</v>
      </c>
      <c r="HG386" s="20">
        <v>0</v>
      </c>
      <c r="HH386" s="20">
        <v>0</v>
      </c>
      <c r="HI386" s="20">
        <v>0</v>
      </c>
      <c r="HJ386" s="20">
        <v>0</v>
      </c>
      <c r="HK386" s="20">
        <v>0</v>
      </c>
      <c r="HL386" s="20">
        <v>0</v>
      </c>
      <c r="HM386" s="20">
        <v>0</v>
      </c>
      <c r="HN386" s="19">
        <v>4</v>
      </c>
      <c r="HO386" s="19">
        <v>3.5</v>
      </c>
      <c r="HP386" s="19">
        <v>1.5</v>
      </c>
      <c r="HQ386" s="19">
        <v>0.6</v>
      </c>
      <c r="HR386" s="20">
        <v>0</v>
      </c>
      <c r="HS386" s="19">
        <v>3.1</v>
      </c>
      <c r="HT386" s="19">
        <v>1.8</v>
      </c>
      <c r="HU386" s="19">
        <v>0.7</v>
      </c>
      <c r="HV386" s="19">
        <v>8.6</v>
      </c>
      <c r="HW386" s="19">
        <v>8</v>
      </c>
      <c r="HX386" s="19">
        <v>7</v>
      </c>
      <c r="HY386" s="19">
        <v>6</v>
      </c>
      <c r="HZ386" s="19">
        <v>8.5</v>
      </c>
      <c r="IA386" s="19">
        <v>7.8</v>
      </c>
      <c r="IB386" s="19">
        <v>7.1</v>
      </c>
    </row>
    <row r="387">
      <c r="A387" s="2" t="s">
        <v>2414</v>
      </c>
      <c r="B387" s="2" t="s">
        <v>279</v>
      </c>
      <c r="C387" s="2" t="s">
        <v>2381</v>
      </c>
      <c r="D387" s="2" t="s">
        <v>281</v>
      </c>
      <c r="E387" s="2" t="s">
        <v>282</v>
      </c>
      <c r="F387" s="2" t="s">
        <v>2382</v>
      </c>
      <c r="G387" s="2" t="s">
        <v>2382</v>
      </c>
      <c r="H387" s="2" t="s">
        <v>2382</v>
      </c>
      <c r="I387" s="2" t="s">
        <v>2383</v>
      </c>
      <c r="J387" s="2" t="s">
        <v>336</v>
      </c>
      <c r="K387" s="2" t="s">
        <v>2408</v>
      </c>
      <c r="L387" s="3">
        <v>22.21</v>
      </c>
      <c r="M387" s="3">
        <v>23.32</v>
      </c>
      <c r="N387" s="3">
        <v>47.99</v>
      </c>
      <c r="O387" s="2" t="s">
        <v>230</v>
      </c>
      <c r="P387" s="2" t="s">
        <v>597</v>
      </c>
      <c r="Q387" s="2" t="s">
        <v>232</v>
      </c>
      <c r="R387" s="2" t="s">
        <v>233</v>
      </c>
      <c r="S387" s="2" t="s">
        <v>2409</v>
      </c>
      <c r="T387" s="2" t="s">
        <v>2310</v>
      </c>
      <c r="U387" s="2" t="s">
        <v>287</v>
      </c>
      <c r="V387" s="2" t="s">
        <v>2311</v>
      </c>
      <c r="W387" s="2" t="s">
        <v>237</v>
      </c>
      <c r="X387" s="2" t="s">
        <v>915</v>
      </c>
      <c r="Y387" s="2" t="s">
        <v>2410</v>
      </c>
      <c r="Z387" s="4">
        <v>550</v>
      </c>
      <c r="AA387" s="4">
        <f>=ROUNDDOWN(10.7843137254902,0)</f>
      </c>
      <c r="AB387" s="5">
        <v>51</v>
      </c>
      <c r="AC387" s="2" t="s">
        <v>2411</v>
      </c>
      <c r="AD387" s="4">
        <v>260</v>
      </c>
      <c r="AE387" s="4">
        <v>260</v>
      </c>
      <c r="AF387" s="6">
        <v>65</v>
      </c>
      <c r="AG387" s="6"/>
      <c r="AH387" s="7">
        <v>0.5484</v>
      </c>
      <c r="AI387" s="4"/>
      <c r="AJ387" s="4">
        <f>=ROUNDDOWN({0},0)</f>
      </c>
      <c r="AK387" s="5"/>
      <c r="AL387" s="2" t="s">
        <v>233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233</v>
      </c>
      <c r="AW387" s="8" t="s">
        <v>233</v>
      </c>
      <c r="AX387" s="4" t="s">
        <v>233</v>
      </c>
      <c r="AY387" s="8" t="s">
        <v>233</v>
      </c>
      <c r="AZ387" s="7" t="s">
        <v>233</v>
      </c>
      <c r="BA387" s="7" t="s">
        <v>233</v>
      </c>
      <c r="BB387" s="7"/>
      <c r="BC387" s="4" t="s">
        <v>233</v>
      </c>
      <c r="BD387" s="8" t="s">
        <v>233</v>
      </c>
      <c r="BE387" s="4" t="s">
        <v>233</v>
      </c>
      <c r="BF387" s="8" t="s">
        <v>233</v>
      </c>
      <c r="BG387" s="7" t="s">
        <v>233</v>
      </c>
      <c r="BH387" s="7" t="s">
        <v>233</v>
      </c>
      <c r="BI387" s="7"/>
      <c r="BJ387" s="4">
        <v>1481</v>
      </c>
      <c r="BK387" s="8">
        <v>35118.05</v>
      </c>
      <c r="BL387" s="2" t="s">
        <v>2415</v>
      </c>
      <c r="BM387" s="7"/>
      <c r="BN387" s="7"/>
      <c r="BO387" s="4"/>
      <c r="BP387" s="8"/>
      <c r="BQ387" s="4"/>
      <c r="BR387" s="8"/>
      <c r="BS387" s="7"/>
      <c r="BT387" s="7"/>
      <c r="BU387" s="2" t="s">
        <v>2387</v>
      </c>
      <c r="BV387" s="2" t="s">
        <v>233</v>
      </c>
      <c r="BW387" s="2" t="s">
        <v>233</v>
      </c>
      <c r="BX387" s="2" t="s">
        <v>241</v>
      </c>
      <c r="BY387" s="2" t="s">
        <v>242</v>
      </c>
      <c r="BZ387" s="2" t="s">
        <v>230</v>
      </c>
      <c r="CA387" s="2" t="s">
        <v>2416</v>
      </c>
      <c r="CB387" s="2" t="s">
        <v>2417</v>
      </c>
      <c r="CC387" s="2" t="s">
        <v>245</v>
      </c>
      <c r="CD387" s="2" t="s">
        <v>233</v>
      </c>
      <c r="CE387" s="4">
        <v>550</v>
      </c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>
        <v>260</v>
      </c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>
        <v>560</v>
      </c>
      <c r="GD387" s="4">
        <v>127</v>
      </c>
      <c r="GE387" s="4">
        <v>45</v>
      </c>
      <c r="GF387" s="4"/>
      <c r="GG387" s="4"/>
      <c r="GH387" s="4"/>
      <c r="GI387" s="4"/>
      <c r="GJ387" s="4"/>
      <c r="GK387" s="4"/>
      <c r="GL387" s="4"/>
      <c r="GM387" s="4"/>
      <c r="GN387" s="4">
        <v>260</v>
      </c>
      <c r="GO387" s="4">
        <v>46</v>
      </c>
      <c r="GP387" s="4">
        <v>19</v>
      </c>
      <c r="GQ387" s="4"/>
      <c r="GR387" s="4"/>
      <c r="GS387" s="4"/>
      <c r="GT387" s="4"/>
      <c r="GU387" s="4"/>
      <c r="GV387" s="4">
        <v>345</v>
      </c>
      <c r="GW387" s="4">
        <v>210</v>
      </c>
      <c r="GX387" s="4">
        <v>189</v>
      </c>
      <c r="GY387" s="4">
        <v>168</v>
      </c>
      <c r="GZ387" s="4">
        <v>223</v>
      </c>
      <c r="HA387" s="4">
        <v>202</v>
      </c>
      <c r="HB387" s="4">
        <v>181</v>
      </c>
      <c r="HC387" s="19">
        <v>3.6</v>
      </c>
      <c r="HD387" s="19">
        <v>2.4</v>
      </c>
      <c r="HE387" s="19">
        <v>1.1</v>
      </c>
      <c r="HF387" s="20">
        <v>0</v>
      </c>
      <c r="HG387" s="20">
        <v>0</v>
      </c>
      <c r="HH387" s="20">
        <v>0</v>
      </c>
      <c r="HI387" s="20">
        <v>0</v>
      </c>
      <c r="HJ387" s="20">
        <v>0</v>
      </c>
      <c r="HK387" s="20">
        <v>0</v>
      </c>
      <c r="HL387" s="20">
        <v>0</v>
      </c>
      <c r="HM387" s="20">
        <v>0</v>
      </c>
      <c r="HN387" s="19">
        <v>3.9</v>
      </c>
      <c r="HO387" s="19">
        <v>3.1</v>
      </c>
      <c r="HP387" s="19">
        <v>1.9</v>
      </c>
      <c r="HQ387" s="20">
        <v>0</v>
      </c>
      <c r="HR387" s="20">
        <v>0</v>
      </c>
      <c r="HS387" s="20">
        <v>0</v>
      </c>
      <c r="HT387" s="20">
        <v>0</v>
      </c>
      <c r="HU387" s="20">
        <v>0</v>
      </c>
      <c r="HV387" s="19">
        <v>6.9</v>
      </c>
      <c r="HW387" s="19">
        <v>10</v>
      </c>
      <c r="HX387" s="19">
        <v>9</v>
      </c>
      <c r="HY387" s="19">
        <v>8</v>
      </c>
      <c r="HZ387" s="19">
        <v>10.6</v>
      </c>
      <c r="IA387" s="19">
        <v>10.1</v>
      </c>
      <c r="IB387" s="19">
        <v>9.1</v>
      </c>
    </row>
    <row r="388">
      <c r="A388" s="2" t="s">
        <v>2418</v>
      </c>
      <c r="B388" s="2" t="s">
        <v>279</v>
      </c>
      <c r="C388" s="2" t="s">
        <v>2381</v>
      </c>
      <c r="D388" s="2" t="s">
        <v>281</v>
      </c>
      <c r="E388" s="2" t="s">
        <v>282</v>
      </c>
      <c r="F388" s="2" t="s">
        <v>2382</v>
      </c>
      <c r="G388" s="2" t="s">
        <v>2382</v>
      </c>
      <c r="H388" s="2" t="s">
        <v>2382</v>
      </c>
      <c r="I388" s="2" t="s">
        <v>2383</v>
      </c>
      <c r="J388" s="2" t="s">
        <v>228</v>
      </c>
      <c r="K388" s="2" t="s">
        <v>2419</v>
      </c>
      <c r="L388" s="3">
        <v>14.89</v>
      </c>
      <c r="M388" s="3">
        <v>15.63</v>
      </c>
      <c r="N388" s="3">
        <v>31.99</v>
      </c>
      <c r="O388" s="2" t="s">
        <v>230</v>
      </c>
      <c r="P388" s="2" t="s">
        <v>231</v>
      </c>
      <c r="Q388" s="2" t="s">
        <v>232</v>
      </c>
      <c r="R388" s="2" t="s">
        <v>233</v>
      </c>
      <c r="S388" s="2" t="s">
        <v>2420</v>
      </c>
      <c r="T388" s="2" t="s">
        <v>2310</v>
      </c>
      <c r="U388" s="2" t="s">
        <v>233</v>
      </c>
      <c r="V388" s="2" t="s">
        <v>782</v>
      </c>
      <c r="W388" s="2" t="s">
        <v>237</v>
      </c>
      <c r="X388" s="2" t="s">
        <v>233</v>
      </c>
      <c r="Y388" s="2" t="s">
        <v>2302</v>
      </c>
      <c r="Z388" s="4">
        <v>1228</v>
      </c>
      <c r="AA388" s="4">
        <f>=ROUNDDOWN(58.4761904761905,0)</f>
      </c>
      <c r="AB388" s="5">
        <v>21</v>
      </c>
      <c r="AC388" s="2" t="s">
        <v>233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233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233</v>
      </c>
      <c r="AW388" s="8" t="s">
        <v>233</v>
      </c>
      <c r="AX388" s="4" t="s">
        <v>233</v>
      </c>
      <c r="AY388" s="8" t="s">
        <v>233</v>
      </c>
      <c r="AZ388" s="7" t="s">
        <v>233</v>
      </c>
      <c r="BA388" s="7" t="s">
        <v>233</v>
      </c>
      <c r="BB388" s="7"/>
      <c r="BC388" s="4" t="s">
        <v>233</v>
      </c>
      <c r="BD388" s="8" t="s">
        <v>233</v>
      </c>
      <c r="BE388" s="4" t="s">
        <v>233</v>
      </c>
      <c r="BF388" s="8" t="s">
        <v>233</v>
      </c>
      <c r="BG388" s="7" t="s">
        <v>233</v>
      </c>
      <c r="BH388" s="7" t="s">
        <v>233</v>
      </c>
      <c r="BI388" s="7"/>
      <c r="BJ388" s="4">
        <v>133</v>
      </c>
      <c r="BK388" s="8">
        <v>2214.65</v>
      </c>
      <c r="BL388" s="2" t="s">
        <v>2421</v>
      </c>
      <c r="BM388" s="7"/>
      <c r="BN388" s="7"/>
      <c r="BO388" s="4"/>
      <c r="BP388" s="8"/>
      <c r="BQ388" s="4"/>
      <c r="BR388" s="8"/>
      <c r="BS388" s="7"/>
      <c r="BT388" s="7"/>
      <c r="BU388" s="2" t="s">
        <v>2387</v>
      </c>
      <c r="BV388" s="2" t="s">
        <v>233</v>
      </c>
      <c r="BW388" s="2" t="s">
        <v>233</v>
      </c>
      <c r="BX388" s="2" t="s">
        <v>241</v>
      </c>
      <c r="BY388" s="2" t="s">
        <v>242</v>
      </c>
      <c r="BZ388" s="2" t="s">
        <v>230</v>
      </c>
      <c r="CA388" s="2" t="s">
        <v>1460</v>
      </c>
      <c r="CB388" s="2" t="s">
        <v>2422</v>
      </c>
      <c r="CC388" s="2" t="s">
        <v>245</v>
      </c>
      <c r="CD388" s="2" t="s">
        <v>233</v>
      </c>
      <c r="CE388" s="4">
        <v>1227</v>
      </c>
      <c r="CF388" s="4"/>
      <c r="CG388" s="4"/>
      <c r="CH388" s="4"/>
      <c r="CI388" s="4"/>
      <c r="CJ388" s="4"/>
      <c r="CK388" s="4">
        <v>1</v>
      </c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>
        <v>1282</v>
      </c>
      <c r="GD388" s="4">
        <v>1191</v>
      </c>
      <c r="GE388" s="4">
        <v>1153</v>
      </c>
      <c r="GF388" s="4">
        <v>1104</v>
      </c>
      <c r="GG388" s="4">
        <v>1017</v>
      </c>
      <c r="GH388" s="4">
        <v>974</v>
      </c>
      <c r="GI388" s="4">
        <v>933</v>
      </c>
      <c r="GJ388" s="4">
        <v>904</v>
      </c>
      <c r="GK388" s="4">
        <v>881</v>
      </c>
      <c r="GL388" s="4">
        <v>855</v>
      </c>
      <c r="GM388" s="4">
        <v>835</v>
      </c>
      <c r="GN388" s="4">
        <v>821</v>
      </c>
      <c r="GO388" s="4">
        <v>809</v>
      </c>
      <c r="GP388" s="4">
        <v>797</v>
      </c>
      <c r="GQ388" s="4">
        <v>784</v>
      </c>
      <c r="GR388" s="4">
        <v>771</v>
      </c>
      <c r="GS388" s="4">
        <v>758</v>
      </c>
      <c r="GT388" s="4">
        <v>745</v>
      </c>
      <c r="GU388" s="4">
        <v>734</v>
      </c>
      <c r="GV388" s="4">
        <v>723</v>
      </c>
      <c r="GW388" s="4">
        <v>713</v>
      </c>
      <c r="GX388" s="4">
        <v>703</v>
      </c>
      <c r="GY388" s="4">
        <v>693</v>
      </c>
      <c r="GZ388" s="4">
        <v>683</v>
      </c>
      <c r="HA388" s="4">
        <v>673</v>
      </c>
      <c r="HB388" s="4">
        <v>663</v>
      </c>
      <c r="HC388" s="19">
        <v>19.4</v>
      </c>
      <c r="HD388" s="19">
        <v>22.1</v>
      </c>
      <c r="HE388" s="19">
        <v>21</v>
      </c>
      <c r="HF388" s="19">
        <v>22.1</v>
      </c>
      <c r="HG388" s="19">
        <v>29.9</v>
      </c>
      <c r="HH388" s="19">
        <v>32.5</v>
      </c>
      <c r="HI388" s="19">
        <v>38.9</v>
      </c>
      <c r="HJ388" s="19">
        <v>43</v>
      </c>
      <c r="HK388" s="19">
        <v>48.9</v>
      </c>
      <c r="HL388" s="19">
        <v>61.1</v>
      </c>
      <c r="HM388" s="19">
        <v>64.2</v>
      </c>
      <c r="HN388" s="19">
        <v>68.4</v>
      </c>
      <c r="HO388" s="19">
        <v>62.2</v>
      </c>
      <c r="HP388" s="19">
        <v>61.3</v>
      </c>
      <c r="HQ388" s="19">
        <v>65.3</v>
      </c>
      <c r="HR388" s="19">
        <v>64.3</v>
      </c>
      <c r="HS388" s="19">
        <v>68.9</v>
      </c>
      <c r="HT388" s="19">
        <v>74.5</v>
      </c>
      <c r="HU388" s="19">
        <v>73.4</v>
      </c>
      <c r="HV388" s="19">
        <v>72.3</v>
      </c>
      <c r="HW388" s="19">
        <v>71.3</v>
      </c>
      <c r="HX388" s="19">
        <v>70.3</v>
      </c>
      <c r="HY388" s="19">
        <v>69.3</v>
      </c>
      <c r="HZ388" s="19">
        <v>68.3</v>
      </c>
      <c r="IA388" s="19">
        <v>74.8</v>
      </c>
      <c r="IB388" s="19">
        <v>82.9</v>
      </c>
    </row>
    <row r="389">
      <c r="A389" s="2" t="s">
        <v>2423</v>
      </c>
      <c r="B389" s="2" t="s">
        <v>279</v>
      </c>
      <c r="C389" s="2" t="s">
        <v>2381</v>
      </c>
      <c r="D389" s="2" t="s">
        <v>281</v>
      </c>
      <c r="E389" s="2" t="s">
        <v>282</v>
      </c>
      <c r="F389" s="2" t="s">
        <v>2382</v>
      </c>
      <c r="G389" s="2" t="s">
        <v>2382</v>
      </c>
      <c r="H389" s="2" t="s">
        <v>2382</v>
      </c>
      <c r="I389" s="2" t="s">
        <v>2383</v>
      </c>
      <c r="J389" s="2" t="s">
        <v>252</v>
      </c>
      <c r="K389" s="2" t="s">
        <v>2419</v>
      </c>
      <c r="L389" s="3">
        <v>19.57</v>
      </c>
      <c r="M389" s="3">
        <v>20.55</v>
      </c>
      <c r="N389" s="3">
        <v>42.99</v>
      </c>
      <c r="O389" s="2" t="s">
        <v>230</v>
      </c>
      <c r="P389" s="2" t="s">
        <v>231</v>
      </c>
      <c r="Q389" s="2" t="s">
        <v>232</v>
      </c>
      <c r="R389" s="2" t="s">
        <v>233</v>
      </c>
      <c r="S389" s="2" t="s">
        <v>2420</v>
      </c>
      <c r="T389" s="2" t="s">
        <v>2310</v>
      </c>
      <c r="U389" s="2" t="s">
        <v>233</v>
      </c>
      <c r="V389" s="2" t="s">
        <v>782</v>
      </c>
      <c r="W389" s="2" t="s">
        <v>237</v>
      </c>
      <c r="X389" s="2" t="s">
        <v>233</v>
      </c>
      <c r="Y389" s="2" t="s">
        <v>2302</v>
      </c>
      <c r="Z389" s="4">
        <v>756</v>
      </c>
      <c r="AA389" s="4">
        <f>=ROUNDDOWN(47.25,0)</f>
      </c>
      <c r="AB389" s="5">
        <v>16</v>
      </c>
      <c r="AC389" s="2" t="s">
        <v>233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233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233</v>
      </c>
      <c r="AW389" s="8" t="s">
        <v>233</v>
      </c>
      <c r="AX389" s="4" t="s">
        <v>233</v>
      </c>
      <c r="AY389" s="8" t="s">
        <v>233</v>
      </c>
      <c r="AZ389" s="7" t="s">
        <v>233</v>
      </c>
      <c r="BA389" s="7" t="s">
        <v>233</v>
      </c>
      <c r="BB389" s="7"/>
      <c r="BC389" s="4" t="s">
        <v>233</v>
      </c>
      <c r="BD389" s="8" t="s">
        <v>233</v>
      </c>
      <c r="BE389" s="4" t="s">
        <v>233</v>
      </c>
      <c r="BF389" s="8" t="s">
        <v>233</v>
      </c>
      <c r="BG389" s="7" t="s">
        <v>233</v>
      </c>
      <c r="BH389" s="7" t="s">
        <v>233</v>
      </c>
      <c r="BI389" s="7"/>
      <c r="BJ389" s="4">
        <v>55</v>
      </c>
      <c r="BK389" s="8">
        <v>1173.1</v>
      </c>
      <c r="BL389" s="2" t="s">
        <v>1066</v>
      </c>
      <c r="BM389" s="7"/>
      <c r="BN389" s="7"/>
      <c r="BO389" s="4"/>
      <c r="BP389" s="8"/>
      <c r="BQ389" s="4"/>
      <c r="BR389" s="8"/>
      <c r="BS389" s="7"/>
      <c r="BT389" s="7"/>
      <c r="BU389" s="2" t="s">
        <v>2387</v>
      </c>
      <c r="BV389" s="2" t="s">
        <v>233</v>
      </c>
      <c r="BW389" s="2" t="s">
        <v>233</v>
      </c>
      <c r="BX389" s="2" t="s">
        <v>241</v>
      </c>
      <c r="BY389" s="2" t="s">
        <v>242</v>
      </c>
      <c r="BZ389" s="2" t="s">
        <v>230</v>
      </c>
      <c r="CA389" s="2" t="s">
        <v>1460</v>
      </c>
      <c r="CB389" s="2" t="s">
        <v>2424</v>
      </c>
      <c r="CC389" s="2" t="s">
        <v>245</v>
      </c>
      <c r="CD389" s="2" t="s">
        <v>233</v>
      </c>
      <c r="CE389" s="4">
        <v>755</v>
      </c>
      <c r="CF389" s="4"/>
      <c r="CG389" s="4"/>
      <c r="CH389" s="4"/>
      <c r="CI389" s="4"/>
      <c r="CJ389" s="4"/>
      <c r="CK389" s="4">
        <v>1</v>
      </c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>
        <v>770</v>
      </c>
      <c r="GD389" s="4">
        <v>667</v>
      </c>
      <c r="GE389" s="4">
        <v>639</v>
      </c>
      <c r="GF389" s="4">
        <v>605</v>
      </c>
      <c r="GG389" s="4">
        <v>549</v>
      </c>
      <c r="GH389" s="4">
        <v>521</v>
      </c>
      <c r="GI389" s="4">
        <v>494</v>
      </c>
      <c r="GJ389" s="4">
        <v>474</v>
      </c>
      <c r="GK389" s="4">
        <v>458</v>
      </c>
      <c r="GL389" s="4">
        <v>440</v>
      </c>
      <c r="GM389" s="4">
        <v>425</v>
      </c>
      <c r="GN389" s="4">
        <v>415</v>
      </c>
      <c r="GO389" s="4">
        <v>406</v>
      </c>
      <c r="GP389" s="4">
        <v>397</v>
      </c>
      <c r="GQ389" s="4">
        <v>387</v>
      </c>
      <c r="GR389" s="4">
        <v>377</v>
      </c>
      <c r="GS389" s="4">
        <v>367</v>
      </c>
      <c r="GT389" s="4">
        <v>357</v>
      </c>
      <c r="GU389" s="4">
        <v>349</v>
      </c>
      <c r="GV389" s="4">
        <v>341</v>
      </c>
      <c r="GW389" s="4">
        <v>334</v>
      </c>
      <c r="GX389" s="4">
        <v>327</v>
      </c>
      <c r="GY389" s="4">
        <v>320</v>
      </c>
      <c r="GZ389" s="4">
        <v>313</v>
      </c>
      <c r="HA389" s="4">
        <v>306</v>
      </c>
      <c r="HB389" s="4">
        <v>299</v>
      </c>
      <c r="HC389" s="19">
        <v>14</v>
      </c>
      <c r="HD389" s="19">
        <v>18.5</v>
      </c>
      <c r="HE389" s="19">
        <v>17.8</v>
      </c>
      <c r="HF389" s="19">
        <v>18.3</v>
      </c>
      <c r="HG389" s="19">
        <v>23.9</v>
      </c>
      <c r="HH389" s="19">
        <v>26.1</v>
      </c>
      <c r="HI389" s="19">
        <v>29.1</v>
      </c>
      <c r="HJ389" s="19">
        <v>31.6</v>
      </c>
      <c r="HK389" s="19">
        <v>35.2</v>
      </c>
      <c r="HL389" s="19">
        <v>40</v>
      </c>
      <c r="HM389" s="19">
        <v>42.5</v>
      </c>
      <c r="HN389" s="19">
        <v>41.5</v>
      </c>
      <c r="HO389" s="19">
        <v>40.6</v>
      </c>
      <c r="HP389" s="19">
        <v>39.7</v>
      </c>
      <c r="HQ389" s="19">
        <v>38.7</v>
      </c>
      <c r="HR389" s="19">
        <v>41.9</v>
      </c>
      <c r="HS389" s="19">
        <v>45.9</v>
      </c>
      <c r="HT389" s="19">
        <v>44.6</v>
      </c>
      <c r="HU389" s="19">
        <v>49.9</v>
      </c>
      <c r="HV389" s="19">
        <v>48.7</v>
      </c>
      <c r="HW389" s="19">
        <v>47.7</v>
      </c>
      <c r="HX389" s="19">
        <v>46.7</v>
      </c>
      <c r="HY389" s="19">
        <v>45.7</v>
      </c>
      <c r="HZ389" s="19">
        <v>44.7</v>
      </c>
      <c r="IA389" s="19">
        <v>51</v>
      </c>
      <c r="IB389" s="19">
        <v>49.8</v>
      </c>
    </row>
    <row r="390">
      <c r="A390" s="2" t="s">
        <v>2425</v>
      </c>
      <c r="B390" s="2" t="s">
        <v>279</v>
      </c>
      <c r="C390" s="2" t="s">
        <v>2381</v>
      </c>
      <c r="D390" s="2" t="s">
        <v>281</v>
      </c>
      <c r="E390" s="2" t="s">
        <v>282</v>
      </c>
      <c r="F390" s="2" t="s">
        <v>2382</v>
      </c>
      <c r="G390" s="2" t="s">
        <v>2382</v>
      </c>
      <c r="H390" s="2" t="s">
        <v>2382</v>
      </c>
      <c r="I390" s="2" t="s">
        <v>2383</v>
      </c>
      <c r="J390" s="2" t="s">
        <v>228</v>
      </c>
      <c r="K390" s="2" t="s">
        <v>2426</v>
      </c>
      <c r="L390" s="3">
        <v>14.89</v>
      </c>
      <c r="M390" s="3">
        <v>15.63</v>
      </c>
      <c r="N390" s="3">
        <v>31.99</v>
      </c>
      <c r="O390" s="2" t="s">
        <v>230</v>
      </c>
      <c r="P390" s="2" t="s">
        <v>1302</v>
      </c>
      <c r="Q390" s="2" t="s">
        <v>232</v>
      </c>
      <c r="R390" s="2" t="s">
        <v>233</v>
      </c>
      <c r="S390" s="2" t="s">
        <v>2427</v>
      </c>
      <c r="T390" s="2" t="s">
        <v>2310</v>
      </c>
      <c r="U390" s="2" t="s">
        <v>233</v>
      </c>
      <c r="V390" s="2" t="s">
        <v>914</v>
      </c>
      <c r="W390" s="2" t="s">
        <v>237</v>
      </c>
      <c r="X390" s="2" t="s">
        <v>233</v>
      </c>
      <c r="Y390" s="2" t="s">
        <v>2428</v>
      </c>
      <c r="Z390" s="4">
        <v>797</v>
      </c>
      <c r="AA390" s="4">
        <f>=ROUNDDOWN(16.6041666666667,0)</f>
      </c>
      <c r="AB390" s="5">
        <v>48</v>
      </c>
      <c r="AC390" s="2" t="s">
        <v>146</v>
      </c>
      <c r="AD390" s="4">
        <v>680</v>
      </c>
      <c r="AE390" s="4">
        <v>680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233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233</v>
      </c>
      <c r="AW390" s="8" t="s">
        <v>233</v>
      </c>
      <c r="AX390" s="4" t="s">
        <v>233</v>
      </c>
      <c r="AY390" s="8" t="s">
        <v>233</v>
      </c>
      <c r="AZ390" s="7" t="s">
        <v>233</v>
      </c>
      <c r="BA390" s="7" t="s">
        <v>233</v>
      </c>
      <c r="BB390" s="7"/>
      <c r="BC390" s="4" t="s">
        <v>233</v>
      </c>
      <c r="BD390" s="8" t="s">
        <v>233</v>
      </c>
      <c r="BE390" s="4" t="s">
        <v>233</v>
      </c>
      <c r="BF390" s="8" t="s">
        <v>233</v>
      </c>
      <c r="BG390" s="7" t="s">
        <v>233</v>
      </c>
      <c r="BH390" s="7" t="s">
        <v>233</v>
      </c>
      <c r="BI390" s="7"/>
      <c r="BJ390" s="4">
        <v>844</v>
      </c>
      <c r="BK390" s="8">
        <v>13600.46</v>
      </c>
      <c r="BL390" s="2" t="s">
        <v>2429</v>
      </c>
      <c r="BM390" s="7"/>
      <c r="BN390" s="7"/>
      <c r="BO390" s="4"/>
      <c r="BP390" s="8"/>
      <c r="BQ390" s="4"/>
      <c r="BR390" s="8"/>
      <c r="BS390" s="7"/>
      <c r="BT390" s="7"/>
      <c r="BU390" s="2" t="s">
        <v>2387</v>
      </c>
      <c r="BV390" s="2" t="s">
        <v>233</v>
      </c>
      <c r="BW390" s="2" t="s">
        <v>233</v>
      </c>
      <c r="BX390" s="2" t="s">
        <v>241</v>
      </c>
      <c r="BY390" s="2" t="s">
        <v>242</v>
      </c>
      <c r="BZ390" s="2" t="s">
        <v>230</v>
      </c>
      <c r="CA390" s="2" t="s">
        <v>516</v>
      </c>
      <c r="CB390" s="2" t="s">
        <v>2430</v>
      </c>
      <c r="CC390" s="2" t="s">
        <v>245</v>
      </c>
      <c r="CD390" s="2" t="s">
        <v>233</v>
      </c>
      <c r="CE390" s="4">
        <v>327</v>
      </c>
      <c r="CF390" s="4">
        <v>470</v>
      </c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>
        <v>680</v>
      </c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>
        <v>993</v>
      </c>
      <c r="GD390" s="4">
        <v>922</v>
      </c>
      <c r="GE390" s="4">
        <v>872</v>
      </c>
      <c r="GF390" s="4">
        <v>1474</v>
      </c>
      <c r="GG390" s="4">
        <v>1319</v>
      </c>
      <c r="GH390" s="4">
        <v>1246</v>
      </c>
      <c r="GI390" s="4">
        <v>1176</v>
      </c>
      <c r="GJ390" s="4">
        <v>1131</v>
      </c>
      <c r="GK390" s="4">
        <v>1098</v>
      </c>
      <c r="GL390" s="4">
        <v>1060</v>
      </c>
      <c r="GM390" s="4">
        <v>1032</v>
      </c>
      <c r="GN390" s="4">
        <v>1012</v>
      </c>
      <c r="GO390" s="4">
        <v>997</v>
      </c>
      <c r="GP390" s="4">
        <v>982</v>
      </c>
      <c r="GQ390" s="4">
        <v>964</v>
      </c>
      <c r="GR390" s="4">
        <v>946</v>
      </c>
      <c r="GS390" s="4">
        <v>928</v>
      </c>
      <c r="GT390" s="4">
        <v>910</v>
      </c>
      <c r="GU390" s="4">
        <v>897</v>
      </c>
      <c r="GV390" s="4">
        <v>884</v>
      </c>
      <c r="GW390" s="4">
        <v>871</v>
      </c>
      <c r="GX390" s="4">
        <v>858</v>
      </c>
      <c r="GY390" s="4">
        <v>845</v>
      </c>
      <c r="GZ390" s="4">
        <v>832</v>
      </c>
      <c r="HA390" s="4">
        <v>819</v>
      </c>
      <c r="HB390" s="4">
        <v>803</v>
      </c>
      <c r="HC390" s="19">
        <v>11.3</v>
      </c>
      <c r="HD390" s="19">
        <v>10.4</v>
      </c>
      <c r="HE390" s="19">
        <v>9.3</v>
      </c>
      <c r="HF390" s="19">
        <v>17.1</v>
      </c>
      <c r="HG390" s="19">
        <v>24</v>
      </c>
      <c r="HH390" s="19">
        <v>27.1</v>
      </c>
      <c r="HI390" s="19">
        <v>32.7</v>
      </c>
      <c r="HJ390" s="19">
        <v>37.7</v>
      </c>
      <c r="HK390" s="19">
        <v>43.9</v>
      </c>
      <c r="HL390" s="19">
        <v>53</v>
      </c>
      <c r="HM390" s="19">
        <v>60.7</v>
      </c>
      <c r="HN390" s="19">
        <v>63.3</v>
      </c>
      <c r="HO390" s="19">
        <v>58.6</v>
      </c>
      <c r="HP390" s="19">
        <v>54.6</v>
      </c>
      <c r="HQ390" s="19">
        <v>56.7</v>
      </c>
      <c r="HR390" s="19">
        <v>59.1</v>
      </c>
      <c r="HS390" s="19">
        <v>66.3</v>
      </c>
      <c r="HT390" s="19">
        <v>70</v>
      </c>
      <c r="HU390" s="19">
        <v>69</v>
      </c>
      <c r="HV390" s="19">
        <v>68</v>
      </c>
      <c r="HW390" s="19">
        <v>67</v>
      </c>
      <c r="HX390" s="19">
        <v>61.3</v>
      </c>
      <c r="HY390" s="19">
        <v>52.8</v>
      </c>
      <c r="HZ390" s="19">
        <v>46.2</v>
      </c>
      <c r="IA390" s="19">
        <v>43.1</v>
      </c>
      <c r="IB390" s="19">
        <v>40.2</v>
      </c>
    </row>
    <row r="391">
      <c r="A391" s="2" t="s">
        <v>2431</v>
      </c>
      <c r="B391" s="2" t="s">
        <v>279</v>
      </c>
      <c r="C391" s="2" t="s">
        <v>2381</v>
      </c>
      <c r="D391" s="2" t="s">
        <v>281</v>
      </c>
      <c r="E391" s="2" t="s">
        <v>282</v>
      </c>
      <c r="F391" s="2" t="s">
        <v>2382</v>
      </c>
      <c r="G391" s="2" t="s">
        <v>2382</v>
      </c>
      <c r="H391" s="2" t="s">
        <v>2382</v>
      </c>
      <c r="I391" s="2" t="s">
        <v>2383</v>
      </c>
      <c r="J391" s="2" t="s">
        <v>285</v>
      </c>
      <c r="K391" s="2" t="s">
        <v>2426</v>
      </c>
      <c r="L391" s="3">
        <v>27.39</v>
      </c>
      <c r="M391" s="3">
        <v>28.76</v>
      </c>
      <c r="N391" s="3">
        <v>62.99</v>
      </c>
      <c r="O391" s="2" t="s">
        <v>230</v>
      </c>
      <c r="P391" s="2" t="s">
        <v>231</v>
      </c>
      <c r="Q391" s="2" t="s">
        <v>232</v>
      </c>
      <c r="R391" s="2" t="s">
        <v>233</v>
      </c>
      <c r="S391" s="2" t="s">
        <v>2427</v>
      </c>
      <c r="T391" s="2" t="s">
        <v>2310</v>
      </c>
      <c r="U391" s="2" t="s">
        <v>233</v>
      </c>
      <c r="V391" s="2" t="s">
        <v>914</v>
      </c>
      <c r="W391" s="2" t="s">
        <v>237</v>
      </c>
      <c r="X391" s="2" t="s">
        <v>233</v>
      </c>
      <c r="Y391" s="2" t="s">
        <v>2432</v>
      </c>
      <c r="Z391" s="4">
        <v>818</v>
      </c>
      <c r="AA391" s="4">
        <f>=ROUNDDOWN(45.4444444444444,0)</f>
      </c>
      <c r="AB391" s="5">
        <v>18</v>
      </c>
      <c r="AC391" s="2" t="s">
        <v>146</v>
      </c>
      <c r="AD391" s="4">
        <v>299</v>
      </c>
      <c r="AE391" s="4">
        <v>299</v>
      </c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233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233</v>
      </c>
      <c r="AW391" s="8" t="s">
        <v>233</v>
      </c>
      <c r="AX391" s="4" t="s">
        <v>233</v>
      </c>
      <c r="AY391" s="8" t="s">
        <v>233</v>
      </c>
      <c r="AZ391" s="7" t="s">
        <v>233</v>
      </c>
      <c r="BA391" s="7" t="s">
        <v>233</v>
      </c>
      <c r="BB391" s="7"/>
      <c r="BC391" s="4" t="s">
        <v>233</v>
      </c>
      <c r="BD391" s="8" t="s">
        <v>233</v>
      </c>
      <c r="BE391" s="4" t="s">
        <v>233</v>
      </c>
      <c r="BF391" s="8" t="s">
        <v>233</v>
      </c>
      <c r="BG391" s="7" t="s">
        <v>233</v>
      </c>
      <c r="BH391" s="7" t="s">
        <v>233</v>
      </c>
      <c r="BI391" s="7"/>
      <c r="BJ391" s="4">
        <v>36</v>
      </c>
      <c r="BK391" s="8">
        <v>1113.96</v>
      </c>
      <c r="BL391" s="2" t="s">
        <v>2433</v>
      </c>
      <c r="BM391" s="7"/>
      <c r="BN391" s="7"/>
      <c r="BO391" s="4"/>
      <c r="BP391" s="8"/>
      <c r="BQ391" s="4"/>
      <c r="BR391" s="8"/>
      <c r="BS391" s="7"/>
      <c r="BT391" s="7"/>
      <c r="BU391" s="2" t="s">
        <v>2387</v>
      </c>
      <c r="BV391" s="2" t="s">
        <v>233</v>
      </c>
      <c r="BW391" s="2" t="s">
        <v>233</v>
      </c>
      <c r="BX391" s="2" t="s">
        <v>241</v>
      </c>
      <c r="BY391" s="2" t="s">
        <v>242</v>
      </c>
      <c r="BZ391" s="2" t="s">
        <v>230</v>
      </c>
      <c r="CA391" s="2" t="s">
        <v>516</v>
      </c>
      <c r="CB391" s="2" t="s">
        <v>388</v>
      </c>
      <c r="CC391" s="2" t="s">
        <v>245</v>
      </c>
      <c r="CD391" s="2" t="s">
        <v>233</v>
      </c>
      <c r="CE391" s="4">
        <v>604</v>
      </c>
      <c r="CF391" s="4">
        <v>213</v>
      </c>
      <c r="CG391" s="4"/>
      <c r="CH391" s="4"/>
      <c r="CI391" s="4"/>
      <c r="CJ391" s="4"/>
      <c r="CK391" s="4">
        <v>1</v>
      </c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>
        <v>299</v>
      </c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>
        <v>845</v>
      </c>
      <c r="GD391" s="4">
        <v>735</v>
      </c>
      <c r="GE391" s="4">
        <v>702</v>
      </c>
      <c r="GF391" s="4">
        <v>957</v>
      </c>
      <c r="GG391" s="4">
        <v>878</v>
      </c>
      <c r="GH391" s="4">
        <v>839</v>
      </c>
      <c r="GI391" s="4">
        <v>801</v>
      </c>
      <c r="GJ391" s="4">
        <v>775</v>
      </c>
      <c r="GK391" s="4">
        <v>755</v>
      </c>
      <c r="GL391" s="4">
        <v>733</v>
      </c>
      <c r="GM391" s="4">
        <v>716</v>
      </c>
      <c r="GN391" s="4">
        <v>703</v>
      </c>
      <c r="GO391" s="4">
        <v>693</v>
      </c>
      <c r="GP391" s="4">
        <v>683</v>
      </c>
      <c r="GQ391" s="4">
        <v>672</v>
      </c>
      <c r="GR391" s="4">
        <v>661</v>
      </c>
      <c r="GS391" s="4">
        <v>650</v>
      </c>
      <c r="GT391" s="4">
        <v>639</v>
      </c>
      <c r="GU391" s="4">
        <v>630</v>
      </c>
      <c r="GV391" s="4">
        <v>621</v>
      </c>
      <c r="GW391" s="4">
        <v>613</v>
      </c>
      <c r="GX391" s="4">
        <v>605</v>
      </c>
      <c r="GY391" s="4">
        <v>597</v>
      </c>
      <c r="GZ391" s="4">
        <v>589</v>
      </c>
      <c r="HA391" s="4">
        <v>581</v>
      </c>
      <c r="HB391" s="4">
        <v>573</v>
      </c>
      <c r="HC391" s="19">
        <v>12.8</v>
      </c>
      <c r="HD391" s="19">
        <v>15</v>
      </c>
      <c r="HE391" s="19">
        <v>14</v>
      </c>
      <c r="HF391" s="19">
        <v>20.8</v>
      </c>
      <c r="HG391" s="19">
        <v>28.3</v>
      </c>
      <c r="HH391" s="19">
        <v>32.3</v>
      </c>
      <c r="HI391" s="19">
        <v>38.1</v>
      </c>
      <c r="HJ391" s="19">
        <v>43.1</v>
      </c>
      <c r="HK391" s="19">
        <v>47.2</v>
      </c>
      <c r="HL391" s="19">
        <v>61.1</v>
      </c>
      <c r="HM391" s="19">
        <v>65.1</v>
      </c>
      <c r="HN391" s="19">
        <v>70.3</v>
      </c>
      <c r="HO391" s="19">
        <v>63</v>
      </c>
      <c r="HP391" s="19">
        <v>62.1</v>
      </c>
      <c r="HQ391" s="19">
        <v>67.2</v>
      </c>
      <c r="HR391" s="19">
        <v>66.1</v>
      </c>
      <c r="HS391" s="19">
        <v>72.2</v>
      </c>
      <c r="HT391" s="19">
        <v>79.9</v>
      </c>
      <c r="HU391" s="19">
        <v>78.8</v>
      </c>
      <c r="HV391" s="19">
        <v>77.6</v>
      </c>
      <c r="HW391" s="19">
        <v>76.6</v>
      </c>
      <c r="HX391" s="19">
        <v>75.6</v>
      </c>
      <c r="HY391" s="19">
        <v>74.6</v>
      </c>
      <c r="HZ391" s="19">
        <v>73.6</v>
      </c>
      <c r="IA391" s="19">
        <v>72.6</v>
      </c>
      <c r="IB391" s="19">
        <v>81.9</v>
      </c>
    </row>
    <row r="392">
      <c r="A392" s="2" t="s">
        <v>2434</v>
      </c>
      <c r="B392" s="2" t="s">
        <v>279</v>
      </c>
      <c r="C392" s="2" t="s">
        <v>2381</v>
      </c>
      <c r="D392" s="2" t="s">
        <v>281</v>
      </c>
      <c r="E392" s="2" t="s">
        <v>282</v>
      </c>
      <c r="F392" s="2" t="s">
        <v>2382</v>
      </c>
      <c r="G392" s="2" t="s">
        <v>2382</v>
      </c>
      <c r="H392" s="2" t="s">
        <v>2382</v>
      </c>
      <c r="I392" s="2" t="s">
        <v>2383</v>
      </c>
      <c r="J392" s="2" t="s">
        <v>228</v>
      </c>
      <c r="K392" s="2" t="s">
        <v>2435</v>
      </c>
      <c r="L392" s="3">
        <v>14.89</v>
      </c>
      <c r="M392" s="3">
        <v>15.63</v>
      </c>
      <c r="N392" s="3">
        <v>31.99</v>
      </c>
      <c r="O392" s="2" t="s">
        <v>230</v>
      </c>
      <c r="P392" s="2" t="s">
        <v>597</v>
      </c>
      <c r="Q392" s="2" t="s">
        <v>232</v>
      </c>
      <c r="R392" s="2" t="s">
        <v>233</v>
      </c>
      <c r="S392" s="2" t="s">
        <v>2436</v>
      </c>
      <c r="T392" s="2" t="s">
        <v>2310</v>
      </c>
      <c r="U392" s="2" t="s">
        <v>233</v>
      </c>
      <c r="V392" s="2" t="s">
        <v>2311</v>
      </c>
      <c r="W392" s="2" t="s">
        <v>237</v>
      </c>
      <c r="X392" s="2" t="s">
        <v>233</v>
      </c>
      <c r="Y392" s="2" t="s">
        <v>1117</v>
      </c>
      <c r="Z392" s="4">
        <v>37</v>
      </c>
      <c r="AA392" s="4">
        <f>=ROUNDDOWN(0.74,0)</f>
      </c>
      <c r="AB392" s="5">
        <v>50</v>
      </c>
      <c r="AC392" s="2" t="s">
        <v>140</v>
      </c>
      <c r="AD392" s="4">
        <v>543</v>
      </c>
      <c r="AE392" s="4">
        <v>589</v>
      </c>
      <c r="AF392" s="6">
        <v>65</v>
      </c>
      <c r="AG392" s="6"/>
      <c r="AH392" s="7">
        <v>0.7742</v>
      </c>
      <c r="AI392" s="4"/>
      <c r="AJ392" s="4">
        <f>=ROUNDDOWN({0},0)</f>
      </c>
      <c r="AK392" s="5"/>
      <c r="AL392" s="2" t="s">
        <v>233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 t="s">
        <v>233</v>
      </c>
      <c r="BD392" s="8" t="s">
        <v>233</v>
      </c>
      <c r="BE392" s="4" t="s">
        <v>233</v>
      </c>
      <c r="BF392" s="8" t="s">
        <v>233</v>
      </c>
      <c r="BG392" s="7" t="s">
        <v>233</v>
      </c>
      <c r="BH392" s="7" t="s">
        <v>233</v>
      </c>
      <c r="BI392" s="7"/>
      <c r="BJ392" s="4">
        <v>1194</v>
      </c>
      <c r="BK392" s="8">
        <v>18910.32</v>
      </c>
      <c r="BL392" s="2" t="s">
        <v>2437</v>
      </c>
      <c r="BM392" s="7"/>
      <c r="BN392" s="7"/>
      <c r="BO392" s="4"/>
      <c r="BP392" s="8"/>
      <c r="BQ392" s="4"/>
      <c r="BR392" s="8"/>
      <c r="BS392" s="7"/>
      <c r="BT392" s="7"/>
      <c r="BU392" s="2" t="s">
        <v>2387</v>
      </c>
      <c r="BV392" s="2" t="s">
        <v>233</v>
      </c>
      <c r="BW392" s="2" t="s">
        <v>233</v>
      </c>
      <c r="BX392" s="2" t="s">
        <v>241</v>
      </c>
      <c r="BY392" s="2" t="s">
        <v>242</v>
      </c>
      <c r="BZ392" s="2" t="s">
        <v>230</v>
      </c>
      <c r="CA392" s="2" t="s">
        <v>1460</v>
      </c>
      <c r="CB392" s="2" t="s">
        <v>2375</v>
      </c>
      <c r="CC392" s="2" t="s">
        <v>245</v>
      </c>
      <c r="CD392" s="2" t="s">
        <v>233</v>
      </c>
      <c r="CE392" s="4">
        <v>13</v>
      </c>
      <c r="CF392" s="4"/>
      <c r="CG392" s="4"/>
      <c r="CH392" s="4"/>
      <c r="CI392" s="4"/>
      <c r="CJ392" s="4"/>
      <c r="CK392" s="4">
        <v>24</v>
      </c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>
        <v>543</v>
      </c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>
        <v>46</v>
      </c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>
        <v>348</v>
      </c>
      <c r="GD392" s="4">
        <v>306</v>
      </c>
      <c r="GE392" s="4">
        <v>809</v>
      </c>
      <c r="GF392" s="4">
        <v>747</v>
      </c>
      <c r="GG392" s="4">
        <v>623</v>
      </c>
      <c r="GH392" s="4">
        <v>611</v>
      </c>
      <c r="GI392" s="4">
        <v>555</v>
      </c>
      <c r="GJ392" s="4">
        <v>519</v>
      </c>
      <c r="GK392" s="4">
        <v>493</v>
      </c>
      <c r="GL392" s="4">
        <v>463</v>
      </c>
      <c r="GM392" s="4">
        <v>441</v>
      </c>
      <c r="GN392" s="4">
        <v>425</v>
      </c>
      <c r="GO392" s="4">
        <v>413</v>
      </c>
      <c r="GP392" s="4">
        <v>401</v>
      </c>
      <c r="GQ392" s="4">
        <v>387</v>
      </c>
      <c r="GR392" s="4">
        <v>373</v>
      </c>
      <c r="GS392" s="4">
        <v>359</v>
      </c>
      <c r="GT392" s="4">
        <v>345</v>
      </c>
      <c r="GU392" s="4">
        <v>335</v>
      </c>
      <c r="GV392" s="4">
        <v>325</v>
      </c>
      <c r="GW392" s="4">
        <v>315</v>
      </c>
      <c r="GX392" s="4">
        <v>305</v>
      </c>
      <c r="GY392" s="4">
        <v>295</v>
      </c>
      <c r="GZ392" s="4">
        <v>285</v>
      </c>
      <c r="HA392" s="4">
        <v>275</v>
      </c>
      <c r="HB392" s="4">
        <v>265</v>
      </c>
      <c r="HC392" s="19">
        <v>5.2</v>
      </c>
      <c r="HD392" s="19">
        <v>4.3</v>
      </c>
      <c r="HE392" s="19">
        <v>10.8</v>
      </c>
      <c r="HF392" s="19">
        <v>11</v>
      </c>
      <c r="HG392" s="19">
        <v>14.2</v>
      </c>
      <c r="HH392" s="19">
        <v>16.5</v>
      </c>
      <c r="HI392" s="19">
        <v>19.8</v>
      </c>
      <c r="HJ392" s="19">
        <v>21.6</v>
      </c>
      <c r="HK392" s="19">
        <v>24.7</v>
      </c>
      <c r="HL392" s="19">
        <v>28.9</v>
      </c>
      <c r="HM392" s="19">
        <v>31.5</v>
      </c>
      <c r="HN392" s="19">
        <v>32.7</v>
      </c>
      <c r="HO392" s="19">
        <v>29.5</v>
      </c>
      <c r="HP392" s="19">
        <v>28.6</v>
      </c>
      <c r="HQ392" s="19">
        <v>29.8</v>
      </c>
      <c r="HR392" s="19">
        <v>31.1</v>
      </c>
      <c r="HS392" s="19">
        <v>32.6</v>
      </c>
      <c r="HT392" s="19">
        <v>34.5</v>
      </c>
      <c r="HU392" s="19">
        <v>33.5</v>
      </c>
      <c r="HV392" s="19">
        <v>32.5</v>
      </c>
      <c r="HW392" s="19">
        <v>31.5</v>
      </c>
      <c r="HX392" s="19">
        <v>30.5</v>
      </c>
      <c r="HY392" s="19">
        <v>29.5</v>
      </c>
      <c r="HZ392" s="19">
        <v>28.5</v>
      </c>
      <c r="IA392" s="19">
        <v>27.5</v>
      </c>
      <c r="IB392" s="19">
        <v>22.1</v>
      </c>
    </row>
    <row r="393">
      <c r="A393" s="2" t="s">
        <v>2438</v>
      </c>
      <c r="B393" s="2" t="s">
        <v>279</v>
      </c>
      <c r="C393" s="2" t="s">
        <v>2381</v>
      </c>
      <c r="D393" s="2" t="s">
        <v>281</v>
      </c>
      <c r="E393" s="2" t="s">
        <v>282</v>
      </c>
      <c r="F393" s="2" t="s">
        <v>2382</v>
      </c>
      <c r="G393" s="2" t="s">
        <v>2382</v>
      </c>
      <c r="H393" s="2" t="s">
        <v>2382</v>
      </c>
      <c r="I393" s="2" t="s">
        <v>2383</v>
      </c>
      <c r="J393" s="2" t="s">
        <v>256</v>
      </c>
      <c r="K393" s="2" t="s">
        <v>2439</v>
      </c>
      <c r="L393" s="3">
        <v>27.39</v>
      </c>
      <c r="M393" s="3">
        <v>28.76</v>
      </c>
      <c r="N393" s="3">
        <v>62.99</v>
      </c>
      <c r="O393" s="2" t="s">
        <v>230</v>
      </c>
      <c r="P393" s="2" t="s">
        <v>586</v>
      </c>
      <c r="Q393" s="2" t="s">
        <v>232</v>
      </c>
      <c r="R393" s="2" t="s">
        <v>233</v>
      </c>
      <c r="S393" s="2" t="s">
        <v>2440</v>
      </c>
      <c r="T393" s="2" t="s">
        <v>2310</v>
      </c>
      <c r="U393" s="2" t="s">
        <v>287</v>
      </c>
      <c r="V393" s="2" t="s">
        <v>1431</v>
      </c>
      <c r="W393" s="2" t="s">
        <v>237</v>
      </c>
      <c r="X393" s="2" t="s">
        <v>712</v>
      </c>
      <c r="Y393" s="2" t="s">
        <v>2441</v>
      </c>
      <c r="Z393" s="4">
        <v>773</v>
      </c>
      <c r="AA393" s="4">
        <f>=ROUNDDOWN(33.6086956521739,0)</f>
      </c>
      <c r="AB393" s="5">
        <v>23</v>
      </c>
      <c r="AC393" s="2" t="s">
        <v>146</v>
      </c>
      <c r="AD393" s="4">
        <v>333</v>
      </c>
      <c r="AE393" s="4">
        <v>333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233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 t="s">
        <v>233</v>
      </c>
      <c r="BD393" s="8" t="s">
        <v>233</v>
      </c>
      <c r="BE393" s="4" t="s">
        <v>233</v>
      </c>
      <c r="BF393" s="8" t="s">
        <v>233</v>
      </c>
      <c r="BG393" s="7" t="s">
        <v>233</v>
      </c>
      <c r="BH393" s="7" t="s">
        <v>233</v>
      </c>
      <c r="BI393" s="7"/>
      <c r="BJ393" s="4">
        <v>135</v>
      </c>
      <c r="BK393" s="8">
        <v>4092.65</v>
      </c>
      <c r="BL393" s="2" t="s">
        <v>2442</v>
      </c>
      <c r="BM393" s="7"/>
      <c r="BN393" s="7"/>
      <c r="BO393" s="4"/>
      <c r="BP393" s="8"/>
      <c r="BQ393" s="4"/>
      <c r="BR393" s="8"/>
      <c r="BS393" s="7"/>
      <c r="BT393" s="7"/>
      <c r="BU393" s="2" t="s">
        <v>2387</v>
      </c>
      <c r="BV393" s="2" t="s">
        <v>233</v>
      </c>
      <c r="BW393" s="2" t="s">
        <v>233</v>
      </c>
      <c r="BX393" s="2" t="s">
        <v>241</v>
      </c>
      <c r="BY393" s="2" t="s">
        <v>242</v>
      </c>
      <c r="BZ393" s="2" t="s">
        <v>230</v>
      </c>
      <c r="CA393" s="2" t="s">
        <v>2396</v>
      </c>
      <c r="CB393" s="2" t="s">
        <v>2443</v>
      </c>
      <c r="CC393" s="2" t="s">
        <v>245</v>
      </c>
      <c r="CD393" s="2" t="s">
        <v>233</v>
      </c>
      <c r="CE393" s="4">
        <v>541</v>
      </c>
      <c r="CF393" s="4">
        <v>230</v>
      </c>
      <c r="CG393" s="4"/>
      <c r="CH393" s="4"/>
      <c r="CI393" s="4"/>
      <c r="CJ393" s="4"/>
      <c r="CK393" s="4">
        <v>2</v>
      </c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>
        <v>333</v>
      </c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>
        <v>805</v>
      </c>
      <c r="GD393" s="4">
        <v>663</v>
      </c>
      <c r="GE393" s="4">
        <v>621</v>
      </c>
      <c r="GF393" s="4">
        <v>901</v>
      </c>
      <c r="GG393" s="4">
        <v>807</v>
      </c>
      <c r="GH393" s="4">
        <v>761</v>
      </c>
      <c r="GI393" s="4">
        <v>717</v>
      </c>
      <c r="GJ393" s="4">
        <v>686</v>
      </c>
      <c r="GK393" s="4">
        <v>662</v>
      </c>
      <c r="GL393" s="4">
        <v>635</v>
      </c>
      <c r="GM393" s="4">
        <v>614</v>
      </c>
      <c r="GN393" s="4">
        <v>598</v>
      </c>
      <c r="GO393" s="4">
        <v>585</v>
      </c>
      <c r="GP393" s="4">
        <v>572</v>
      </c>
      <c r="GQ393" s="4">
        <v>557</v>
      </c>
      <c r="GR393" s="4">
        <v>542</v>
      </c>
      <c r="GS393" s="4">
        <v>527</v>
      </c>
      <c r="GT393" s="4">
        <v>512</v>
      </c>
      <c r="GU393" s="4">
        <v>500</v>
      </c>
      <c r="GV393" s="4">
        <v>488</v>
      </c>
      <c r="GW393" s="4">
        <v>477</v>
      </c>
      <c r="GX393" s="4">
        <v>466</v>
      </c>
      <c r="GY393" s="4">
        <v>455</v>
      </c>
      <c r="GZ393" s="4">
        <v>444</v>
      </c>
      <c r="HA393" s="4">
        <v>433</v>
      </c>
      <c r="HB393" s="4">
        <v>422</v>
      </c>
      <c r="HC393" s="19">
        <v>9.7</v>
      </c>
      <c r="HD393" s="19">
        <v>11.2</v>
      </c>
      <c r="HE393" s="19">
        <v>10.5</v>
      </c>
      <c r="HF393" s="19">
        <v>16.7</v>
      </c>
      <c r="HG393" s="19">
        <v>22.4</v>
      </c>
      <c r="HH393" s="19">
        <v>23.8</v>
      </c>
      <c r="HI393" s="19">
        <v>27.6</v>
      </c>
      <c r="HJ393" s="19">
        <v>31.2</v>
      </c>
      <c r="HK393" s="19">
        <v>34.8</v>
      </c>
      <c r="HL393" s="19">
        <v>39.7</v>
      </c>
      <c r="HM393" s="19">
        <v>43.9</v>
      </c>
      <c r="HN393" s="19">
        <v>42.7</v>
      </c>
      <c r="HO393" s="19">
        <v>41.8</v>
      </c>
      <c r="HP393" s="19">
        <v>38.1</v>
      </c>
      <c r="HQ393" s="19">
        <v>39.8</v>
      </c>
      <c r="HR393" s="19">
        <v>38.7</v>
      </c>
      <c r="HS393" s="19">
        <v>43.9</v>
      </c>
      <c r="HT393" s="19">
        <v>42.7</v>
      </c>
      <c r="HU393" s="19">
        <v>45.5</v>
      </c>
      <c r="HV393" s="19">
        <v>44.4</v>
      </c>
      <c r="HW393" s="19">
        <v>43.4</v>
      </c>
      <c r="HX393" s="19">
        <v>42.4</v>
      </c>
      <c r="HY393" s="19">
        <v>41.4</v>
      </c>
      <c r="HZ393" s="19">
        <v>40.4</v>
      </c>
      <c r="IA393" s="19">
        <v>43.3</v>
      </c>
      <c r="IB393" s="19">
        <v>42.2</v>
      </c>
    </row>
    <row r="394">
      <c r="A394" s="2" t="s">
        <v>2444</v>
      </c>
      <c r="B394" s="2" t="s">
        <v>279</v>
      </c>
      <c r="C394" s="2" t="s">
        <v>2381</v>
      </c>
      <c r="D394" s="2" t="s">
        <v>281</v>
      </c>
      <c r="E394" s="2" t="s">
        <v>282</v>
      </c>
      <c r="F394" s="2" t="s">
        <v>2382</v>
      </c>
      <c r="G394" s="2" t="s">
        <v>2382</v>
      </c>
      <c r="H394" s="2" t="s">
        <v>2382</v>
      </c>
      <c r="I394" s="2" t="s">
        <v>2383</v>
      </c>
      <c r="J394" s="2" t="s">
        <v>228</v>
      </c>
      <c r="K394" s="2" t="s">
        <v>2445</v>
      </c>
      <c r="L394" s="3">
        <v>14.89</v>
      </c>
      <c r="M394" s="3">
        <v>15.63</v>
      </c>
      <c r="N394" s="3">
        <v>31.99</v>
      </c>
      <c r="O394" s="2" t="s">
        <v>230</v>
      </c>
      <c r="P394" s="2" t="s">
        <v>231</v>
      </c>
      <c r="Q394" s="2" t="s">
        <v>232</v>
      </c>
      <c r="R394" s="2" t="s">
        <v>233</v>
      </c>
      <c r="S394" s="2" t="s">
        <v>2446</v>
      </c>
      <c r="T394" s="2" t="s">
        <v>2310</v>
      </c>
      <c r="U394" s="2" t="s">
        <v>781</v>
      </c>
      <c r="V394" s="2" t="s">
        <v>2311</v>
      </c>
      <c r="W394" s="2" t="s">
        <v>915</v>
      </c>
      <c r="X394" s="2" t="s">
        <v>237</v>
      </c>
      <c r="Y394" s="2" t="s">
        <v>2447</v>
      </c>
      <c r="Z394" s="4">
        <v>290</v>
      </c>
      <c r="AA394" s="4">
        <f>=ROUNDDOWN(24.1666666666667,0)</f>
      </c>
      <c r="AB394" s="5">
        <v>12</v>
      </c>
      <c r="AC394" s="2" t="s">
        <v>233</v>
      </c>
      <c r="AD394" s="4"/>
      <c r="AE394" s="4"/>
      <c r="AF394" s="6">
        <v>74</v>
      </c>
      <c r="AG394" s="6"/>
      <c r="AH394" s="7">
        <v>1</v>
      </c>
      <c r="AI394" s="4"/>
      <c r="AJ394" s="4">
        <f>=ROUNDDOWN({0},0)</f>
      </c>
      <c r="AK394" s="5"/>
      <c r="AL394" s="2" t="s">
        <v>233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233</v>
      </c>
      <c r="AW394" s="8" t="s">
        <v>233</v>
      </c>
      <c r="AX394" s="4" t="s">
        <v>233</v>
      </c>
      <c r="AY394" s="8" t="s">
        <v>233</v>
      </c>
      <c r="AZ394" s="7" t="s">
        <v>233</v>
      </c>
      <c r="BA394" s="7" t="s">
        <v>233</v>
      </c>
      <c r="BB394" s="7"/>
      <c r="BC394" s="4" t="s">
        <v>233</v>
      </c>
      <c r="BD394" s="8" t="s">
        <v>233</v>
      </c>
      <c r="BE394" s="4" t="s">
        <v>233</v>
      </c>
      <c r="BF394" s="8" t="s">
        <v>233</v>
      </c>
      <c r="BG394" s="7" t="s">
        <v>233</v>
      </c>
      <c r="BH394" s="7" t="s">
        <v>233</v>
      </c>
      <c r="BI394" s="7"/>
      <c r="BJ394" s="4">
        <v>130</v>
      </c>
      <c r="BK394" s="8">
        <v>2216.1</v>
      </c>
      <c r="BL394" s="2" t="s">
        <v>2448</v>
      </c>
      <c r="BM394" s="7"/>
      <c r="BN394" s="7"/>
      <c r="BO394" s="4"/>
      <c r="BP394" s="8"/>
      <c r="BQ394" s="4"/>
      <c r="BR394" s="8"/>
      <c r="BS394" s="7"/>
      <c r="BT394" s="7"/>
      <c r="BU394" s="2" t="s">
        <v>2387</v>
      </c>
      <c r="BV394" s="2" t="s">
        <v>233</v>
      </c>
      <c r="BW394" s="2" t="s">
        <v>233</v>
      </c>
      <c r="BX394" s="2" t="s">
        <v>241</v>
      </c>
      <c r="BY394" s="2" t="s">
        <v>242</v>
      </c>
      <c r="BZ394" s="2" t="s">
        <v>230</v>
      </c>
      <c r="CA394" s="2" t="s">
        <v>1269</v>
      </c>
      <c r="CB394" s="2" t="s">
        <v>1912</v>
      </c>
      <c r="CC394" s="2" t="s">
        <v>245</v>
      </c>
      <c r="CD394" s="2" t="s">
        <v>233</v>
      </c>
      <c r="CE394" s="4">
        <v>290</v>
      </c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>
        <v>322</v>
      </c>
      <c r="GD394" s="4">
        <v>294</v>
      </c>
      <c r="GE394" s="4">
        <v>273</v>
      </c>
      <c r="GF394" s="4">
        <v>247</v>
      </c>
      <c r="GG394" s="4">
        <v>205</v>
      </c>
      <c r="GH394" s="4">
        <v>184</v>
      </c>
      <c r="GI394" s="4">
        <v>163</v>
      </c>
      <c r="GJ394" s="4">
        <v>148</v>
      </c>
      <c r="GK394" s="4">
        <v>136</v>
      </c>
      <c r="GL394" s="4">
        <v>123</v>
      </c>
      <c r="GM394" s="4">
        <v>112</v>
      </c>
      <c r="GN394" s="4">
        <v>104</v>
      </c>
      <c r="GO394" s="4">
        <v>97</v>
      </c>
      <c r="GP394" s="4">
        <v>90</v>
      </c>
      <c r="GQ394" s="4">
        <v>83</v>
      </c>
      <c r="GR394" s="4">
        <v>76</v>
      </c>
      <c r="GS394" s="4">
        <v>69</v>
      </c>
      <c r="GT394" s="4">
        <v>62</v>
      </c>
      <c r="GU394" s="4">
        <v>56</v>
      </c>
      <c r="GV394" s="4">
        <v>50</v>
      </c>
      <c r="GW394" s="4">
        <v>45</v>
      </c>
      <c r="GX394" s="4">
        <v>40</v>
      </c>
      <c r="GY394" s="4">
        <v>35</v>
      </c>
      <c r="GZ394" s="4">
        <v>30</v>
      </c>
      <c r="HA394" s="4">
        <v>25</v>
      </c>
      <c r="HB394" s="4">
        <v>20</v>
      </c>
      <c r="HC394" s="19">
        <v>11.1</v>
      </c>
      <c r="HD394" s="19">
        <v>10.5</v>
      </c>
      <c r="HE394" s="19">
        <v>9.8</v>
      </c>
      <c r="HF394" s="19">
        <v>9.9</v>
      </c>
      <c r="HG394" s="19">
        <v>12.1</v>
      </c>
      <c r="HH394" s="19">
        <v>12.3</v>
      </c>
      <c r="HI394" s="19">
        <v>12.5</v>
      </c>
      <c r="HJ394" s="19">
        <v>13.5</v>
      </c>
      <c r="HK394" s="19">
        <v>13.6</v>
      </c>
      <c r="HL394" s="19">
        <v>15.4</v>
      </c>
      <c r="HM394" s="19">
        <v>16</v>
      </c>
      <c r="HN394" s="19">
        <v>14.9</v>
      </c>
      <c r="HO394" s="19">
        <v>13.9</v>
      </c>
      <c r="HP394" s="19">
        <v>12.9</v>
      </c>
      <c r="HQ394" s="19">
        <v>11.9</v>
      </c>
      <c r="HR394" s="19">
        <v>12.7</v>
      </c>
      <c r="HS394" s="19">
        <v>11.5</v>
      </c>
      <c r="HT394" s="19">
        <v>10.3</v>
      </c>
      <c r="HU394" s="19">
        <v>11.2</v>
      </c>
      <c r="HV394" s="19">
        <v>10</v>
      </c>
      <c r="HW394" s="19">
        <v>9</v>
      </c>
      <c r="HX394" s="19">
        <v>8</v>
      </c>
      <c r="HY394" s="19">
        <v>7</v>
      </c>
      <c r="HZ394" s="19">
        <v>6</v>
      </c>
      <c r="IA394" s="19">
        <v>6.3</v>
      </c>
      <c r="IB394" s="19">
        <v>5</v>
      </c>
    </row>
    <row r="395">
      <c r="A395" s="2" t="s">
        <v>2449</v>
      </c>
      <c r="B395" s="2" t="s">
        <v>279</v>
      </c>
      <c r="C395" s="2" t="s">
        <v>2381</v>
      </c>
      <c r="D395" s="2" t="s">
        <v>281</v>
      </c>
      <c r="E395" s="2" t="s">
        <v>282</v>
      </c>
      <c r="F395" s="2" t="s">
        <v>2382</v>
      </c>
      <c r="G395" s="2" t="s">
        <v>2382</v>
      </c>
      <c r="H395" s="2" t="s">
        <v>2382</v>
      </c>
      <c r="I395" s="2" t="s">
        <v>2383</v>
      </c>
      <c r="J395" s="2" t="s">
        <v>252</v>
      </c>
      <c r="K395" s="2" t="s">
        <v>2445</v>
      </c>
      <c r="L395" s="3">
        <v>19.57</v>
      </c>
      <c r="M395" s="3">
        <v>20.55</v>
      </c>
      <c r="N395" s="3">
        <v>42.99</v>
      </c>
      <c r="O395" s="2" t="s">
        <v>230</v>
      </c>
      <c r="P395" s="2" t="s">
        <v>231</v>
      </c>
      <c r="Q395" s="2" t="s">
        <v>232</v>
      </c>
      <c r="R395" s="2" t="s">
        <v>233</v>
      </c>
      <c r="S395" s="2" t="s">
        <v>2446</v>
      </c>
      <c r="T395" s="2" t="s">
        <v>2310</v>
      </c>
      <c r="U395" s="2" t="s">
        <v>287</v>
      </c>
      <c r="V395" s="2" t="s">
        <v>2311</v>
      </c>
      <c r="W395" s="2" t="s">
        <v>915</v>
      </c>
      <c r="X395" s="2" t="s">
        <v>237</v>
      </c>
      <c r="Y395" s="2" t="s">
        <v>2447</v>
      </c>
      <c r="Z395" s="4">
        <v>413</v>
      </c>
      <c r="AA395" s="4">
        <f>=ROUNDDOWN(41.3,0)</f>
      </c>
      <c r="AB395" s="5">
        <v>10</v>
      </c>
      <c r="AC395" s="2" t="s">
        <v>233</v>
      </c>
      <c r="AD395" s="4"/>
      <c r="AE395" s="4"/>
      <c r="AF395" s="6">
        <v>74</v>
      </c>
      <c r="AG395" s="6"/>
      <c r="AH395" s="7">
        <v>1</v>
      </c>
      <c r="AI395" s="4"/>
      <c r="AJ395" s="4">
        <f>=ROUNDDOWN({0},0)</f>
      </c>
      <c r="AK395" s="5"/>
      <c r="AL395" s="2" t="s">
        <v>233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233</v>
      </c>
      <c r="AW395" s="8" t="s">
        <v>233</v>
      </c>
      <c r="AX395" s="4" t="s">
        <v>233</v>
      </c>
      <c r="AY395" s="8" t="s">
        <v>233</v>
      </c>
      <c r="AZ395" s="7" t="s">
        <v>233</v>
      </c>
      <c r="BA395" s="7" t="s">
        <v>233</v>
      </c>
      <c r="BB395" s="7"/>
      <c r="BC395" s="4" t="s">
        <v>233</v>
      </c>
      <c r="BD395" s="8" t="s">
        <v>233</v>
      </c>
      <c r="BE395" s="4" t="s">
        <v>233</v>
      </c>
      <c r="BF395" s="8" t="s">
        <v>233</v>
      </c>
      <c r="BG395" s="7" t="s">
        <v>233</v>
      </c>
      <c r="BH395" s="7" t="s">
        <v>233</v>
      </c>
      <c r="BI395" s="7"/>
      <c r="BJ395" s="4">
        <v>43</v>
      </c>
      <c r="BK395" s="8">
        <v>980.14</v>
      </c>
      <c r="BL395" s="2" t="s">
        <v>2450</v>
      </c>
      <c r="BM395" s="7"/>
      <c r="BN395" s="7"/>
      <c r="BO395" s="4"/>
      <c r="BP395" s="8"/>
      <c r="BQ395" s="4"/>
      <c r="BR395" s="8"/>
      <c r="BS395" s="7"/>
      <c r="BT395" s="7"/>
      <c r="BU395" s="2" t="s">
        <v>2387</v>
      </c>
      <c r="BV395" s="2" t="s">
        <v>233</v>
      </c>
      <c r="BW395" s="2" t="s">
        <v>233</v>
      </c>
      <c r="BX395" s="2" t="s">
        <v>241</v>
      </c>
      <c r="BY395" s="2" t="s">
        <v>242</v>
      </c>
      <c r="BZ395" s="2" t="s">
        <v>230</v>
      </c>
      <c r="CA395" s="2" t="s">
        <v>1269</v>
      </c>
      <c r="CB395" s="2" t="s">
        <v>2451</v>
      </c>
      <c r="CC395" s="2" t="s">
        <v>245</v>
      </c>
      <c r="CD395" s="2" t="s">
        <v>233</v>
      </c>
      <c r="CE395" s="4">
        <v>413</v>
      </c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>
        <v>437</v>
      </c>
      <c r="GD395" s="4">
        <v>395</v>
      </c>
      <c r="GE395" s="4">
        <v>377</v>
      </c>
      <c r="GF395" s="4">
        <v>354</v>
      </c>
      <c r="GG395" s="4">
        <v>314</v>
      </c>
      <c r="GH395" s="4">
        <v>295</v>
      </c>
      <c r="GI395" s="4">
        <v>276</v>
      </c>
      <c r="GJ395" s="4">
        <v>262</v>
      </c>
      <c r="GK395" s="4">
        <v>251</v>
      </c>
      <c r="GL395" s="4">
        <v>239</v>
      </c>
      <c r="GM395" s="4">
        <v>229</v>
      </c>
      <c r="GN395" s="4">
        <v>222</v>
      </c>
      <c r="GO395" s="4">
        <v>216</v>
      </c>
      <c r="GP395" s="4">
        <v>210</v>
      </c>
      <c r="GQ395" s="4">
        <v>204</v>
      </c>
      <c r="GR395" s="4">
        <v>198</v>
      </c>
      <c r="GS395" s="4">
        <v>192</v>
      </c>
      <c r="GT395" s="4">
        <v>186</v>
      </c>
      <c r="GU395" s="4">
        <v>181</v>
      </c>
      <c r="GV395" s="4">
        <v>176</v>
      </c>
      <c r="GW395" s="4">
        <v>171</v>
      </c>
      <c r="GX395" s="4">
        <v>166</v>
      </c>
      <c r="GY395" s="4">
        <v>161</v>
      </c>
      <c r="GZ395" s="4">
        <v>156</v>
      </c>
      <c r="HA395" s="4">
        <v>151</v>
      </c>
      <c r="HB395" s="4">
        <v>146</v>
      </c>
      <c r="HC395" s="19">
        <v>14.1</v>
      </c>
      <c r="HD395" s="19">
        <v>15.8</v>
      </c>
      <c r="HE395" s="19">
        <v>15.1</v>
      </c>
      <c r="HF395" s="19">
        <v>15.4</v>
      </c>
      <c r="HG395" s="19">
        <v>19.6</v>
      </c>
      <c r="HH395" s="19">
        <v>21.1</v>
      </c>
      <c r="HI395" s="19">
        <v>23</v>
      </c>
      <c r="HJ395" s="19">
        <v>26.2</v>
      </c>
      <c r="HK395" s="19">
        <v>27.9</v>
      </c>
      <c r="HL395" s="19">
        <v>34.1</v>
      </c>
      <c r="HM395" s="19">
        <v>38.2</v>
      </c>
      <c r="HN395" s="19">
        <v>37</v>
      </c>
      <c r="HO395" s="19">
        <v>36</v>
      </c>
      <c r="HP395" s="19">
        <v>35</v>
      </c>
      <c r="HQ395" s="19">
        <v>34</v>
      </c>
      <c r="HR395" s="19">
        <v>33</v>
      </c>
      <c r="HS395" s="19">
        <v>38.4</v>
      </c>
      <c r="HT395" s="19">
        <v>37.2</v>
      </c>
      <c r="HU395" s="19">
        <v>36.2</v>
      </c>
      <c r="HV395" s="19">
        <v>35.2</v>
      </c>
      <c r="HW395" s="19">
        <v>34.2</v>
      </c>
      <c r="HX395" s="19">
        <v>33.2</v>
      </c>
      <c r="HY395" s="19">
        <v>32.2</v>
      </c>
      <c r="HZ395" s="19">
        <v>31.2</v>
      </c>
      <c r="IA395" s="19">
        <v>37.8</v>
      </c>
      <c r="IB395" s="19">
        <v>36.5</v>
      </c>
    </row>
    <row r="396">
      <c r="A396" s="2" t="s">
        <v>2452</v>
      </c>
      <c r="B396" s="2" t="s">
        <v>279</v>
      </c>
      <c r="C396" s="2" t="s">
        <v>2381</v>
      </c>
      <c r="D396" s="2" t="s">
        <v>281</v>
      </c>
      <c r="E396" s="2" t="s">
        <v>282</v>
      </c>
      <c r="F396" s="2" t="s">
        <v>2382</v>
      </c>
      <c r="G396" s="2" t="s">
        <v>2382</v>
      </c>
      <c r="H396" s="2" t="s">
        <v>2382</v>
      </c>
      <c r="I396" s="2" t="s">
        <v>2383</v>
      </c>
      <c r="J396" s="2" t="s">
        <v>336</v>
      </c>
      <c r="K396" s="2" t="s">
        <v>2445</v>
      </c>
      <c r="L396" s="3">
        <v>22.21</v>
      </c>
      <c r="M396" s="3">
        <v>23.32</v>
      </c>
      <c r="N396" s="3">
        <v>47.99</v>
      </c>
      <c r="O396" s="2" t="s">
        <v>230</v>
      </c>
      <c r="P396" s="2" t="s">
        <v>586</v>
      </c>
      <c r="Q396" s="2" t="s">
        <v>232</v>
      </c>
      <c r="R396" s="2" t="s">
        <v>233</v>
      </c>
      <c r="S396" s="2" t="s">
        <v>2446</v>
      </c>
      <c r="T396" s="2" t="s">
        <v>2310</v>
      </c>
      <c r="U396" s="2" t="s">
        <v>287</v>
      </c>
      <c r="V396" s="2" t="s">
        <v>2311</v>
      </c>
      <c r="W396" s="2" t="s">
        <v>915</v>
      </c>
      <c r="X396" s="2" t="s">
        <v>237</v>
      </c>
      <c r="Y396" s="2" t="s">
        <v>2447</v>
      </c>
      <c r="Z396" s="4">
        <v>712</v>
      </c>
      <c r="AA396" s="4">
        <f>=ROUNDDOWN(44.5,0)</f>
      </c>
      <c r="AB396" s="5">
        <v>16</v>
      </c>
      <c r="AC396" s="2" t="s">
        <v>233</v>
      </c>
      <c r="AD396" s="4"/>
      <c r="AE396" s="4"/>
      <c r="AF396" s="6">
        <v>74</v>
      </c>
      <c r="AG396" s="6"/>
      <c r="AH396" s="7">
        <v>1</v>
      </c>
      <c r="AI396" s="4"/>
      <c r="AJ396" s="4">
        <f>=ROUNDDOWN({0},0)</f>
      </c>
      <c r="AK396" s="5"/>
      <c r="AL396" s="2" t="s">
        <v>233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233</v>
      </c>
      <c r="AW396" s="8" t="s">
        <v>233</v>
      </c>
      <c r="AX396" s="4" t="s">
        <v>233</v>
      </c>
      <c r="AY396" s="8" t="s">
        <v>233</v>
      </c>
      <c r="AZ396" s="7" t="s">
        <v>233</v>
      </c>
      <c r="BA396" s="7" t="s">
        <v>233</v>
      </c>
      <c r="BB396" s="7"/>
      <c r="BC396" s="4" t="s">
        <v>233</v>
      </c>
      <c r="BD396" s="8" t="s">
        <v>233</v>
      </c>
      <c r="BE396" s="4" t="s">
        <v>233</v>
      </c>
      <c r="BF396" s="8" t="s">
        <v>233</v>
      </c>
      <c r="BG396" s="7" t="s">
        <v>233</v>
      </c>
      <c r="BH396" s="7" t="s">
        <v>233</v>
      </c>
      <c r="BI396" s="7"/>
      <c r="BJ396" s="4">
        <v>45</v>
      </c>
      <c r="BK396" s="8">
        <v>1062.28</v>
      </c>
      <c r="BL396" s="2" t="s">
        <v>1803</v>
      </c>
      <c r="BM396" s="7"/>
      <c r="BN396" s="7"/>
      <c r="BO396" s="4"/>
      <c r="BP396" s="8"/>
      <c r="BQ396" s="4"/>
      <c r="BR396" s="8"/>
      <c r="BS396" s="7"/>
      <c r="BT396" s="7"/>
      <c r="BU396" s="2" t="s">
        <v>2387</v>
      </c>
      <c r="BV396" s="2" t="s">
        <v>233</v>
      </c>
      <c r="BW396" s="2" t="s">
        <v>233</v>
      </c>
      <c r="BX396" s="2" t="s">
        <v>241</v>
      </c>
      <c r="BY396" s="2" t="s">
        <v>242</v>
      </c>
      <c r="BZ396" s="2" t="s">
        <v>230</v>
      </c>
      <c r="CA396" s="2" t="s">
        <v>1269</v>
      </c>
      <c r="CB396" s="2" t="s">
        <v>2453</v>
      </c>
      <c r="CC396" s="2" t="s">
        <v>245</v>
      </c>
      <c r="CD396" s="2" t="s">
        <v>233</v>
      </c>
      <c r="CE396" s="4">
        <v>712</v>
      </c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>
        <v>742</v>
      </c>
      <c r="GD396" s="4">
        <v>680</v>
      </c>
      <c r="GE396" s="4">
        <v>651</v>
      </c>
      <c r="GF396" s="4">
        <v>615</v>
      </c>
      <c r="GG396" s="4">
        <v>553</v>
      </c>
      <c r="GH396" s="4">
        <v>523</v>
      </c>
      <c r="GI396" s="4">
        <v>494</v>
      </c>
      <c r="GJ396" s="4">
        <v>473</v>
      </c>
      <c r="GK396" s="4">
        <v>456</v>
      </c>
      <c r="GL396" s="4">
        <v>437</v>
      </c>
      <c r="GM396" s="4">
        <v>422</v>
      </c>
      <c r="GN396" s="4">
        <v>411</v>
      </c>
      <c r="GO396" s="4">
        <v>402</v>
      </c>
      <c r="GP396" s="4">
        <v>393</v>
      </c>
      <c r="GQ396" s="4">
        <v>383</v>
      </c>
      <c r="GR396" s="4">
        <v>373</v>
      </c>
      <c r="GS396" s="4">
        <v>363</v>
      </c>
      <c r="GT396" s="4">
        <v>353</v>
      </c>
      <c r="GU396" s="4">
        <v>344</v>
      </c>
      <c r="GV396" s="4">
        <v>335</v>
      </c>
      <c r="GW396" s="4">
        <v>327</v>
      </c>
      <c r="GX396" s="4">
        <v>319</v>
      </c>
      <c r="GY396" s="4">
        <v>311</v>
      </c>
      <c r="GZ396" s="4">
        <v>303</v>
      </c>
      <c r="HA396" s="4">
        <v>295</v>
      </c>
      <c r="HB396" s="4">
        <v>287</v>
      </c>
      <c r="HC396" s="19">
        <v>15.8</v>
      </c>
      <c r="HD396" s="19">
        <v>17.4</v>
      </c>
      <c r="HE396" s="19">
        <v>16.7</v>
      </c>
      <c r="HF396" s="19">
        <v>17.1</v>
      </c>
      <c r="HG396" s="19">
        <v>23</v>
      </c>
      <c r="HH396" s="19">
        <v>23.8</v>
      </c>
      <c r="HI396" s="19">
        <v>27.4</v>
      </c>
      <c r="HJ396" s="19">
        <v>29.6</v>
      </c>
      <c r="HK396" s="19">
        <v>32.6</v>
      </c>
      <c r="HL396" s="19">
        <v>39.7</v>
      </c>
      <c r="HM396" s="19">
        <v>42.2</v>
      </c>
      <c r="HN396" s="19">
        <v>41.1</v>
      </c>
      <c r="HO396" s="19">
        <v>40.2</v>
      </c>
      <c r="HP396" s="19">
        <v>39.3</v>
      </c>
      <c r="HQ396" s="19">
        <v>38.3</v>
      </c>
      <c r="HR396" s="19">
        <v>37.3</v>
      </c>
      <c r="HS396" s="19">
        <v>40.3</v>
      </c>
      <c r="HT396" s="19">
        <v>44.1</v>
      </c>
      <c r="HU396" s="19">
        <v>43</v>
      </c>
      <c r="HV396" s="19">
        <v>41.9</v>
      </c>
      <c r="HW396" s="19">
        <v>40.9</v>
      </c>
      <c r="HX396" s="19">
        <v>39.9</v>
      </c>
      <c r="HY396" s="19">
        <v>38.9</v>
      </c>
      <c r="HZ396" s="19">
        <v>37.9</v>
      </c>
      <c r="IA396" s="19">
        <v>36.9</v>
      </c>
      <c r="IB396" s="19">
        <v>41</v>
      </c>
    </row>
    <row r="397">
      <c r="A397" s="2" t="s">
        <v>2454</v>
      </c>
      <c r="B397" s="2" t="s">
        <v>279</v>
      </c>
      <c r="C397" s="2" t="s">
        <v>2381</v>
      </c>
      <c r="D397" s="2" t="s">
        <v>281</v>
      </c>
      <c r="E397" s="2" t="s">
        <v>282</v>
      </c>
      <c r="F397" s="2" t="s">
        <v>2382</v>
      </c>
      <c r="G397" s="2" t="s">
        <v>2382</v>
      </c>
      <c r="H397" s="2" t="s">
        <v>2382</v>
      </c>
      <c r="I397" s="2" t="s">
        <v>2383</v>
      </c>
      <c r="J397" s="2" t="s">
        <v>256</v>
      </c>
      <c r="K397" s="2" t="s">
        <v>2445</v>
      </c>
      <c r="L397" s="3">
        <v>27.39</v>
      </c>
      <c r="M397" s="3">
        <v>28.76</v>
      </c>
      <c r="N397" s="3">
        <v>62.99</v>
      </c>
      <c r="O397" s="2" t="s">
        <v>230</v>
      </c>
      <c r="P397" s="2" t="s">
        <v>231</v>
      </c>
      <c r="Q397" s="2" t="s">
        <v>232</v>
      </c>
      <c r="R397" s="2" t="s">
        <v>233</v>
      </c>
      <c r="S397" s="2" t="s">
        <v>2446</v>
      </c>
      <c r="T397" s="2" t="s">
        <v>2310</v>
      </c>
      <c r="U397" s="2" t="s">
        <v>287</v>
      </c>
      <c r="V397" s="2" t="s">
        <v>2311</v>
      </c>
      <c r="W397" s="2" t="s">
        <v>915</v>
      </c>
      <c r="X397" s="2" t="s">
        <v>237</v>
      </c>
      <c r="Y397" s="2" t="s">
        <v>2447</v>
      </c>
      <c r="Z397" s="4">
        <v>267</v>
      </c>
      <c r="AA397" s="4">
        <f>=ROUNDDOWN(44.5,0)</f>
      </c>
      <c r="AB397" s="5">
        <v>6</v>
      </c>
      <c r="AC397" s="2" t="s">
        <v>233</v>
      </c>
      <c r="AD397" s="4"/>
      <c r="AE397" s="4"/>
      <c r="AF397" s="6">
        <v>74</v>
      </c>
      <c r="AG397" s="6"/>
      <c r="AH397" s="7">
        <v>1</v>
      </c>
      <c r="AI397" s="4"/>
      <c r="AJ397" s="4">
        <f>=ROUNDDOWN({0},0)</f>
      </c>
      <c r="AK397" s="5"/>
      <c r="AL397" s="2" t="s">
        <v>233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233</v>
      </c>
      <c r="AW397" s="8" t="s">
        <v>233</v>
      </c>
      <c r="AX397" s="4" t="s">
        <v>233</v>
      </c>
      <c r="AY397" s="8" t="s">
        <v>233</v>
      </c>
      <c r="AZ397" s="7" t="s">
        <v>233</v>
      </c>
      <c r="BA397" s="7" t="s">
        <v>233</v>
      </c>
      <c r="BB397" s="7"/>
      <c r="BC397" s="4" t="s">
        <v>233</v>
      </c>
      <c r="BD397" s="8" t="s">
        <v>233</v>
      </c>
      <c r="BE397" s="4" t="s">
        <v>233</v>
      </c>
      <c r="BF397" s="8" t="s">
        <v>233</v>
      </c>
      <c r="BG397" s="7" t="s">
        <v>233</v>
      </c>
      <c r="BH397" s="7" t="s">
        <v>233</v>
      </c>
      <c r="BI397" s="7"/>
      <c r="BJ397" s="4">
        <v>34</v>
      </c>
      <c r="BK397" s="8">
        <v>1100.27</v>
      </c>
      <c r="BL397" s="2" t="s">
        <v>2455</v>
      </c>
      <c r="BM397" s="7"/>
      <c r="BN397" s="7"/>
      <c r="BO397" s="4"/>
      <c r="BP397" s="8"/>
      <c r="BQ397" s="4"/>
      <c r="BR397" s="8"/>
      <c r="BS397" s="7"/>
      <c r="BT397" s="7"/>
      <c r="BU397" s="2" t="s">
        <v>2387</v>
      </c>
      <c r="BV397" s="2" t="s">
        <v>233</v>
      </c>
      <c r="BW397" s="2" t="s">
        <v>233</v>
      </c>
      <c r="BX397" s="2" t="s">
        <v>241</v>
      </c>
      <c r="BY397" s="2" t="s">
        <v>242</v>
      </c>
      <c r="BZ397" s="2" t="s">
        <v>230</v>
      </c>
      <c r="CA397" s="2" t="s">
        <v>1269</v>
      </c>
      <c r="CB397" s="2" t="s">
        <v>2456</v>
      </c>
      <c r="CC397" s="2" t="s">
        <v>245</v>
      </c>
      <c r="CD397" s="2" t="s">
        <v>233</v>
      </c>
      <c r="CE397" s="4">
        <v>267</v>
      </c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>
        <v>279</v>
      </c>
      <c r="GD397" s="4">
        <v>220</v>
      </c>
      <c r="GE397" s="4">
        <v>209</v>
      </c>
      <c r="GF397" s="4">
        <v>197</v>
      </c>
      <c r="GG397" s="4">
        <v>176</v>
      </c>
      <c r="GH397" s="4">
        <v>165</v>
      </c>
      <c r="GI397" s="4">
        <v>155</v>
      </c>
      <c r="GJ397" s="4">
        <v>148</v>
      </c>
      <c r="GK397" s="4">
        <v>142</v>
      </c>
      <c r="GL397" s="4">
        <v>135</v>
      </c>
      <c r="GM397" s="4">
        <v>130</v>
      </c>
      <c r="GN397" s="4">
        <v>126</v>
      </c>
      <c r="GO397" s="4">
        <v>122</v>
      </c>
      <c r="GP397" s="4">
        <v>118</v>
      </c>
      <c r="GQ397" s="4">
        <v>114</v>
      </c>
      <c r="GR397" s="4">
        <v>110</v>
      </c>
      <c r="GS397" s="4">
        <v>106</v>
      </c>
      <c r="GT397" s="4">
        <v>102</v>
      </c>
      <c r="GU397" s="4">
        <v>98</v>
      </c>
      <c r="GV397" s="4">
        <v>94</v>
      </c>
      <c r="GW397" s="4">
        <v>91</v>
      </c>
      <c r="GX397" s="4">
        <v>88</v>
      </c>
      <c r="GY397" s="4">
        <v>85</v>
      </c>
      <c r="GZ397" s="4">
        <v>82</v>
      </c>
      <c r="HA397" s="4">
        <v>79</v>
      </c>
      <c r="HB397" s="4">
        <v>76</v>
      </c>
      <c r="HC397" s="19">
        <v>10.7</v>
      </c>
      <c r="HD397" s="19">
        <v>15.7</v>
      </c>
      <c r="HE397" s="19">
        <v>14.9</v>
      </c>
      <c r="HF397" s="19">
        <v>16.4</v>
      </c>
      <c r="HG397" s="19">
        <v>22</v>
      </c>
      <c r="HH397" s="19">
        <v>20.6</v>
      </c>
      <c r="HI397" s="19">
        <v>25.8</v>
      </c>
      <c r="HJ397" s="19">
        <v>24.7</v>
      </c>
      <c r="HK397" s="19">
        <v>28.4</v>
      </c>
      <c r="HL397" s="19">
        <v>33.8</v>
      </c>
      <c r="HM397" s="19">
        <v>32.5</v>
      </c>
      <c r="HN397" s="19">
        <v>31.5</v>
      </c>
      <c r="HO397" s="19">
        <v>30.5</v>
      </c>
      <c r="HP397" s="19">
        <v>29.5</v>
      </c>
      <c r="HQ397" s="19">
        <v>28.5</v>
      </c>
      <c r="HR397" s="19">
        <v>27.5</v>
      </c>
      <c r="HS397" s="19">
        <v>26.5</v>
      </c>
      <c r="HT397" s="19">
        <v>25.5</v>
      </c>
      <c r="HU397" s="19">
        <v>32.7</v>
      </c>
      <c r="HV397" s="19">
        <v>31.3</v>
      </c>
      <c r="HW397" s="19">
        <v>30.3</v>
      </c>
      <c r="HX397" s="19">
        <v>29.3</v>
      </c>
      <c r="HY397" s="19">
        <v>28.3</v>
      </c>
      <c r="HZ397" s="19">
        <v>27.3</v>
      </c>
      <c r="IA397" s="19">
        <v>39.5</v>
      </c>
      <c r="IB397" s="19">
        <v>38</v>
      </c>
    </row>
    <row r="398">
      <c r="A398" s="2" t="s">
        <v>2457</v>
      </c>
      <c r="B398" s="2" t="s">
        <v>279</v>
      </c>
      <c r="C398" s="2" t="s">
        <v>2381</v>
      </c>
      <c r="D398" s="2" t="s">
        <v>281</v>
      </c>
      <c r="E398" s="2" t="s">
        <v>282</v>
      </c>
      <c r="F398" s="2" t="s">
        <v>2382</v>
      </c>
      <c r="G398" s="2" t="s">
        <v>2382</v>
      </c>
      <c r="H398" s="2" t="s">
        <v>2382</v>
      </c>
      <c r="I398" s="2" t="s">
        <v>2383</v>
      </c>
      <c r="J398" s="2" t="s">
        <v>285</v>
      </c>
      <c r="K398" s="2" t="s">
        <v>2445</v>
      </c>
      <c r="L398" s="3">
        <v>27.39</v>
      </c>
      <c r="M398" s="3">
        <v>28.76</v>
      </c>
      <c r="N398" s="3">
        <v>62.99</v>
      </c>
      <c r="O398" s="2" t="s">
        <v>230</v>
      </c>
      <c r="P398" s="2" t="s">
        <v>231</v>
      </c>
      <c r="Q398" s="2" t="s">
        <v>232</v>
      </c>
      <c r="R398" s="2" t="s">
        <v>233</v>
      </c>
      <c r="S398" s="2" t="s">
        <v>2446</v>
      </c>
      <c r="T398" s="2" t="s">
        <v>2310</v>
      </c>
      <c r="U398" s="2" t="s">
        <v>287</v>
      </c>
      <c r="V398" s="2" t="s">
        <v>2311</v>
      </c>
      <c r="W398" s="2" t="s">
        <v>915</v>
      </c>
      <c r="X398" s="2" t="s">
        <v>237</v>
      </c>
      <c r="Y398" s="2" t="s">
        <v>2447</v>
      </c>
      <c r="Z398" s="4">
        <v>262</v>
      </c>
      <c r="AA398" s="4">
        <f>=ROUNDDOWN(43.6666666666667,0)</f>
      </c>
      <c r="AB398" s="5">
        <v>6</v>
      </c>
      <c r="AC398" s="2" t="s">
        <v>233</v>
      </c>
      <c r="AD398" s="4"/>
      <c r="AE398" s="4"/>
      <c r="AF398" s="6">
        <v>74</v>
      </c>
      <c r="AG398" s="6"/>
      <c r="AH398" s="7">
        <v>1</v>
      </c>
      <c r="AI398" s="4"/>
      <c r="AJ398" s="4">
        <f>=ROUNDDOWN({0},0)</f>
      </c>
      <c r="AK398" s="5"/>
      <c r="AL398" s="2" t="s">
        <v>233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233</v>
      </c>
      <c r="AW398" s="8" t="s">
        <v>233</v>
      </c>
      <c r="AX398" s="4" t="s">
        <v>233</v>
      </c>
      <c r="AY398" s="8" t="s">
        <v>233</v>
      </c>
      <c r="AZ398" s="7" t="s">
        <v>233</v>
      </c>
      <c r="BA398" s="7" t="s">
        <v>233</v>
      </c>
      <c r="BB398" s="7"/>
      <c r="BC398" s="4" t="s">
        <v>233</v>
      </c>
      <c r="BD398" s="8" t="s">
        <v>233</v>
      </c>
      <c r="BE398" s="4" t="s">
        <v>233</v>
      </c>
      <c r="BF398" s="8" t="s">
        <v>233</v>
      </c>
      <c r="BG398" s="7" t="s">
        <v>233</v>
      </c>
      <c r="BH398" s="7" t="s">
        <v>233</v>
      </c>
      <c r="BI398" s="7"/>
      <c r="BJ398" s="4">
        <v>16</v>
      </c>
      <c r="BK398" s="8">
        <v>502.63</v>
      </c>
      <c r="BL398" s="2" t="s">
        <v>373</v>
      </c>
      <c r="BM398" s="7"/>
      <c r="BN398" s="7"/>
      <c r="BO398" s="4"/>
      <c r="BP398" s="8"/>
      <c r="BQ398" s="4"/>
      <c r="BR398" s="8"/>
      <c r="BS398" s="7"/>
      <c r="BT398" s="7"/>
      <c r="BU398" s="2" t="s">
        <v>2387</v>
      </c>
      <c r="BV398" s="2" t="s">
        <v>233</v>
      </c>
      <c r="BW398" s="2" t="s">
        <v>233</v>
      </c>
      <c r="BX398" s="2" t="s">
        <v>241</v>
      </c>
      <c r="BY398" s="2" t="s">
        <v>242</v>
      </c>
      <c r="BZ398" s="2" t="s">
        <v>230</v>
      </c>
      <c r="CA398" s="2" t="s">
        <v>1269</v>
      </c>
      <c r="CB398" s="2" t="s">
        <v>233</v>
      </c>
      <c r="CC398" s="2" t="s">
        <v>245</v>
      </c>
      <c r="CD398" s="2" t="s">
        <v>233</v>
      </c>
      <c r="CE398" s="4">
        <v>262</v>
      </c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>
        <v>263</v>
      </c>
      <c r="GD398" s="4">
        <v>244</v>
      </c>
      <c r="GE398" s="4">
        <v>233</v>
      </c>
      <c r="GF398" s="4">
        <v>219</v>
      </c>
      <c r="GG398" s="4">
        <v>192</v>
      </c>
      <c r="GH398" s="4">
        <v>179</v>
      </c>
      <c r="GI398" s="4">
        <v>167</v>
      </c>
      <c r="GJ398" s="4">
        <v>159</v>
      </c>
      <c r="GK398" s="4">
        <v>153</v>
      </c>
      <c r="GL398" s="4">
        <v>146</v>
      </c>
      <c r="GM398" s="4">
        <v>141</v>
      </c>
      <c r="GN398" s="4">
        <v>137</v>
      </c>
      <c r="GO398" s="4">
        <v>134</v>
      </c>
      <c r="GP398" s="4">
        <v>131</v>
      </c>
      <c r="GQ398" s="4">
        <v>127</v>
      </c>
      <c r="GR398" s="4">
        <v>123</v>
      </c>
      <c r="GS398" s="4">
        <v>119</v>
      </c>
      <c r="GT398" s="4">
        <v>115</v>
      </c>
      <c r="GU398" s="4">
        <v>112</v>
      </c>
      <c r="GV398" s="4">
        <v>109</v>
      </c>
      <c r="GW398" s="4">
        <v>106</v>
      </c>
      <c r="GX398" s="4">
        <v>103</v>
      </c>
      <c r="GY398" s="4">
        <v>100</v>
      </c>
      <c r="GZ398" s="4">
        <v>97</v>
      </c>
      <c r="HA398" s="4">
        <v>94</v>
      </c>
      <c r="HB398" s="4">
        <v>91</v>
      </c>
      <c r="HC398" s="19">
        <v>14.6</v>
      </c>
      <c r="HD398" s="19">
        <v>15.3</v>
      </c>
      <c r="HE398" s="19">
        <v>14.6</v>
      </c>
      <c r="HF398" s="19">
        <v>14.6</v>
      </c>
      <c r="HG398" s="19">
        <v>19.2</v>
      </c>
      <c r="HH398" s="19">
        <v>22.4</v>
      </c>
      <c r="HI398" s="19">
        <v>27.8</v>
      </c>
      <c r="HJ398" s="19">
        <v>26.5</v>
      </c>
      <c r="HK398" s="19">
        <v>30.6</v>
      </c>
      <c r="HL398" s="19">
        <v>36.5</v>
      </c>
      <c r="HM398" s="19">
        <v>35.3</v>
      </c>
      <c r="HN398" s="19">
        <v>34.3</v>
      </c>
      <c r="HO398" s="19">
        <v>33.5</v>
      </c>
      <c r="HP398" s="19">
        <v>32.8</v>
      </c>
      <c r="HQ398" s="19">
        <v>31.8</v>
      </c>
      <c r="HR398" s="19">
        <v>30.8</v>
      </c>
      <c r="HS398" s="19">
        <v>39.7</v>
      </c>
      <c r="HT398" s="19">
        <v>38.3</v>
      </c>
      <c r="HU398" s="19">
        <v>37.3</v>
      </c>
      <c r="HV398" s="19">
        <v>36.3</v>
      </c>
      <c r="HW398" s="19">
        <v>35.3</v>
      </c>
      <c r="HX398" s="19">
        <v>34.3</v>
      </c>
      <c r="HY398" s="19">
        <v>33.3</v>
      </c>
      <c r="HZ398" s="19">
        <v>32.3</v>
      </c>
      <c r="IA398" s="19">
        <v>31.3</v>
      </c>
      <c r="IB398" s="19">
        <v>30.3</v>
      </c>
    </row>
    <row r="399">
      <c r="A399" s="2" t="s">
        <v>2458</v>
      </c>
      <c r="B399" s="2" t="s">
        <v>279</v>
      </c>
      <c r="C399" s="2" t="s">
        <v>2381</v>
      </c>
      <c r="D399" s="2" t="s">
        <v>281</v>
      </c>
      <c r="E399" s="2" t="s">
        <v>282</v>
      </c>
      <c r="F399" s="2" t="s">
        <v>2382</v>
      </c>
      <c r="G399" s="2" t="s">
        <v>2382</v>
      </c>
      <c r="H399" s="2" t="s">
        <v>2382</v>
      </c>
      <c r="I399" s="2" t="s">
        <v>2383</v>
      </c>
      <c r="J399" s="2" t="s">
        <v>228</v>
      </c>
      <c r="K399" s="2" t="s">
        <v>2459</v>
      </c>
      <c r="L399" s="3">
        <v>14.89</v>
      </c>
      <c r="M399" s="3">
        <v>15.63</v>
      </c>
      <c r="N399" s="3">
        <v>31.99</v>
      </c>
      <c r="O399" s="2" t="s">
        <v>230</v>
      </c>
      <c r="P399" s="2" t="s">
        <v>231</v>
      </c>
      <c r="Q399" s="2" t="s">
        <v>232</v>
      </c>
      <c r="R399" s="2" t="s">
        <v>233</v>
      </c>
      <c r="S399" s="2" t="s">
        <v>2460</v>
      </c>
      <c r="T399" s="2" t="s">
        <v>2310</v>
      </c>
      <c r="U399" s="2" t="s">
        <v>781</v>
      </c>
      <c r="V399" s="2" t="s">
        <v>2311</v>
      </c>
      <c r="W399" s="2" t="s">
        <v>915</v>
      </c>
      <c r="X399" s="2" t="s">
        <v>237</v>
      </c>
      <c r="Y399" s="2" t="s">
        <v>2461</v>
      </c>
      <c r="Z399" s="4">
        <v>491</v>
      </c>
      <c r="AA399" s="4">
        <f>=ROUNDDOWN(23.3809523809524,0)</f>
      </c>
      <c r="AB399" s="5">
        <v>21</v>
      </c>
      <c r="AC399" s="2" t="s">
        <v>2462</v>
      </c>
      <c r="AD399" s="4">
        <v>90</v>
      </c>
      <c r="AE399" s="4">
        <v>90</v>
      </c>
      <c r="AF399" s="6">
        <v>74</v>
      </c>
      <c r="AG399" s="6"/>
      <c r="AH399" s="7">
        <v>1</v>
      </c>
      <c r="AI399" s="4"/>
      <c r="AJ399" s="4">
        <f>=ROUNDDOWN({0},0)</f>
      </c>
      <c r="AK399" s="5"/>
      <c r="AL399" s="2" t="s">
        <v>233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233</v>
      </c>
      <c r="AW399" s="8" t="s">
        <v>233</v>
      </c>
      <c r="AX399" s="4" t="s">
        <v>233</v>
      </c>
      <c r="AY399" s="8" t="s">
        <v>233</v>
      </c>
      <c r="AZ399" s="7" t="s">
        <v>233</v>
      </c>
      <c r="BA399" s="7" t="s">
        <v>233</v>
      </c>
      <c r="BB399" s="7"/>
      <c r="BC399" s="4" t="s">
        <v>233</v>
      </c>
      <c r="BD399" s="8" t="s">
        <v>233</v>
      </c>
      <c r="BE399" s="4" t="s">
        <v>233</v>
      </c>
      <c r="BF399" s="8" t="s">
        <v>233</v>
      </c>
      <c r="BG399" s="7" t="s">
        <v>233</v>
      </c>
      <c r="BH399" s="7" t="s">
        <v>233</v>
      </c>
      <c r="BI399" s="7"/>
      <c r="BJ399" s="4">
        <v>235</v>
      </c>
      <c r="BK399" s="8">
        <v>4032.11</v>
      </c>
      <c r="BL399" s="2" t="s">
        <v>1361</v>
      </c>
      <c r="BM399" s="7"/>
      <c r="BN399" s="7"/>
      <c r="BO399" s="4"/>
      <c r="BP399" s="8"/>
      <c r="BQ399" s="4"/>
      <c r="BR399" s="8"/>
      <c r="BS399" s="7"/>
      <c r="BT399" s="7"/>
      <c r="BU399" s="2" t="s">
        <v>2387</v>
      </c>
      <c r="BV399" s="2" t="s">
        <v>233</v>
      </c>
      <c r="BW399" s="2" t="s">
        <v>233</v>
      </c>
      <c r="BX399" s="2" t="s">
        <v>241</v>
      </c>
      <c r="BY399" s="2" t="s">
        <v>242</v>
      </c>
      <c r="BZ399" s="2" t="s">
        <v>230</v>
      </c>
      <c r="CA399" s="2" t="s">
        <v>1269</v>
      </c>
      <c r="CB399" s="2" t="s">
        <v>233</v>
      </c>
      <c r="CC399" s="2" t="s">
        <v>245</v>
      </c>
      <c r="CD399" s="2" t="s">
        <v>233</v>
      </c>
      <c r="CE399" s="4">
        <v>491</v>
      </c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>
        <v>90</v>
      </c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>
        <v>539</v>
      </c>
      <c r="GD399" s="4">
        <v>509</v>
      </c>
      <c r="GE399" s="4">
        <v>472</v>
      </c>
      <c r="GF399" s="4">
        <v>427</v>
      </c>
      <c r="GG399" s="4">
        <v>351</v>
      </c>
      <c r="GH399" s="4">
        <v>313</v>
      </c>
      <c r="GI399" s="4">
        <v>276</v>
      </c>
      <c r="GJ399" s="4">
        <v>249</v>
      </c>
      <c r="GK399" s="4">
        <v>228</v>
      </c>
      <c r="GL399" s="4">
        <v>204</v>
      </c>
      <c r="GM399" s="4">
        <v>185</v>
      </c>
      <c r="GN399" s="4">
        <v>171</v>
      </c>
      <c r="GO399" s="4">
        <v>159</v>
      </c>
      <c r="GP399" s="4">
        <v>147</v>
      </c>
      <c r="GQ399" s="4">
        <v>134</v>
      </c>
      <c r="GR399" s="4">
        <v>121</v>
      </c>
      <c r="GS399" s="4">
        <v>198</v>
      </c>
      <c r="GT399" s="4">
        <v>185</v>
      </c>
      <c r="GU399" s="4">
        <v>174</v>
      </c>
      <c r="GV399" s="4">
        <v>163</v>
      </c>
      <c r="GW399" s="4">
        <v>153</v>
      </c>
      <c r="GX399" s="4">
        <v>143</v>
      </c>
      <c r="GY399" s="4">
        <v>133</v>
      </c>
      <c r="GZ399" s="4">
        <v>123</v>
      </c>
      <c r="HA399" s="4">
        <v>113</v>
      </c>
      <c r="HB399" s="4">
        <v>103</v>
      </c>
      <c r="HC399" s="19">
        <v>11.5</v>
      </c>
      <c r="HD399" s="19">
        <v>10.4</v>
      </c>
      <c r="HE399" s="19">
        <v>9.6</v>
      </c>
      <c r="HF399" s="19">
        <v>9.7</v>
      </c>
      <c r="HG399" s="19">
        <v>11.3</v>
      </c>
      <c r="HH399" s="19">
        <v>11.6</v>
      </c>
      <c r="HI399" s="19">
        <v>12</v>
      </c>
      <c r="HJ399" s="19">
        <v>12.5</v>
      </c>
      <c r="HK399" s="19">
        <v>13.4</v>
      </c>
      <c r="HL399" s="19">
        <v>14.6</v>
      </c>
      <c r="HM399" s="19">
        <v>14.2</v>
      </c>
      <c r="HN399" s="19">
        <v>14.3</v>
      </c>
      <c r="HO399" s="19">
        <v>12.2</v>
      </c>
      <c r="HP399" s="19">
        <v>11.3</v>
      </c>
      <c r="HQ399" s="19">
        <v>11.2</v>
      </c>
      <c r="HR399" s="19">
        <v>10.1</v>
      </c>
      <c r="HS399" s="19">
        <v>18</v>
      </c>
      <c r="HT399" s="19">
        <v>18.5</v>
      </c>
      <c r="HU399" s="19">
        <v>17.4</v>
      </c>
      <c r="HV399" s="19">
        <v>16.3</v>
      </c>
      <c r="HW399" s="19">
        <v>15.3</v>
      </c>
      <c r="HX399" s="19">
        <v>14.3</v>
      </c>
      <c r="HY399" s="19">
        <v>13.3</v>
      </c>
      <c r="HZ399" s="19">
        <v>12.3</v>
      </c>
      <c r="IA399" s="19">
        <v>12.6</v>
      </c>
      <c r="IB399" s="19">
        <v>12.9</v>
      </c>
    </row>
    <row r="400">
      <c r="A400" s="2" t="s">
        <v>2463</v>
      </c>
      <c r="B400" s="2" t="s">
        <v>279</v>
      </c>
      <c r="C400" s="2" t="s">
        <v>2381</v>
      </c>
      <c r="D400" s="2" t="s">
        <v>281</v>
      </c>
      <c r="E400" s="2" t="s">
        <v>282</v>
      </c>
      <c r="F400" s="2" t="s">
        <v>2382</v>
      </c>
      <c r="G400" s="2" t="s">
        <v>2382</v>
      </c>
      <c r="H400" s="2" t="s">
        <v>2382</v>
      </c>
      <c r="I400" s="2" t="s">
        <v>2383</v>
      </c>
      <c r="J400" s="2" t="s">
        <v>247</v>
      </c>
      <c r="K400" s="2" t="s">
        <v>2459</v>
      </c>
      <c r="L400" s="3">
        <v>16.16</v>
      </c>
      <c r="M400" s="3">
        <v>16.97</v>
      </c>
      <c r="N400" s="3">
        <v>34.99</v>
      </c>
      <c r="O400" s="2" t="s">
        <v>230</v>
      </c>
      <c r="P400" s="2" t="s">
        <v>231</v>
      </c>
      <c r="Q400" s="2" t="s">
        <v>232</v>
      </c>
      <c r="R400" s="2" t="s">
        <v>233</v>
      </c>
      <c r="S400" s="2" t="s">
        <v>2460</v>
      </c>
      <c r="T400" s="2" t="s">
        <v>2310</v>
      </c>
      <c r="U400" s="2" t="s">
        <v>781</v>
      </c>
      <c r="V400" s="2" t="s">
        <v>2311</v>
      </c>
      <c r="W400" s="2" t="s">
        <v>915</v>
      </c>
      <c r="X400" s="2" t="s">
        <v>237</v>
      </c>
      <c r="Y400" s="2" t="s">
        <v>2461</v>
      </c>
      <c r="Z400" s="4"/>
      <c r="AA400" s="4">
        <f>=ROUNDDOWN({0},0)</f>
      </c>
      <c r="AB400" s="5">
        <v>15</v>
      </c>
      <c r="AC400" s="2" t="s">
        <v>2411</v>
      </c>
      <c r="AD400" s="4">
        <v>250</v>
      </c>
      <c r="AE400" s="4">
        <v>350</v>
      </c>
      <c r="AF400" s="6">
        <v>74</v>
      </c>
      <c r="AG400" s="6"/>
      <c r="AH400" s="7">
        <v>0.2581</v>
      </c>
      <c r="AI400" s="4"/>
      <c r="AJ400" s="4">
        <f>=ROUNDDOWN({0},0)</f>
      </c>
      <c r="AK400" s="5"/>
      <c r="AL400" s="2" t="s">
        <v>233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233</v>
      </c>
      <c r="AW400" s="8" t="s">
        <v>233</v>
      </c>
      <c r="AX400" s="4" t="s">
        <v>233</v>
      </c>
      <c r="AY400" s="8" t="s">
        <v>233</v>
      </c>
      <c r="AZ400" s="7" t="s">
        <v>233</v>
      </c>
      <c r="BA400" s="7" t="s">
        <v>233</v>
      </c>
      <c r="BB400" s="7"/>
      <c r="BC400" s="4" t="s">
        <v>233</v>
      </c>
      <c r="BD400" s="8" t="s">
        <v>233</v>
      </c>
      <c r="BE400" s="4" t="s">
        <v>233</v>
      </c>
      <c r="BF400" s="8" t="s">
        <v>233</v>
      </c>
      <c r="BG400" s="7" t="s">
        <v>233</v>
      </c>
      <c r="BH400" s="7" t="s">
        <v>233</v>
      </c>
      <c r="BI400" s="7"/>
      <c r="BJ400" s="4">
        <v>100</v>
      </c>
      <c r="BK400" s="8">
        <v>1860.21</v>
      </c>
      <c r="BL400" s="2" t="s">
        <v>2464</v>
      </c>
      <c r="BM400" s="7"/>
      <c r="BN400" s="7"/>
      <c r="BO400" s="4"/>
      <c r="BP400" s="8"/>
      <c r="BQ400" s="4"/>
      <c r="BR400" s="8"/>
      <c r="BS400" s="7"/>
      <c r="BT400" s="7"/>
      <c r="BU400" s="2" t="s">
        <v>2387</v>
      </c>
      <c r="BV400" s="2" t="s">
        <v>233</v>
      </c>
      <c r="BW400" s="2" t="s">
        <v>233</v>
      </c>
      <c r="BX400" s="2" t="s">
        <v>241</v>
      </c>
      <c r="BY400" s="2" t="s">
        <v>242</v>
      </c>
      <c r="BZ400" s="2" t="s">
        <v>230</v>
      </c>
      <c r="CA400" s="2" t="s">
        <v>1269</v>
      </c>
      <c r="CB400" s="2" t="s">
        <v>233</v>
      </c>
      <c r="CC400" s="2" t="s">
        <v>245</v>
      </c>
      <c r="CD400" s="2" t="s">
        <v>233</v>
      </c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>
        <v>250</v>
      </c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>
        <v>100</v>
      </c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>
        <v>250</v>
      </c>
      <c r="GO400" s="4">
        <v>197</v>
      </c>
      <c r="GP400" s="4">
        <v>189</v>
      </c>
      <c r="GQ400" s="4">
        <v>180</v>
      </c>
      <c r="GR400" s="4">
        <v>171</v>
      </c>
      <c r="GS400" s="4">
        <v>262</v>
      </c>
      <c r="GT400" s="4">
        <v>253</v>
      </c>
      <c r="GU400" s="4">
        <v>245</v>
      </c>
      <c r="GV400" s="4">
        <v>237</v>
      </c>
      <c r="GW400" s="4">
        <v>230</v>
      </c>
      <c r="GX400" s="4">
        <v>223</v>
      </c>
      <c r="GY400" s="4">
        <v>216</v>
      </c>
      <c r="GZ400" s="4">
        <v>209</v>
      </c>
      <c r="HA400" s="4">
        <v>202</v>
      </c>
      <c r="HB400" s="4">
        <v>195</v>
      </c>
      <c r="HC400" s="20">
        <v>0</v>
      </c>
      <c r="HD400" s="20">
        <v>0</v>
      </c>
      <c r="HE400" s="20">
        <v>0</v>
      </c>
      <c r="HF400" s="20">
        <v>0</v>
      </c>
      <c r="HG400" s="20">
        <v>0</v>
      </c>
      <c r="HH400" s="20">
        <v>0</v>
      </c>
      <c r="HI400" s="20">
        <v>0</v>
      </c>
      <c r="HJ400" s="20">
        <v>0</v>
      </c>
      <c r="HK400" s="20">
        <v>0</v>
      </c>
      <c r="HL400" s="20">
        <v>0</v>
      </c>
      <c r="HM400" s="20">
        <v>0</v>
      </c>
      <c r="HN400" s="19">
        <v>12.5</v>
      </c>
      <c r="HO400" s="19">
        <v>21.9</v>
      </c>
      <c r="HP400" s="19">
        <v>21</v>
      </c>
      <c r="HQ400" s="19">
        <v>20</v>
      </c>
      <c r="HR400" s="19">
        <v>21.4</v>
      </c>
      <c r="HS400" s="19">
        <v>32.8</v>
      </c>
      <c r="HT400" s="19">
        <v>31.6</v>
      </c>
      <c r="HU400" s="19">
        <v>35</v>
      </c>
      <c r="HV400" s="19">
        <v>33.9</v>
      </c>
      <c r="HW400" s="19">
        <v>32.9</v>
      </c>
      <c r="HX400" s="19">
        <v>31.9</v>
      </c>
      <c r="HY400" s="19">
        <v>30.9</v>
      </c>
      <c r="HZ400" s="19">
        <v>29.9</v>
      </c>
      <c r="IA400" s="19">
        <v>33.7</v>
      </c>
      <c r="IB400" s="19">
        <v>32.5</v>
      </c>
    </row>
    <row r="401">
      <c r="A401" s="2" t="s">
        <v>2465</v>
      </c>
      <c r="B401" s="2" t="s">
        <v>279</v>
      </c>
      <c r="C401" s="2" t="s">
        <v>2381</v>
      </c>
      <c r="D401" s="2" t="s">
        <v>281</v>
      </c>
      <c r="E401" s="2" t="s">
        <v>282</v>
      </c>
      <c r="F401" s="2" t="s">
        <v>2382</v>
      </c>
      <c r="G401" s="2" t="s">
        <v>2382</v>
      </c>
      <c r="H401" s="2" t="s">
        <v>2382</v>
      </c>
      <c r="I401" s="2" t="s">
        <v>2383</v>
      </c>
      <c r="J401" s="2" t="s">
        <v>336</v>
      </c>
      <c r="K401" s="2" t="s">
        <v>2459</v>
      </c>
      <c r="L401" s="3">
        <v>22.21</v>
      </c>
      <c r="M401" s="3">
        <v>23.32</v>
      </c>
      <c r="N401" s="3">
        <v>47.99</v>
      </c>
      <c r="O401" s="2" t="s">
        <v>230</v>
      </c>
      <c r="P401" s="2" t="s">
        <v>597</v>
      </c>
      <c r="Q401" s="2" t="s">
        <v>232</v>
      </c>
      <c r="R401" s="2" t="s">
        <v>233</v>
      </c>
      <c r="S401" s="2" t="s">
        <v>2460</v>
      </c>
      <c r="T401" s="2" t="s">
        <v>2310</v>
      </c>
      <c r="U401" s="2" t="s">
        <v>287</v>
      </c>
      <c r="V401" s="2" t="s">
        <v>2311</v>
      </c>
      <c r="W401" s="2" t="s">
        <v>915</v>
      </c>
      <c r="X401" s="2" t="s">
        <v>237</v>
      </c>
      <c r="Y401" s="2" t="s">
        <v>2466</v>
      </c>
      <c r="Z401" s="4"/>
      <c r="AA401" s="4">
        <f>=ROUNDDOWN({0},0)</f>
      </c>
      <c r="AB401" s="5">
        <v>72</v>
      </c>
      <c r="AC401" s="2" t="s">
        <v>2411</v>
      </c>
      <c r="AD401" s="4">
        <v>360</v>
      </c>
      <c r="AE401" s="4">
        <v>760</v>
      </c>
      <c r="AF401" s="6">
        <v>74</v>
      </c>
      <c r="AG401" s="6"/>
      <c r="AH401" s="7">
        <v>0.3548</v>
      </c>
      <c r="AI401" s="4"/>
      <c r="AJ401" s="4">
        <f>=ROUNDDOWN({0},0)</f>
      </c>
      <c r="AK401" s="5"/>
      <c r="AL401" s="2" t="s">
        <v>233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233</v>
      </c>
      <c r="AW401" s="8" t="s">
        <v>233</v>
      </c>
      <c r="AX401" s="4" t="s">
        <v>233</v>
      </c>
      <c r="AY401" s="8" t="s">
        <v>233</v>
      </c>
      <c r="AZ401" s="7" t="s">
        <v>233</v>
      </c>
      <c r="BA401" s="7" t="s">
        <v>233</v>
      </c>
      <c r="BB401" s="7"/>
      <c r="BC401" s="4" t="s">
        <v>233</v>
      </c>
      <c r="BD401" s="8" t="s">
        <v>233</v>
      </c>
      <c r="BE401" s="4" t="s">
        <v>233</v>
      </c>
      <c r="BF401" s="8" t="s">
        <v>233</v>
      </c>
      <c r="BG401" s="7" t="s">
        <v>233</v>
      </c>
      <c r="BH401" s="7" t="s">
        <v>233</v>
      </c>
      <c r="BI401" s="7"/>
      <c r="BJ401" s="4">
        <v>514</v>
      </c>
      <c r="BK401" s="8">
        <v>12989.43</v>
      </c>
      <c r="BL401" s="2" t="s">
        <v>2467</v>
      </c>
      <c r="BM401" s="7"/>
      <c r="BN401" s="7"/>
      <c r="BO401" s="4"/>
      <c r="BP401" s="8"/>
      <c r="BQ401" s="4"/>
      <c r="BR401" s="8"/>
      <c r="BS401" s="7"/>
      <c r="BT401" s="7"/>
      <c r="BU401" s="2" t="s">
        <v>2387</v>
      </c>
      <c r="BV401" s="2" t="s">
        <v>233</v>
      </c>
      <c r="BW401" s="2" t="s">
        <v>233</v>
      </c>
      <c r="BX401" s="2" t="s">
        <v>241</v>
      </c>
      <c r="BY401" s="2" t="s">
        <v>242</v>
      </c>
      <c r="BZ401" s="2" t="s">
        <v>230</v>
      </c>
      <c r="CA401" s="2" t="s">
        <v>1269</v>
      </c>
      <c r="CB401" s="2" t="s">
        <v>2468</v>
      </c>
      <c r="CC401" s="2" t="s">
        <v>245</v>
      </c>
      <c r="CD401" s="2" t="s">
        <v>233</v>
      </c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>
        <v>360</v>
      </c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>
        <v>400</v>
      </c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>
        <v>28</v>
      </c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>
        <v>360</v>
      </c>
      <c r="GO401" s="4">
        <v>97</v>
      </c>
      <c r="GP401" s="4">
        <v>59</v>
      </c>
      <c r="GQ401" s="4">
        <v>19</v>
      </c>
      <c r="GR401" s="4"/>
      <c r="GS401" s="4">
        <v>400</v>
      </c>
      <c r="GT401" s="4">
        <v>314</v>
      </c>
      <c r="GU401" s="4">
        <v>278</v>
      </c>
      <c r="GV401" s="4">
        <v>242</v>
      </c>
      <c r="GW401" s="4">
        <v>211</v>
      </c>
      <c r="GX401" s="4">
        <v>180</v>
      </c>
      <c r="GY401" s="4">
        <v>149</v>
      </c>
      <c r="GZ401" s="4">
        <v>118</v>
      </c>
      <c r="HA401" s="4">
        <v>87</v>
      </c>
      <c r="HB401" s="4">
        <v>56</v>
      </c>
      <c r="HC401" s="19">
        <v>0.4</v>
      </c>
      <c r="HD401" s="20">
        <v>0</v>
      </c>
      <c r="HE401" s="20">
        <v>0</v>
      </c>
      <c r="HF401" s="20">
        <v>0</v>
      </c>
      <c r="HG401" s="20">
        <v>0</v>
      </c>
      <c r="HH401" s="20">
        <v>0</v>
      </c>
      <c r="HI401" s="20">
        <v>0</v>
      </c>
      <c r="HJ401" s="20">
        <v>0</v>
      </c>
      <c r="HK401" s="20">
        <v>0</v>
      </c>
      <c r="HL401" s="20">
        <v>0</v>
      </c>
      <c r="HM401" s="20">
        <v>0</v>
      </c>
      <c r="HN401" s="19">
        <v>4</v>
      </c>
      <c r="HO401" s="19">
        <v>3.5</v>
      </c>
      <c r="HP401" s="19">
        <v>1.5</v>
      </c>
      <c r="HQ401" s="19">
        <v>0.5</v>
      </c>
      <c r="HR401" s="20">
        <v>0</v>
      </c>
      <c r="HS401" s="19">
        <v>8.5</v>
      </c>
      <c r="HT401" s="19">
        <v>9.2</v>
      </c>
      <c r="HU401" s="19">
        <v>8.7</v>
      </c>
      <c r="HV401" s="19">
        <v>7.8</v>
      </c>
      <c r="HW401" s="19">
        <v>6.8</v>
      </c>
      <c r="HX401" s="19">
        <v>5.8</v>
      </c>
      <c r="HY401" s="19">
        <v>4.8</v>
      </c>
      <c r="HZ401" s="19">
        <v>3.9</v>
      </c>
      <c r="IA401" s="19">
        <v>3.6</v>
      </c>
      <c r="IB401" s="19">
        <v>1.9</v>
      </c>
    </row>
    <row r="402">
      <c r="A402" s="2" t="s">
        <v>2469</v>
      </c>
      <c r="B402" s="2" t="s">
        <v>279</v>
      </c>
      <c r="C402" s="2" t="s">
        <v>2381</v>
      </c>
      <c r="D402" s="2" t="s">
        <v>281</v>
      </c>
      <c r="E402" s="2" t="s">
        <v>282</v>
      </c>
      <c r="F402" s="2" t="s">
        <v>2382</v>
      </c>
      <c r="G402" s="2" t="s">
        <v>2382</v>
      </c>
      <c r="H402" s="2" t="s">
        <v>2382</v>
      </c>
      <c r="I402" s="2" t="s">
        <v>2383</v>
      </c>
      <c r="J402" s="2" t="s">
        <v>228</v>
      </c>
      <c r="K402" s="2" t="s">
        <v>2470</v>
      </c>
      <c r="L402" s="3">
        <v>14.89</v>
      </c>
      <c r="M402" s="3">
        <v>15.63</v>
      </c>
      <c r="N402" s="3">
        <v>31.99</v>
      </c>
      <c r="O402" s="2" t="s">
        <v>230</v>
      </c>
      <c r="P402" s="2" t="s">
        <v>231</v>
      </c>
      <c r="Q402" s="2" t="s">
        <v>232</v>
      </c>
      <c r="R402" s="2" t="s">
        <v>233</v>
      </c>
      <c r="S402" s="2" t="s">
        <v>2471</v>
      </c>
      <c r="T402" s="2" t="s">
        <v>2310</v>
      </c>
      <c r="U402" s="2" t="s">
        <v>781</v>
      </c>
      <c r="V402" s="2" t="s">
        <v>2311</v>
      </c>
      <c r="W402" s="2" t="s">
        <v>237</v>
      </c>
      <c r="X402" s="2" t="s">
        <v>915</v>
      </c>
      <c r="Y402" s="2" t="s">
        <v>2410</v>
      </c>
      <c r="Z402" s="4">
        <v>330</v>
      </c>
      <c r="AA402" s="4">
        <f>=ROUNDDOWN(9.70588235294118,0)</f>
      </c>
      <c r="AB402" s="5">
        <v>34</v>
      </c>
      <c r="AC402" s="2" t="s">
        <v>146</v>
      </c>
      <c r="AD402" s="4">
        <v>470</v>
      </c>
      <c r="AE402" s="4">
        <v>470</v>
      </c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233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233</v>
      </c>
      <c r="AW402" s="8" t="s">
        <v>233</v>
      </c>
      <c r="AX402" s="4" t="s">
        <v>233</v>
      </c>
      <c r="AY402" s="8" t="s">
        <v>233</v>
      </c>
      <c r="AZ402" s="7" t="s">
        <v>233</v>
      </c>
      <c r="BA402" s="7" t="s">
        <v>233</v>
      </c>
      <c r="BB402" s="7"/>
      <c r="BC402" s="4" t="s">
        <v>233</v>
      </c>
      <c r="BD402" s="8" t="s">
        <v>233</v>
      </c>
      <c r="BE402" s="4" t="s">
        <v>233</v>
      </c>
      <c r="BF402" s="8" t="s">
        <v>233</v>
      </c>
      <c r="BG402" s="7" t="s">
        <v>233</v>
      </c>
      <c r="BH402" s="7" t="s">
        <v>233</v>
      </c>
      <c r="BI402" s="7"/>
      <c r="BJ402" s="4">
        <v>866</v>
      </c>
      <c r="BK402" s="8">
        <v>14585.83</v>
      </c>
      <c r="BL402" s="2" t="s">
        <v>2472</v>
      </c>
      <c r="BM402" s="7"/>
      <c r="BN402" s="7"/>
      <c r="BO402" s="4"/>
      <c r="BP402" s="8"/>
      <c r="BQ402" s="4"/>
      <c r="BR402" s="8"/>
      <c r="BS402" s="7"/>
      <c r="BT402" s="7"/>
      <c r="BU402" s="2" t="s">
        <v>2387</v>
      </c>
      <c r="BV402" s="2" t="s">
        <v>233</v>
      </c>
      <c r="BW402" s="2" t="s">
        <v>233</v>
      </c>
      <c r="BX402" s="2" t="s">
        <v>241</v>
      </c>
      <c r="BY402" s="2" t="s">
        <v>242</v>
      </c>
      <c r="BZ402" s="2" t="s">
        <v>230</v>
      </c>
      <c r="CA402" s="2" t="s">
        <v>2473</v>
      </c>
      <c r="CB402" s="2" t="s">
        <v>2422</v>
      </c>
      <c r="CC402" s="2" t="s">
        <v>245</v>
      </c>
      <c r="CD402" s="2" t="s">
        <v>233</v>
      </c>
      <c r="CE402" s="4">
        <v>11</v>
      </c>
      <c r="CF402" s="4">
        <v>319</v>
      </c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>
        <v>470</v>
      </c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>
        <v>466</v>
      </c>
      <c r="GD402" s="4">
        <v>422</v>
      </c>
      <c r="GE402" s="4">
        <v>388</v>
      </c>
      <c r="GF402" s="4">
        <v>805</v>
      </c>
      <c r="GG402" s="4">
        <v>700</v>
      </c>
      <c r="GH402" s="4">
        <v>651</v>
      </c>
      <c r="GI402" s="4">
        <v>603</v>
      </c>
      <c r="GJ402" s="4">
        <v>572</v>
      </c>
      <c r="GK402" s="4">
        <v>550</v>
      </c>
      <c r="GL402" s="4">
        <v>524</v>
      </c>
      <c r="GM402" s="4">
        <v>505</v>
      </c>
      <c r="GN402" s="4">
        <v>491</v>
      </c>
      <c r="GO402" s="4">
        <v>481</v>
      </c>
      <c r="GP402" s="4">
        <v>471</v>
      </c>
      <c r="GQ402" s="4">
        <v>459</v>
      </c>
      <c r="GR402" s="4">
        <v>447</v>
      </c>
      <c r="GS402" s="4">
        <v>435</v>
      </c>
      <c r="GT402" s="4">
        <v>423</v>
      </c>
      <c r="GU402" s="4">
        <v>414</v>
      </c>
      <c r="GV402" s="4">
        <v>449</v>
      </c>
      <c r="GW402" s="4">
        <v>433</v>
      </c>
      <c r="GX402" s="4">
        <v>417</v>
      </c>
      <c r="GY402" s="4">
        <v>401</v>
      </c>
      <c r="GZ402" s="4">
        <v>385</v>
      </c>
      <c r="HA402" s="4">
        <v>369</v>
      </c>
      <c r="HB402" s="4">
        <v>353</v>
      </c>
      <c r="HC402" s="19">
        <v>7.9</v>
      </c>
      <c r="HD402" s="19">
        <v>7</v>
      </c>
      <c r="HE402" s="19">
        <v>6.1</v>
      </c>
      <c r="HF402" s="19">
        <v>13.9</v>
      </c>
      <c r="HG402" s="19">
        <v>18.4</v>
      </c>
      <c r="HH402" s="19">
        <v>20.3</v>
      </c>
      <c r="HI402" s="19">
        <v>25.1</v>
      </c>
      <c r="HJ402" s="19">
        <v>28.6</v>
      </c>
      <c r="HK402" s="19">
        <v>32.4</v>
      </c>
      <c r="HL402" s="19">
        <v>40.3</v>
      </c>
      <c r="HM402" s="19">
        <v>42.1</v>
      </c>
      <c r="HN402" s="19">
        <v>44.6</v>
      </c>
      <c r="HO402" s="19">
        <v>40.1</v>
      </c>
      <c r="HP402" s="19">
        <v>39.3</v>
      </c>
      <c r="HQ402" s="19">
        <v>41.7</v>
      </c>
      <c r="HR402" s="19">
        <v>40.6</v>
      </c>
      <c r="HS402" s="19">
        <v>36.3</v>
      </c>
      <c r="HT402" s="19">
        <v>32.5</v>
      </c>
      <c r="HU402" s="19">
        <v>27.6</v>
      </c>
      <c r="HV402" s="19">
        <v>28.1</v>
      </c>
      <c r="HW402" s="19">
        <v>27.1</v>
      </c>
      <c r="HX402" s="19">
        <v>26.1</v>
      </c>
      <c r="HY402" s="19">
        <v>25.1</v>
      </c>
      <c r="HZ402" s="19">
        <v>24.1</v>
      </c>
      <c r="IA402" s="19">
        <v>24.6</v>
      </c>
      <c r="IB402" s="19">
        <v>25.2</v>
      </c>
    </row>
    <row r="403">
      <c r="A403" s="2" t="s">
        <v>2474</v>
      </c>
      <c r="B403" s="2" t="s">
        <v>279</v>
      </c>
      <c r="C403" s="2" t="s">
        <v>2381</v>
      </c>
      <c r="D403" s="2" t="s">
        <v>281</v>
      </c>
      <c r="E403" s="2" t="s">
        <v>282</v>
      </c>
      <c r="F403" s="2" t="s">
        <v>2382</v>
      </c>
      <c r="G403" s="2" t="s">
        <v>2382</v>
      </c>
      <c r="H403" s="2" t="s">
        <v>2382</v>
      </c>
      <c r="I403" s="2" t="s">
        <v>2383</v>
      </c>
      <c r="J403" s="2" t="s">
        <v>252</v>
      </c>
      <c r="K403" s="2" t="s">
        <v>2470</v>
      </c>
      <c r="L403" s="3">
        <v>19.57</v>
      </c>
      <c r="M403" s="3">
        <v>20.55</v>
      </c>
      <c r="N403" s="3">
        <v>42.99</v>
      </c>
      <c r="O403" s="2" t="s">
        <v>230</v>
      </c>
      <c r="P403" s="2" t="s">
        <v>586</v>
      </c>
      <c r="Q403" s="2" t="s">
        <v>232</v>
      </c>
      <c r="R403" s="2" t="s">
        <v>233</v>
      </c>
      <c r="S403" s="2" t="s">
        <v>2471</v>
      </c>
      <c r="T403" s="2" t="s">
        <v>2310</v>
      </c>
      <c r="U403" s="2" t="s">
        <v>287</v>
      </c>
      <c r="V403" s="2" t="s">
        <v>2311</v>
      </c>
      <c r="W403" s="2" t="s">
        <v>237</v>
      </c>
      <c r="X403" s="2" t="s">
        <v>915</v>
      </c>
      <c r="Y403" s="2" t="s">
        <v>2410</v>
      </c>
      <c r="Z403" s="4">
        <v>524</v>
      </c>
      <c r="AA403" s="4">
        <f>=ROUNDDOWN(19.4074074074074,0)</f>
      </c>
      <c r="AB403" s="5">
        <v>27</v>
      </c>
      <c r="AC403" s="2" t="s">
        <v>146</v>
      </c>
      <c r="AD403" s="4">
        <v>364</v>
      </c>
      <c r="AE403" s="4">
        <v>364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233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233</v>
      </c>
      <c r="AW403" s="8" t="s">
        <v>233</v>
      </c>
      <c r="AX403" s="4" t="s">
        <v>233</v>
      </c>
      <c r="AY403" s="8" t="s">
        <v>233</v>
      </c>
      <c r="AZ403" s="7" t="s">
        <v>233</v>
      </c>
      <c r="BA403" s="7" t="s">
        <v>233</v>
      </c>
      <c r="BB403" s="7"/>
      <c r="BC403" s="4" t="s">
        <v>233</v>
      </c>
      <c r="BD403" s="8" t="s">
        <v>233</v>
      </c>
      <c r="BE403" s="4" t="s">
        <v>233</v>
      </c>
      <c r="BF403" s="8" t="s">
        <v>233</v>
      </c>
      <c r="BG403" s="7" t="s">
        <v>233</v>
      </c>
      <c r="BH403" s="7" t="s">
        <v>233</v>
      </c>
      <c r="BI403" s="7"/>
      <c r="BJ403" s="4">
        <v>368</v>
      </c>
      <c r="BK403" s="8">
        <v>7746.96</v>
      </c>
      <c r="BL403" s="2" t="s">
        <v>2475</v>
      </c>
      <c r="BM403" s="7"/>
      <c r="BN403" s="7"/>
      <c r="BO403" s="4"/>
      <c r="BP403" s="8"/>
      <c r="BQ403" s="4"/>
      <c r="BR403" s="8"/>
      <c r="BS403" s="7"/>
      <c r="BT403" s="7"/>
      <c r="BU403" s="2" t="s">
        <v>2387</v>
      </c>
      <c r="BV403" s="2" t="s">
        <v>233</v>
      </c>
      <c r="BW403" s="2" t="s">
        <v>233</v>
      </c>
      <c r="BX403" s="2" t="s">
        <v>241</v>
      </c>
      <c r="BY403" s="2" t="s">
        <v>242</v>
      </c>
      <c r="BZ403" s="2" t="s">
        <v>230</v>
      </c>
      <c r="CA403" s="2" t="s">
        <v>2416</v>
      </c>
      <c r="CB403" s="2" t="s">
        <v>2341</v>
      </c>
      <c r="CC403" s="2" t="s">
        <v>245</v>
      </c>
      <c r="CD403" s="2" t="s">
        <v>233</v>
      </c>
      <c r="CE403" s="4">
        <v>272</v>
      </c>
      <c r="CF403" s="4">
        <v>252</v>
      </c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>
        <v>364</v>
      </c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>
        <v>563</v>
      </c>
      <c r="GD403" s="4">
        <v>527</v>
      </c>
      <c r="GE403" s="4">
        <v>479</v>
      </c>
      <c r="GF403" s="4">
        <v>786</v>
      </c>
      <c r="GG403" s="4">
        <v>689</v>
      </c>
      <c r="GH403" s="4">
        <v>640</v>
      </c>
      <c r="GI403" s="4">
        <v>593</v>
      </c>
      <c r="GJ403" s="4">
        <v>559</v>
      </c>
      <c r="GK403" s="4">
        <v>532</v>
      </c>
      <c r="GL403" s="4">
        <v>502</v>
      </c>
      <c r="GM403" s="4">
        <v>478</v>
      </c>
      <c r="GN403" s="4">
        <v>460</v>
      </c>
      <c r="GO403" s="4">
        <v>445</v>
      </c>
      <c r="GP403" s="4">
        <v>430</v>
      </c>
      <c r="GQ403" s="4">
        <v>413</v>
      </c>
      <c r="GR403" s="4">
        <v>396</v>
      </c>
      <c r="GS403" s="4">
        <v>379</v>
      </c>
      <c r="GT403" s="4">
        <v>362</v>
      </c>
      <c r="GU403" s="4">
        <v>348</v>
      </c>
      <c r="GV403" s="4">
        <v>390</v>
      </c>
      <c r="GW403" s="4">
        <v>378</v>
      </c>
      <c r="GX403" s="4">
        <v>366</v>
      </c>
      <c r="GY403" s="4">
        <v>354</v>
      </c>
      <c r="GZ403" s="4">
        <v>342</v>
      </c>
      <c r="HA403" s="4">
        <v>330</v>
      </c>
      <c r="HB403" s="4">
        <v>318</v>
      </c>
      <c r="HC403" s="19">
        <v>9.4</v>
      </c>
      <c r="HD403" s="19">
        <v>8.4</v>
      </c>
      <c r="HE403" s="19">
        <v>7.7</v>
      </c>
      <c r="HF403" s="19">
        <v>13.8</v>
      </c>
      <c r="HG403" s="19">
        <v>17.7</v>
      </c>
      <c r="HH403" s="19">
        <v>18.8</v>
      </c>
      <c r="HI403" s="19">
        <v>20.4</v>
      </c>
      <c r="HJ403" s="19">
        <v>22.4</v>
      </c>
      <c r="HK403" s="19">
        <v>24.2</v>
      </c>
      <c r="HL403" s="19">
        <v>27.9</v>
      </c>
      <c r="HM403" s="19">
        <v>29.9</v>
      </c>
      <c r="HN403" s="19">
        <v>28.8</v>
      </c>
      <c r="HO403" s="19">
        <v>27.8</v>
      </c>
      <c r="HP403" s="19">
        <v>25.3</v>
      </c>
      <c r="HQ403" s="19">
        <v>25.8</v>
      </c>
      <c r="HR403" s="19">
        <v>24.8</v>
      </c>
      <c r="HS403" s="19">
        <v>27.1</v>
      </c>
      <c r="HT403" s="19">
        <v>27.8</v>
      </c>
      <c r="HU403" s="19">
        <v>29</v>
      </c>
      <c r="HV403" s="19">
        <v>32.5</v>
      </c>
      <c r="HW403" s="19">
        <v>31.5</v>
      </c>
      <c r="HX403" s="19">
        <v>30.5</v>
      </c>
      <c r="HY403" s="19">
        <v>29.5</v>
      </c>
      <c r="HZ403" s="19">
        <v>28.5</v>
      </c>
      <c r="IA403" s="19">
        <v>27.5</v>
      </c>
      <c r="IB403" s="19">
        <v>28.9</v>
      </c>
    </row>
    <row r="404">
      <c r="A404" s="2" t="s">
        <v>2476</v>
      </c>
      <c r="B404" s="2" t="s">
        <v>279</v>
      </c>
      <c r="C404" s="2" t="s">
        <v>2381</v>
      </c>
      <c r="D404" s="2" t="s">
        <v>281</v>
      </c>
      <c r="E404" s="2" t="s">
        <v>282</v>
      </c>
      <c r="F404" s="2" t="s">
        <v>2382</v>
      </c>
      <c r="G404" s="2" t="s">
        <v>2382</v>
      </c>
      <c r="H404" s="2" t="s">
        <v>2382</v>
      </c>
      <c r="I404" s="2" t="s">
        <v>2383</v>
      </c>
      <c r="J404" s="2" t="s">
        <v>336</v>
      </c>
      <c r="K404" s="2" t="s">
        <v>2470</v>
      </c>
      <c r="L404" s="3">
        <v>22.21</v>
      </c>
      <c r="M404" s="3">
        <v>23.32</v>
      </c>
      <c r="N404" s="3">
        <v>47.99</v>
      </c>
      <c r="O404" s="2" t="s">
        <v>230</v>
      </c>
      <c r="P404" s="2" t="s">
        <v>586</v>
      </c>
      <c r="Q404" s="2" t="s">
        <v>232</v>
      </c>
      <c r="R404" s="2" t="s">
        <v>233</v>
      </c>
      <c r="S404" s="2" t="s">
        <v>2471</v>
      </c>
      <c r="T404" s="2" t="s">
        <v>2310</v>
      </c>
      <c r="U404" s="2" t="s">
        <v>287</v>
      </c>
      <c r="V404" s="2" t="s">
        <v>2311</v>
      </c>
      <c r="W404" s="2" t="s">
        <v>237</v>
      </c>
      <c r="X404" s="2" t="s">
        <v>915</v>
      </c>
      <c r="Y404" s="2" t="s">
        <v>2410</v>
      </c>
      <c r="Z404" s="4">
        <v>448</v>
      </c>
      <c r="AA404" s="4">
        <f>=ROUNDDOWN(10.4186046511628,0)</f>
      </c>
      <c r="AB404" s="5">
        <v>43</v>
      </c>
      <c r="AC404" s="2" t="s">
        <v>146</v>
      </c>
      <c r="AD404" s="4">
        <v>505</v>
      </c>
      <c r="AE404" s="4">
        <v>505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233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233</v>
      </c>
      <c r="AW404" s="8" t="s">
        <v>233</v>
      </c>
      <c r="AX404" s="4" t="s">
        <v>233</v>
      </c>
      <c r="AY404" s="8" t="s">
        <v>233</v>
      </c>
      <c r="AZ404" s="7" t="s">
        <v>233</v>
      </c>
      <c r="BA404" s="7" t="s">
        <v>233</v>
      </c>
      <c r="BB404" s="7"/>
      <c r="BC404" s="4" t="s">
        <v>233</v>
      </c>
      <c r="BD404" s="8" t="s">
        <v>233</v>
      </c>
      <c r="BE404" s="4" t="s">
        <v>233</v>
      </c>
      <c r="BF404" s="8" t="s">
        <v>233</v>
      </c>
      <c r="BG404" s="7" t="s">
        <v>233</v>
      </c>
      <c r="BH404" s="7" t="s">
        <v>233</v>
      </c>
      <c r="BI404" s="7"/>
      <c r="BJ404" s="4">
        <v>843</v>
      </c>
      <c r="BK404" s="8">
        <v>21064.8</v>
      </c>
      <c r="BL404" s="2" t="s">
        <v>2477</v>
      </c>
      <c r="BM404" s="7"/>
      <c r="BN404" s="7"/>
      <c r="BO404" s="4"/>
      <c r="BP404" s="8"/>
      <c r="BQ404" s="4"/>
      <c r="BR404" s="8"/>
      <c r="BS404" s="7"/>
      <c r="BT404" s="7"/>
      <c r="BU404" s="2" t="s">
        <v>2387</v>
      </c>
      <c r="BV404" s="2" t="s">
        <v>233</v>
      </c>
      <c r="BW404" s="2" t="s">
        <v>233</v>
      </c>
      <c r="BX404" s="2" t="s">
        <v>241</v>
      </c>
      <c r="BY404" s="2" t="s">
        <v>242</v>
      </c>
      <c r="BZ404" s="2" t="s">
        <v>230</v>
      </c>
      <c r="CA404" s="2" t="s">
        <v>2413</v>
      </c>
      <c r="CB404" s="2" t="s">
        <v>2430</v>
      </c>
      <c r="CC404" s="2" t="s">
        <v>245</v>
      </c>
      <c r="CD404" s="2" t="s">
        <v>233</v>
      </c>
      <c r="CE404" s="4">
        <v>100</v>
      </c>
      <c r="CF404" s="4">
        <v>348</v>
      </c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>
        <v>505</v>
      </c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>
        <v>574</v>
      </c>
      <c r="GD404" s="4">
        <v>475</v>
      </c>
      <c r="GE404" s="4">
        <v>423</v>
      </c>
      <c r="GF404" s="4">
        <v>847</v>
      </c>
      <c r="GG404" s="4">
        <v>684</v>
      </c>
      <c r="GH404" s="4">
        <v>599</v>
      </c>
      <c r="GI404" s="4">
        <v>516</v>
      </c>
      <c r="GJ404" s="4">
        <v>457</v>
      </c>
      <c r="GK404" s="4">
        <v>411</v>
      </c>
      <c r="GL404" s="4">
        <v>360</v>
      </c>
      <c r="GM404" s="4">
        <v>319</v>
      </c>
      <c r="GN404" s="4">
        <v>289</v>
      </c>
      <c r="GO404" s="4">
        <v>264</v>
      </c>
      <c r="GP404" s="4">
        <v>239</v>
      </c>
      <c r="GQ404" s="4">
        <v>212</v>
      </c>
      <c r="GR404" s="4">
        <v>185</v>
      </c>
      <c r="GS404" s="4">
        <v>158</v>
      </c>
      <c r="GT404" s="4">
        <v>131</v>
      </c>
      <c r="GU404" s="4">
        <v>109</v>
      </c>
      <c r="GV404" s="4">
        <v>595</v>
      </c>
      <c r="GW404" s="4">
        <v>575</v>
      </c>
      <c r="GX404" s="4">
        <v>555</v>
      </c>
      <c r="GY404" s="4">
        <v>535</v>
      </c>
      <c r="GZ404" s="4">
        <v>515</v>
      </c>
      <c r="HA404" s="4">
        <v>495</v>
      </c>
      <c r="HB404" s="4">
        <v>475</v>
      </c>
      <c r="HC404" s="19">
        <v>5.8</v>
      </c>
      <c r="HD404" s="19">
        <v>5</v>
      </c>
      <c r="HE404" s="19">
        <v>4.1</v>
      </c>
      <c r="HF404" s="19">
        <v>8.6</v>
      </c>
      <c r="HG404" s="19">
        <v>10.1</v>
      </c>
      <c r="HH404" s="19">
        <v>10</v>
      </c>
      <c r="HI404" s="19">
        <v>10.5</v>
      </c>
      <c r="HJ404" s="19">
        <v>10.9</v>
      </c>
      <c r="HK404" s="19">
        <v>11.1</v>
      </c>
      <c r="HL404" s="19">
        <v>12</v>
      </c>
      <c r="HM404" s="19">
        <v>11.8</v>
      </c>
      <c r="HN404" s="19">
        <v>11.1</v>
      </c>
      <c r="HO404" s="19">
        <v>10.2</v>
      </c>
      <c r="HP404" s="19">
        <v>8.9</v>
      </c>
      <c r="HQ404" s="19">
        <v>8.2</v>
      </c>
      <c r="HR404" s="19">
        <v>7.7</v>
      </c>
      <c r="HS404" s="19">
        <v>6.9</v>
      </c>
      <c r="HT404" s="19">
        <v>6.2</v>
      </c>
      <c r="HU404" s="19">
        <v>5.5</v>
      </c>
      <c r="HV404" s="19">
        <v>29.8</v>
      </c>
      <c r="HW404" s="19">
        <v>28.8</v>
      </c>
      <c r="HX404" s="19">
        <v>27.8</v>
      </c>
      <c r="HY404" s="19">
        <v>26.8</v>
      </c>
      <c r="HZ404" s="19">
        <v>27.1</v>
      </c>
      <c r="IA404" s="19">
        <v>27.5</v>
      </c>
      <c r="IB404" s="19">
        <v>26.4</v>
      </c>
    </row>
    <row r="405">
      <c r="A405" s="2" t="s">
        <v>2478</v>
      </c>
      <c r="B405" s="2" t="s">
        <v>279</v>
      </c>
      <c r="C405" s="2" t="s">
        <v>2381</v>
      </c>
      <c r="D405" s="2" t="s">
        <v>281</v>
      </c>
      <c r="E405" s="2" t="s">
        <v>282</v>
      </c>
      <c r="F405" s="2" t="s">
        <v>2382</v>
      </c>
      <c r="G405" s="2" t="s">
        <v>2382</v>
      </c>
      <c r="H405" s="2" t="s">
        <v>2382</v>
      </c>
      <c r="I405" s="2" t="s">
        <v>2383</v>
      </c>
      <c r="J405" s="2" t="s">
        <v>256</v>
      </c>
      <c r="K405" s="2" t="s">
        <v>2470</v>
      </c>
      <c r="L405" s="3">
        <v>27.39</v>
      </c>
      <c r="M405" s="3">
        <v>28.76</v>
      </c>
      <c r="N405" s="3">
        <v>62.99</v>
      </c>
      <c r="O405" s="2" t="s">
        <v>230</v>
      </c>
      <c r="P405" s="2" t="s">
        <v>231</v>
      </c>
      <c r="Q405" s="2" t="s">
        <v>232</v>
      </c>
      <c r="R405" s="2" t="s">
        <v>233</v>
      </c>
      <c r="S405" s="2" t="s">
        <v>2471</v>
      </c>
      <c r="T405" s="2" t="s">
        <v>2310</v>
      </c>
      <c r="U405" s="2" t="s">
        <v>287</v>
      </c>
      <c r="V405" s="2" t="s">
        <v>2311</v>
      </c>
      <c r="W405" s="2" t="s">
        <v>237</v>
      </c>
      <c r="X405" s="2" t="s">
        <v>915</v>
      </c>
      <c r="Y405" s="2" t="s">
        <v>2410</v>
      </c>
      <c r="Z405" s="4">
        <v>446</v>
      </c>
      <c r="AA405" s="4">
        <f>=ROUNDDOWN(29.7333333333333,0)</f>
      </c>
      <c r="AB405" s="5">
        <v>15</v>
      </c>
      <c r="AC405" s="2" t="s">
        <v>146</v>
      </c>
      <c r="AD405" s="4">
        <v>198</v>
      </c>
      <c r="AE405" s="4">
        <v>198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233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233</v>
      </c>
      <c r="AW405" s="8" t="s">
        <v>233</v>
      </c>
      <c r="AX405" s="4" t="s">
        <v>233</v>
      </c>
      <c r="AY405" s="8" t="s">
        <v>233</v>
      </c>
      <c r="AZ405" s="7" t="s">
        <v>233</v>
      </c>
      <c r="BA405" s="7" t="s">
        <v>233</v>
      </c>
      <c r="BB405" s="7"/>
      <c r="BC405" s="4" t="s">
        <v>233</v>
      </c>
      <c r="BD405" s="8" t="s">
        <v>233</v>
      </c>
      <c r="BE405" s="4" t="s">
        <v>233</v>
      </c>
      <c r="BF405" s="8" t="s">
        <v>233</v>
      </c>
      <c r="BG405" s="7" t="s">
        <v>233</v>
      </c>
      <c r="BH405" s="7" t="s">
        <v>233</v>
      </c>
      <c r="BI405" s="7"/>
      <c r="BJ405" s="4">
        <v>105</v>
      </c>
      <c r="BK405" s="8">
        <v>3079.88</v>
      </c>
      <c r="BL405" s="2" t="s">
        <v>2479</v>
      </c>
      <c r="BM405" s="7"/>
      <c r="BN405" s="7"/>
      <c r="BO405" s="4"/>
      <c r="BP405" s="8"/>
      <c r="BQ405" s="4"/>
      <c r="BR405" s="8"/>
      <c r="BS405" s="7"/>
      <c r="BT405" s="7"/>
      <c r="BU405" s="2" t="s">
        <v>2387</v>
      </c>
      <c r="BV405" s="2" t="s">
        <v>233</v>
      </c>
      <c r="BW405" s="2" t="s">
        <v>233</v>
      </c>
      <c r="BX405" s="2" t="s">
        <v>241</v>
      </c>
      <c r="BY405" s="2" t="s">
        <v>242</v>
      </c>
      <c r="BZ405" s="2" t="s">
        <v>230</v>
      </c>
      <c r="CA405" s="2" t="s">
        <v>2416</v>
      </c>
      <c r="CB405" s="2" t="s">
        <v>640</v>
      </c>
      <c r="CC405" s="2" t="s">
        <v>245</v>
      </c>
      <c r="CD405" s="2" t="s">
        <v>233</v>
      </c>
      <c r="CE405" s="4">
        <v>333</v>
      </c>
      <c r="CF405" s="4">
        <v>113</v>
      </c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>
        <v>198</v>
      </c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>
        <v>453</v>
      </c>
      <c r="GD405" s="4">
        <v>324</v>
      </c>
      <c r="GE405" s="4">
        <v>296</v>
      </c>
      <c r="GF405" s="4">
        <v>457</v>
      </c>
      <c r="GG405" s="4">
        <v>391</v>
      </c>
      <c r="GH405" s="4">
        <v>359</v>
      </c>
      <c r="GI405" s="4">
        <v>328</v>
      </c>
      <c r="GJ405" s="4">
        <v>306</v>
      </c>
      <c r="GK405" s="4">
        <v>289</v>
      </c>
      <c r="GL405" s="4">
        <v>270</v>
      </c>
      <c r="GM405" s="4">
        <v>255</v>
      </c>
      <c r="GN405" s="4">
        <v>244</v>
      </c>
      <c r="GO405" s="4">
        <v>235</v>
      </c>
      <c r="GP405" s="4">
        <v>226</v>
      </c>
      <c r="GQ405" s="4">
        <v>216</v>
      </c>
      <c r="GR405" s="4">
        <v>206</v>
      </c>
      <c r="GS405" s="4">
        <v>196</v>
      </c>
      <c r="GT405" s="4">
        <v>186</v>
      </c>
      <c r="GU405" s="4">
        <v>178</v>
      </c>
      <c r="GV405" s="4">
        <v>191</v>
      </c>
      <c r="GW405" s="4">
        <v>184</v>
      </c>
      <c r="GX405" s="4">
        <v>177</v>
      </c>
      <c r="GY405" s="4">
        <v>170</v>
      </c>
      <c r="GZ405" s="4">
        <v>163</v>
      </c>
      <c r="HA405" s="4">
        <v>156</v>
      </c>
      <c r="HB405" s="4">
        <v>149</v>
      </c>
      <c r="HC405" s="19">
        <v>7</v>
      </c>
      <c r="HD405" s="19">
        <v>7.9</v>
      </c>
      <c r="HE405" s="19">
        <v>7</v>
      </c>
      <c r="HF405" s="19">
        <v>12</v>
      </c>
      <c r="HG405" s="19">
        <v>15</v>
      </c>
      <c r="HH405" s="19">
        <v>16.3</v>
      </c>
      <c r="HI405" s="19">
        <v>18.2</v>
      </c>
      <c r="HJ405" s="19">
        <v>19.1</v>
      </c>
      <c r="HK405" s="19">
        <v>20.6</v>
      </c>
      <c r="HL405" s="19">
        <v>24.5</v>
      </c>
      <c r="HM405" s="19">
        <v>25.5</v>
      </c>
      <c r="HN405" s="19">
        <v>24.4</v>
      </c>
      <c r="HO405" s="19">
        <v>23.5</v>
      </c>
      <c r="HP405" s="19">
        <v>22.6</v>
      </c>
      <c r="HQ405" s="19">
        <v>21.6</v>
      </c>
      <c r="HR405" s="19">
        <v>22.9</v>
      </c>
      <c r="HS405" s="19">
        <v>24.5</v>
      </c>
      <c r="HT405" s="19">
        <v>23.3</v>
      </c>
      <c r="HU405" s="19">
        <v>25.4</v>
      </c>
      <c r="HV405" s="19">
        <v>27.3</v>
      </c>
      <c r="HW405" s="19">
        <v>26.3</v>
      </c>
      <c r="HX405" s="19">
        <v>25.3</v>
      </c>
      <c r="HY405" s="19">
        <v>24.3</v>
      </c>
      <c r="HZ405" s="19">
        <v>23.3</v>
      </c>
      <c r="IA405" s="19">
        <v>26</v>
      </c>
      <c r="IB405" s="19">
        <v>24.8</v>
      </c>
    </row>
    <row r="406">
      <c r="A406" s="2" t="s">
        <v>2480</v>
      </c>
      <c r="B406" s="2" t="s">
        <v>279</v>
      </c>
      <c r="C406" s="2" t="s">
        <v>2381</v>
      </c>
      <c r="D406" s="2" t="s">
        <v>281</v>
      </c>
      <c r="E406" s="2" t="s">
        <v>282</v>
      </c>
      <c r="F406" s="2" t="s">
        <v>2382</v>
      </c>
      <c r="G406" s="2" t="s">
        <v>2382</v>
      </c>
      <c r="H406" s="2" t="s">
        <v>2382</v>
      </c>
      <c r="I406" s="2" t="s">
        <v>2383</v>
      </c>
      <c r="J406" s="2" t="s">
        <v>228</v>
      </c>
      <c r="K406" s="2" t="s">
        <v>2481</v>
      </c>
      <c r="L406" s="3">
        <v>14.89</v>
      </c>
      <c r="M406" s="3">
        <v>15.63</v>
      </c>
      <c r="N406" s="3">
        <v>31.99</v>
      </c>
      <c r="O406" s="2" t="s">
        <v>230</v>
      </c>
      <c r="P406" s="2" t="s">
        <v>231</v>
      </c>
      <c r="Q406" s="2" t="s">
        <v>232</v>
      </c>
      <c r="R406" s="2" t="s">
        <v>233</v>
      </c>
      <c r="S406" s="2" t="s">
        <v>2482</v>
      </c>
      <c r="T406" s="2" t="s">
        <v>2310</v>
      </c>
      <c r="U406" s="2" t="s">
        <v>781</v>
      </c>
      <c r="V406" s="2" t="s">
        <v>2483</v>
      </c>
      <c r="W406" s="2" t="s">
        <v>237</v>
      </c>
      <c r="X406" s="2" t="s">
        <v>915</v>
      </c>
      <c r="Y406" s="2" t="s">
        <v>2410</v>
      </c>
      <c r="Z406" s="4">
        <v>567</v>
      </c>
      <c r="AA406" s="4">
        <f>=ROUNDDOWN(29.8421052631579,0)</f>
      </c>
      <c r="AB406" s="5">
        <v>19</v>
      </c>
      <c r="AC406" s="2" t="s">
        <v>145</v>
      </c>
      <c r="AD406" s="4">
        <v>27</v>
      </c>
      <c r="AE406" s="4">
        <v>493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233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233</v>
      </c>
      <c r="AW406" s="8" t="s">
        <v>233</v>
      </c>
      <c r="AX406" s="4" t="s">
        <v>233</v>
      </c>
      <c r="AY406" s="8" t="s">
        <v>233</v>
      </c>
      <c r="AZ406" s="7" t="s">
        <v>233</v>
      </c>
      <c r="BA406" s="7" t="s">
        <v>233</v>
      </c>
      <c r="BB406" s="7"/>
      <c r="BC406" s="4" t="s">
        <v>233</v>
      </c>
      <c r="BD406" s="8" t="s">
        <v>233</v>
      </c>
      <c r="BE406" s="4" t="s">
        <v>233</v>
      </c>
      <c r="BF406" s="8" t="s">
        <v>233</v>
      </c>
      <c r="BG406" s="7" t="s">
        <v>233</v>
      </c>
      <c r="BH406" s="7" t="s">
        <v>233</v>
      </c>
      <c r="BI406" s="7"/>
      <c r="BJ406" s="4">
        <v>207</v>
      </c>
      <c r="BK406" s="8">
        <v>3446.22</v>
      </c>
      <c r="BL406" s="2" t="s">
        <v>2484</v>
      </c>
      <c r="BM406" s="7"/>
      <c r="BN406" s="7"/>
      <c r="BO406" s="4"/>
      <c r="BP406" s="8"/>
      <c r="BQ406" s="4"/>
      <c r="BR406" s="8"/>
      <c r="BS406" s="7"/>
      <c r="BT406" s="7"/>
      <c r="BU406" s="2" t="s">
        <v>2387</v>
      </c>
      <c r="BV406" s="2" t="s">
        <v>233</v>
      </c>
      <c r="BW406" s="2" t="s">
        <v>233</v>
      </c>
      <c r="BX406" s="2" t="s">
        <v>241</v>
      </c>
      <c r="BY406" s="2" t="s">
        <v>242</v>
      </c>
      <c r="BZ406" s="2" t="s">
        <v>230</v>
      </c>
      <c r="CA406" s="2" t="s">
        <v>2485</v>
      </c>
      <c r="CB406" s="2" t="s">
        <v>2182</v>
      </c>
      <c r="CC406" s="2" t="s">
        <v>245</v>
      </c>
      <c r="CD406" s="2" t="s">
        <v>233</v>
      </c>
      <c r="CE406" s="4">
        <v>332</v>
      </c>
      <c r="CF406" s="4">
        <v>235</v>
      </c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>
        <v>27</v>
      </c>
      <c r="DH406" s="4">
        <v>357</v>
      </c>
      <c r="DI406" s="4"/>
      <c r="DJ406" s="4"/>
      <c r="DK406" s="4"/>
      <c r="DL406" s="4"/>
      <c r="DM406" s="4"/>
      <c r="DN406" s="4"/>
      <c r="DO406" s="4"/>
      <c r="DP406" s="4">
        <v>19</v>
      </c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>
        <v>90</v>
      </c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>
        <v>606</v>
      </c>
      <c r="GD406" s="4">
        <v>559</v>
      </c>
      <c r="GE406" s="4">
        <v>527</v>
      </c>
      <c r="GF406" s="4">
        <v>876</v>
      </c>
      <c r="GG406" s="4">
        <v>823</v>
      </c>
      <c r="GH406" s="4">
        <v>815</v>
      </c>
      <c r="GI406" s="4">
        <v>788</v>
      </c>
      <c r="GJ406" s="4">
        <v>767</v>
      </c>
      <c r="GK406" s="4">
        <v>750</v>
      </c>
      <c r="GL406" s="4">
        <v>731</v>
      </c>
      <c r="GM406" s="4">
        <v>715</v>
      </c>
      <c r="GN406" s="4">
        <v>793</v>
      </c>
      <c r="GO406" s="4">
        <v>783</v>
      </c>
      <c r="GP406" s="4">
        <v>773</v>
      </c>
      <c r="GQ406" s="4">
        <v>762</v>
      </c>
      <c r="GR406" s="4">
        <v>751</v>
      </c>
      <c r="GS406" s="4">
        <v>740</v>
      </c>
      <c r="GT406" s="4">
        <v>729</v>
      </c>
      <c r="GU406" s="4">
        <v>719</v>
      </c>
      <c r="GV406" s="4">
        <v>709</v>
      </c>
      <c r="GW406" s="4">
        <v>700</v>
      </c>
      <c r="GX406" s="4">
        <v>691</v>
      </c>
      <c r="GY406" s="4">
        <v>682</v>
      </c>
      <c r="GZ406" s="4">
        <v>673</v>
      </c>
      <c r="HA406" s="4">
        <v>664</v>
      </c>
      <c r="HB406" s="4">
        <v>655</v>
      </c>
      <c r="HC406" s="19">
        <v>14.4</v>
      </c>
      <c r="HD406" s="19">
        <v>15.1</v>
      </c>
      <c r="HE406" s="19">
        <v>14.6</v>
      </c>
      <c r="HF406" s="19">
        <v>27.4</v>
      </c>
      <c r="HG406" s="19">
        <v>35.8</v>
      </c>
      <c r="HH406" s="19">
        <v>38.8</v>
      </c>
      <c r="HI406" s="19">
        <v>43.8</v>
      </c>
      <c r="HJ406" s="19">
        <v>47.9</v>
      </c>
      <c r="HK406" s="19">
        <v>53.6</v>
      </c>
      <c r="HL406" s="19">
        <v>60.9</v>
      </c>
      <c r="HM406" s="19">
        <v>65</v>
      </c>
      <c r="HN406" s="19">
        <v>79.3</v>
      </c>
      <c r="HO406" s="19">
        <v>71.2</v>
      </c>
      <c r="HP406" s="19">
        <v>70.3</v>
      </c>
      <c r="HQ406" s="19">
        <v>69.3</v>
      </c>
      <c r="HR406" s="19">
        <v>75.1</v>
      </c>
      <c r="HS406" s="19">
        <v>74</v>
      </c>
      <c r="HT406" s="19">
        <v>72.9</v>
      </c>
      <c r="HU406" s="19">
        <v>79.9</v>
      </c>
      <c r="HV406" s="19">
        <v>78.8</v>
      </c>
      <c r="HW406" s="19">
        <v>77.8</v>
      </c>
      <c r="HX406" s="19">
        <v>76.8</v>
      </c>
      <c r="HY406" s="19">
        <v>75.8</v>
      </c>
      <c r="HZ406" s="19">
        <v>74.8</v>
      </c>
      <c r="IA406" s="19">
        <v>83</v>
      </c>
      <c r="IB406" s="19">
        <v>81.9</v>
      </c>
    </row>
    <row r="407">
      <c r="A407" s="2" t="s">
        <v>2486</v>
      </c>
      <c r="B407" s="2" t="s">
        <v>279</v>
      </c>
      <c r="C407" s="2" t="s">
        <v>2381</v>
      </c>
      <c r="D407" s="2" t="s">
        <v>281</v>
      </c>
      <c r="E407" s="2" t="s">
        <v>282</v>
      </c>
      <c r="F407" s="2" t="s">
        <v>2382</v>
      </c>
      <c r="G407" s="2" t="s">
        <v>2382</v>
      </c>
      <c r="H407" s="2" t="s">
        <v>2382</v>
      </c>
      <c r="I407" s="2" t="s">
        <v>2383</v>
      </c>
      <c r="J407" s="2" t="s">
        <v>256</v>
      </c>
      <c r="K407" s="2" t="s">
        <v>2481</v>
      </c>
      <c r="L407" s="3">
        <v>27.39</v>
      </c>
      <c r="M407" s="3">
        <v>28.76</v>
      </c>
      <c r="N407" s="3">
        <v>62.99</v>
      </c>
      <c r="O407" s="2" t="s">
        <v>230</v>
      </c>
      <c r="P407" s="2" t="s">
        <v>231</v>
      </c>
      <c r="Q407" s="2" t="s">
        <v>232</v>
      </c>
      <c r="R407" s="2" t="s">
        <v>233</v>
      </c>
      <c r="S407" s="2" t="s">
        <v>2482</v>
      </c>
      <c r="T407" s="2" t="s">
        <v>2310</v>
      </c>
      <c r="U407" s="2" t="s">
        <v>287</v>
      </c>
      <c r="V407" s="2" t="s">
        <v>2483</v>
      </c>
      <c r="W407" s="2" t="s">
        <v>237</v>
      </c>
      <c r="X407" s="2" t="s">
        <v>915</v>
      </c>
      <c r="Y407" s="2" t="s">
        <v>2410</v>
      </c>
      <c r="Z407" s="4">
        <v>824</v>
      </c>
      <c r="AA407" s="4">
        <f>=ROUNDDOWN(37.4545454545455,0)</f>
      </c>
      <c r="AB407" s="5">
        <v>22</v>
      </c>
      <c r="AC407" s="2" t="s">
        <v>146</v>
      </c>
      <c r="AD407" s="4">
        <v>361</v>
      </c>
      <c r="AE407" s="4">
        <v>361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233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233</v>
      </c>
      <c r="AW407" s="8" t="s">
        <v>233</v>
      </c>
      <c r="AX407" s="4" t="s">
        <v>233</v>
      </c>
      <c r="AY407" s="8" t="s">
        <v>233</v>
      </c>
      <c r="AZ407" s="7" t="s">
        <v>233</v>
      </c>
      <c r="BA407" s="7" t="s">
        <v>233</v>
      </c>
      <c r="BB407" s="7"/>
      <c r="BC407" s="4" t="s">
        <v>233</v>
      </c>
      <c r="BD407" s="8" t="s">
        <v>233</v>
      </c>
      <c r="BE407" s="4" t="s">
        <v>233</v>
      </c>
      <c r="BF407" s="8" t="s">
        <v>233</v>
      </c>
      <c r="BG407" s="7" t="s">
        <v>233</v>
      </c>
      <c r="BH407" s="7" t="s">
        <v>233</v>
      </c>
      <c r="BI407" s="7"/>
      <c r="BJ407" s="4">
        <v>143</v>
      </c>
      <c r="BK407" s="8">
        <v>4174.59</v>
      </c>
      <c r="BL407" s="2" t="s">
        <v>2487</v>
      </c>
      <c r="BM407" s="7"/>
      <c r="BN407" s="7"/>
      <c r="BO407" s="4"/>
      <c r="BP407" s="8"/>
      <c r="BQ407" s="4"/>
      <c r="BR407" s="8"/>
      <c r="BS407" s="7"/>
      <c r="BT407" s="7"/>
      <c r="BU407" s="2" t="s">
        <v>2387</v>
      </c>
      <c r="BV407" s="2" t="s">
        <v>233</v>
      </c>
      <c r="BW407" s="2" t="s">
        <v>233</v>
      </c>
      <c r="BX407" s="2" t="s">
        <v>241</v>
      </c>
      <c r="BY407" s="2" t="s">
        <v>242</v>
      </c>
      <c r="BZ407" s="2" t="s">
        <v>230</v>
      </c>
      <c r="CA407" s="2" t="s">
        <v>2485</v>
      </c>
      <c r="CB407" s="2" t="s">
        <v>2488</v>
      </c>
      <c r="CC407" s="2" t="s">
        <v>245</v>
      </c>
      <c r="CD407" s="2" t="s">
        <v>233</v>
      </c>
      <c r="CE407" s="4">
        <v>580</v>
      </c>
      <c r="CF407" s="4">
        <v>244</v>
      </c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>
        <v>361</v>
      </c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>
        <v>870</v>
      </c>
      <c r="GD407" s="4">
        <v>802</v>
      </c>
      <c r="GE407" s="4">
        <v>695</v>
      </c>
      <c r="GF407" s="4">
        <v>1004</v>
      </c>
      <c r="GG407" s="4">
        <v>858</v>
      </c>
      <c r="GH407" s="4">
        <v>764</v>
      </c>
      <c r="GI407" s="4">
        <v>698</v>
      </c>
      <c r="GJ407" s="4">
        <v>673</v>
      </c>
      <c r="GK407" s="4">
        <v>655</v>
      </c>
      <c r="GL407" s="4">
        <v>634</v>
      </c>
      <c r="GM407" s="4">
        <v>619</v>
      </c>
      <c r="GN407" s="4">
        <v>608</v>
      </c>
      <c r="GO407" s="4">
        <v>600</v>
      </c>
      <c r="GP407" s="4">
        <v>592</v>
      </c>
      <c r="GQ407" s="4">
        <v>582</v>
      </c>
      <c r="GR407" s="4">
        <v>572</v>
      </c>
      <c r="GS407" s="4">
        <v>562</v>
      </c>
      <c r="GT407" s="4">
        <v>552</v>
      </c>
      <c r="GU407" s="4">
        <v>545</v>
      </c>
      <c r="GV407" s="4">
        <v>538</v>
      </c>
      <c r="GW407" s="4">
        <v>531</v>
      </c>
      <c r="GX407" s="4">
        <v>524</v>
      </c>
      <c r="GY407" s="4">
        <v>517</v>
      </c>
      <c r="GZ407" s="4">
        <v>510</v>
      </c>
      <c r="HA407" s="4">
        <v>503</v>
      </c>
      <c r="HB407" s="4">
        <v>496</v>
      </c>
      <c r="HC407" s="19">
        <v>9.4</v>
      </c>
      <c r="HD407" s="19">
        <v>8</v>
      </c>
      <c r="HE407" s="19">
        <v>7.7</v>
      </c>
      <c r="HF407" s="19">
        <v>12.1</v>
      </c>
      <c r="HG407" s="19">
        <v>16.8</v>
      </c>
      <c r="HH407" s="19">
        <v>23.9</v>
      </c>
      <c r="HI407" s="19">
        <v>34.9</v>
      </c>
      <c r="HJ407" s="19">
        <v>42.1</v>
      </c>
      <c r="HK407" s="19">
        <v>46.8</v>
      </c>
      <c r="HL407" s="19">
        <v>63.4</v>
      </c>
      <c r="HM407" s="19">
        <v>68.8</v>
      </c>
      <c r="HN407" s="19">
        <v>67.6</v>
      </c>
      <c r="HO407" s="19">
        <v>60</v>
      </c>
      <c r="HP407" s="19">
        <v>59.2</v>
      </c>
      <c r="HQ407" s="19">
        <v>64.7</v>
      </c>
      <c r="HR407" s="19">
        <v>71.5</v>
      </c>
      <c r="HS407" s="19">
        <v>70.3</v>
      </c>
      <c r="HT407" s="19">
        <v>78.9</v>
      </c>
      <c r="HU407" s="19">
        <v>77.9</v>
      </c>
      <c r="HV407" s="19">
        <v>76.9</v>
      </c>
      <c r="HW407" s="19">
        <v>75.9</v>
      </c>
      <c r="HX407" s="19">
        <v>74.9</v>
      </c>
      <c r="HY407" s="19">
        <v>73.9</v>
      </c>
      <c r="HZ407" s="19">
        <v>72.9</v>
      </c>
      <c r="IA407" s="19">
        <v>83.8</v>
      </c>
      <c r="IB407" s="19">
        <v>82.7</v>
      </c>
    </row>
    <row r="408">
      <c r="A408" s="2" t="s">
        <v>2489</v>
      </c>
      <c r="B408" s="2" t="s">
        <v>279</v>
      </c>
      <c r="C408" s="2" t="s">
        <v>2381</v>
      </c>
      <c r="D408" s="2" t="s">
        <v>281</v>
      </c>
      <c r="E408" s="2" t="s">
        <v>282</v>
      </c>
      <c r="F408" s="2" t="s">
        <v>2382</v>
      </c>
      <c r="G408" s="2" t="s">
        <v>2382</v>
      </c>
      <c r="H408" s="2" t="s">
        <v>2382</v>
      </c>
      <c r="I408" s="2" t="s">
        <v>2383</v>
      </c>
      <c r="J408" s="2" t="s">
        <v>228</v>
      </c>
      <c r="K408" s="2" t="s">
        <v>2490</v>
      </c>
      <c r="L408" s="3">
        <v>14.89</v>
      </c>
      <c r="M408" s="3">
        <v>15.63</v>
      </c>
      <c r="N408" s="3">
        <v>31.99</v>
      </c>
      <c r="O408" s="2" t="s">
        <v>230</v>
      </c>
      <c r="P408" s="2" t="s">
        <v>231</v>
      </c>
      <c r="Q408" s="2" t="s">
        <v>232</v>
      </c>
      <c r="R408" s="2" t="s">
        <v>233</v>
      </c>
      <c r="S408" s="2" t="s">
        <v>2491</v>
      </c>
      <c r="T408" s="2" t="s">
        <v>2310</v>
      </c>
      <c r="U408" s="2" t="s">
        <v>233</v>
      </c>
      <c r="V408" s="2" t="s">
        <v>782</v>
      </c>
      <c r="W408" s="2" t="s">
        <v>237</v>
      </c>
      <c r="X408" s="2" t="s">
        <v>233</v>
      </c>
      <c r="Y408" s="2" t="s">
        <v>2302</v>
      </c>
      <c r="Z408" s="4">
        <v>1086</v>
      </c>
      <c r="AA408" s="4">
        <f>=ROUNDDOWN(23.6086956521739,0)</f>
      </c>
      <c r="AB408" s="5">
        <v>46</v>
      </c>
      <c r="AC408" s="2" t="s">
        <v>233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233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233</v>
      </c>
      <c r="AW408" s="8" t="s">
        <v>233</v>
      </c>
      <c r="AX408" s="4" t="s">
        <v>233</v>
      </c>
      <c r="AY408" s="8" t="s">
        <v>233</v>
      </c>
      <c r="AZ408" s="7" t="s">
        <v>233</v>
      </c>
      <c r="BA408" s="7" t="s">
        <v>233</v>
      </c>
      <c r="BB408" s="7"/>
      <c r="BC408" s="4" t="s">
        <v>233</v>
      </c>
      <c r="BD408" s="8" t="s">
        <v>233</v>
      </c>
      <c r="BE408" s="4" t="s">
        <v>233</v>
      </c>
      <c r="BF408" s="8" t="s">
        <v>233</v>
      </c>
      <c r="BG408" s="7" t="s">
        <v>233</v>
      </c>
      <c r="BH408" s="7" t="s">
        <v>233</v>
      </c>
      <c r="BI408" s="7"/>
      <c r="BJ408" s="4">
        <v>428</v>
      </c>
      <c r="BK408" s="8">
        <v>7075.98</v>
      </c>
      <c r="BL408" s="2" t="s">
        <v>2492</v>
      </c>
      <c r="BM408" s="7"/>
      <c r="BN408" s="7"/>
      <c r="BO408" s="4"/>
      <c r="BP408" s="8"/>
      <c r="BQ408" s="4"/>
      <c r="BR408" s="8"/>
      <c r="BS408" s="7"/>
      <c r="BT408" s="7"/>
      <c r="BU408" s="2" t="s">
        <v>2387</v>
      </c>
      <c r="BV408" s="2" t="s">
        <v>233</v>
      </c>
      <c r="BW408" s="2" t="s">
        <v>233</v>
      </c>
      <c r="BX408" s="2" t="s">
        <v>241</v>
      </c>
      <c r="BY408" s="2" t="s">
        <v>242</v>
      </c>
      <c r="BZ408" s="2" t="s">
        <v>230</v>
      </c>
      <c r="CA408" s="2" t="s">
        <v>1460</v>
      </c>
      <c r="CB408" s="2" t="s">
        <v>2493</v>
      </c>
      <c r="CC408" s="2" t="s">
        <v>245</v>
      </c>
      <c r="CD408" s="2" t="s">
        <v>233</v>
      </c>
      <c r="CE408" s="4">
        <v>1086</v>
      </c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>
        <v>1302</v>
      </c>
      <c r="GD408" s="4">
        <v>1216</v>
      </c>
      <c r="GE408" s="4">
        <v>1156</v>
      </c>
      <c r="GF408" s="4">
        <v>1063</v>
      </c>
      <c r="GG408" s="4">
        <v>877</v>
      </c>
      <c r="GH408" s="4">
        <v>790</v>
      </c>
      <c r="GI408" s="4">
        <v>706</v>
      </c>
      <c r="GJ408" s="4">
        <v>652</v>
      </c>
      <c r="GK408" s="4">
        <v>613</v>
      </c>
      <c r="GL408" s="4">
        <v>568</v>
      </c>
      <c r="GM408" s="4">
        <v>535</v>
      </c>
      <c r="GN408" s="4">
        <v>511</v>
      </c>
      <c r="GO408" s="4">
        <v>493</v>
      </c>
      <c r="GP408" s="4">
        <v>475</v>
      </c>
      <c r="GQ408" s="4">
        <v>447</v>
      </c>
      <c r="GR408" s="4">
        <v>418</v>
      </c>
      <c r="GS408" s="4">
        <v>389</v>
      </c>
      <c r="GT408" s="4">
        <v>360</v>
      </c>
      <c r="GU408" s="4">
        <v>337</v>
      </c>
      <c r="GV408" s="4">
        <v>466</v>
      </c>
      <c r="GW408" s="4">
        <v>445</v>
      </c>
      <c r="GX408" s="4">
        <v>424</v>
      </c>
      <c r="GY408" s="4">
        <v>403</v>
      </c>
      <c r="GZ408" s="4">
        <v>382</v>
      </c>
      <c r="HA408" s="4">
        <v>361</v>
      </c>
      <c r="HB408" s="4">
        <v>340</v>
      </c>
      <c r="HC408" s="19">
        <v>12.3</v>
      </c>
      <c r="HD408" s="19">
        <v>11.5</v>
      </c>
      <c r="HE408" s="19">
        <v>10.3</v>
      </c>
      <c r="HF408" s="19">
        <v>10.3</v>
      </c>
      <c r="HG408" s="19">
        <v>13.3</v>
      </c>
      <c r="HH408" s="19">
        <v>14.1</v>
      </c>
      <c r="HI408" s="19">
        <v>16.4</v>
      </c>
      <c r="HJ408" s="19">
        <v>18.6</v>
      </c>
      <c r="HK408" s="19">
        <v>20.4</v>
      </c>
      <c r="HL408" s="19">
        <v>24.7</v>
      </c>
      <c r="HM408" s="19">
        <v>24.3</v>
      </c>
      <c r="HN408" s="9"/>
      <c r="HO408" s="19">
        <v>19</v>
      </c>
      <c r="HP408" s="19">
        <v>16.4</v>
      </c>
      <c r="HQ408" s="19">
        <v>16</v>
      </c>
      <c r="HR408" s="19">
        <v>16.1</v>
      </c>
      <c r="HS408" s="19">
        <v>16.2</v>
      </c>
      <c r="HT408" s="19">
        <v>16.4</v>
      </c>
      <c r="HU408" s="19">
        <v>15.3</v>
      </c>
      <c r="HV408" s="19">
        <v>22.2</v>
      </c>
      <c r="HW408" s="19">
        <v>21.2</v>
      </c>
      <c r="HX408" s="19">
        <v>20.2</v>
      </c>
      <c r="HY408" s="19">
        <v>19.2</v>
      </c>
      <c r="HZ408" s="19">
        <v>19.1</v>
      </c>
      <c r="IA408" s="19">
        <v>18.1</v>
      </c>
      <c r="IB408" s="19">
        <v>17.9</v>
      </c>
    </row>
    <row r="409">
      <c r="A409" s="2" t="s">
        <v>2494</v>
      </c>
      <c r="B409" s="2" t="s">
        <v>279</v>
      </c>
      <c r="C409" s="2" t="s">
        <v>2381</v>
      </c>
      <c r="D409" s="2" t="s">
        <v>281</v>
      </c>
      <c r="E409" s="2" t="s">
        <v>282</v>
      </c>
      <c r="F409" s="2" t="s">
        <v>2382</v>
      </c>
      <c r="G409" s="2" t="s">
        <v>2382</v>
      </c>
      <c r="H409" s="2" t="s">
        <v>2382</v>
      </c>
      <c r="I409" s="2" t="s">
        <v>2383</v>
      </c>
      <c r="J409" s="2" t="s">
        <v>252</v>
      </c>
      <c r="K409" s="2" t="s">
        <v>2490</v>
      </c>
      <c r="L409" s="3">
        <v>19.57</v>
      </c>
      <c r="M409" s="3">
        <v>20.55</v>
      </c>
      <c r="N409" s="3">
        <v>42.99</v>
      </c>
      <c r="O409" s="2" t="s">
        <v>230</v>
      </c>
      <c r="P409" s="2" t="s">
        <v>231</v>
      </c>
      <c r="Q409" s="2" t="s">
        <v>232</v>
      </c>
      <c r="R409" s="2" t="s">
        <v>233</v>
      </c>
      <c r="S409" s="2" t="s">
        <v>2491</v>
      </c>
      <c r="T409" s="2" t="s">
        <v>2310</v>
      </c>
      <c r="U409" s="2" t="s">
        <v>233</v>
      </c>
      <c r="V409" s="2" t="s">
        <v>782</v>
      </c>
      <c r="W409" s="2" t="s">
        <v>237</v>
      </c>
      <c r="X409" s="2" t="s">
        <v>233</v>
      </c>
      <c r="Y409" s="2" t="s">
        <v>2302</v>
      </c>
      <c r="Z409" s="4">
        <v>813</v>
      </c>
      <c r="AA409" s="4">
        <f>=ROUNDDOWN(36.9545454545455,0)</f>
      </c>
      <c r="AB409" s="5">
        <v>22</v>
      </c>
      <c r="AC409" s="2" t="s">
        <v>233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233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233</v>
      </c>
      <c r="AW409" s="8" t="s">
        <v>233</v>
      </c>
      <c r="AX409" s="4" t="s">
        <v>233</v>
      </c>
      <c r="AY409" s="8" t="s">
        <v>233</v>
      </c>
      <c r="AZ409" s="7" t="s">
        <v>233</v>
      </c>
      <c r="BA409" s="7" t="s">
        <v>233</v>
      </c>
      <c r="BB409" s="7"/>
      <c r="BC409" s="4" t="s">
        <v>233</v>
      </c>
      <c r="BD409" s="8" t="s">
        <v>233</v>
      </c>
      <c r="BE409" s="4" t="s">
        <v>233</v>
      </c>
      <c r="BF409" s="8" t="s">
        <v>233</v>
      </c>
      <c r="BG409" s="7" t="s">
        <v>233</v>
      </c>
      <c r="BH409" s="7" t="s">
        <v>233</v>
      </c>
      <c r="BI409" s="7"/>
      <c r="BJ409" s="4">
        <v>137</v>
      </c>
      <c r="BK409" s="8">
        <v>3052.4</v>
      </c>
      <c r="BL409" s="2" t="s">
        <v>2495</v>
      </c>
      <c r="BM409" s="7"/>
      <c r="BN409" s="7"/>
      <c r="BO409" s="4"/>
      <c r="BP409" s="8"/>
      <c r="BQ409" s="4"/>
      <c r="BR409" s="8"/>
      <c r="BS409" s="7"/>
      <c r="BT409" s="7"/>
      <c r="BU409" s="2" t="s">
        <v>2387</v>
      </c>
      <c r="BV409" s="2" t="s">
        <v>233</v>
      </c>
      <c r="BW409" s="2" t="s">
        <v>233</v>
      </c>
      <c r="BX409" s="2" t="s">
        <v>241</v>
      </c>
      <c r="BY409" s="2" t="s">
        <v>242</v>
      </c>
      <c r="BZ409" s="2" t="s">
        <v>230</v>
      </c>
      <c r="CA409" s="2" t="s">
        <v>1460</v>
      </c>
      <c r="CB409" s="2" t="s">
        <v>2493</v>
      </c>
      <c r="CC409" s="2" t="s">
        <v>245</v>
      </c>
      <c r="CD409" s="2" t="s">
        <v>233</v>
      </c>
      <c r="CE409" s="4">
        <v>813</v>
      </c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>
        <v>841</v>
      </c>
      <c r="GD409" s="4">
        <v>790</v>
      </c>
      <c r="GE409" s="4">
        <v>749</v>
      </c>
      <c r="GF409" s="4">
        <v>694</v>
      </c>
      <c r="GG409" s="4">
        <v>595</v>
      </c>
      <c r="GH409" s="4">
        <v>547</v>
      </c>
      <c r="GI409" s="4">
        <v>501</v>
      </c>
      <c r="GJ409" s="4">
        <v>469</v>
      </c>
      <c r="GK409" s="4">
        <v>444</v>
      </c>
      <c r="GL409" s="4">
        <v>416</v>
      </c>
      <c r="GM409" s="4">
        <v>394</v>
      </c>
      <c r="GN409" s="4">
        <v>378</v>
      </c>
      <c r="GO409" s="4">
        <v>365</v>
      </c>
      <c r="GP409" s="4">
        <v>352</v>
      </c>
      <c r="GQ409" s="4">
        <v>337</v>
      </c>
      <c r="GR409" s="4">
        <v>322</v>
      </c>
      <c r="GS409" s="4">
        <v>307</v>
      </c>
      <c r="GT409" s="4">
        <v>292</v>
      </c>
      <c r="GU409" s="4">
        <v>280</v>
      </c>
      <c r="GV409" s="4">
        <v>268</v>
      </c>
      <c r="GW409" s="4">
        <v>257</v>
      </c>
      <c r="GX409" s="4">
        <v>246</v>
      </c>
      <c r="GY409" s="4">
        <v>235</v>
      </c>
      <c r="GZ409" s="4">
        <v>224</v>
      </c>
      <c r="HA409" s="4">
        <v>213</v>
      </c>
      <c r="HB409" s="4">
        <v>202</v>
      </c>
      <c r="HC409" s="19">
        <v>13.6</v>
      </c>
      <c r="HD409" s="19">
        <v>13</v>
      </c>
      <c r="HE409" s="19">
        <v>12.1</v>
      </c>
      <c r="HF409" s="19">
        <v>12.4</v>
      </c>
      <c r="HG409" s="19">
        <v>15.7</v>
      </c>
      <c r="HH409" s="19">
        <v>16.6</v>
      </c>
      <c r="HI409" s="19">
        <v>18.6</v>
      </c>
      <c r="HJ409" s="19">
        <v>20.4</v>
      </c>
      <c r="HK409" s="19">
        <v>22.2</v>
      </c>
      <c r="HL409" s="19">
        <v>26</v>
      </c>
      <c r="HM409" s="19">
        <v>28.1</v>
      </c>
      <c r="HN409" s="19">
        <v>27</v>
      </c>
      <c r="HO409" s="19">
        <v>26.1</v>
      </c>
      <c r="HP409" s="19">
        <v>23.5</v>
      </c>
      <c r="HQ409" s="19">
        <v>24.1</v>
      </c>
      <c r="HR409" s="19">
        <v>23</v>
      </c>
      <c r="HS409" s="19">
        <v>25.6</v>
      </c>
      <c r="HT409" s="19">
        <v>24.3</v>
      </c>
      <c r="HU409" s="19">
        <v>25.5</v>
      </c>
      <c r="HV409" s="19">
        <v>24.4</v>
      </c>
      <c r="HW409" s="19">
        <v>23.4</v>
      </c>
      <c r="HX409" s="19">
        <v>22.4</v>
      </c>
      <c r="HY409" s="19">
        <v>21.4</v>
      </c>
      <c r="HZ409" s="19">
        <v>22.4</v>
      </c>
      <c r="IA409" s="19">
        <v>21.3</v>
      </c>
      <c r="IB409" s="19">
        <v>20.2</v>
      </c>
    </row>
    <row r="410">
      <c r="A410" s="2" t="s">
        <v>2496</v>
      </c>
      <c r="B410" s="2" t="s">
        <v>279</v>
      </c>
      <c r="C410" s="2" t="s">
        <v>2381</v>
      </c>
      <c r="D410" s="2" t="s">
        <v>281</v>
      </c>
      <c r="E410" s="2" t="s">
        <v>282</v>
      </c>
      <c r="F410" s="2" t="s">
        <v>2382</v>
      </c>
      <c r="G410" s="2" t="s">
        <v>2382</v>
      </c>
      <c r="H410" s="2" t="s">
        <v>2382</v>
      </c>
      <c r="I410" s="2" t="s">
        <v>2383</v>
      </c>
      <c r="J410" s="2" t="s">
        <v>285</v>
      </c>
      <c r="K410" s="2" t="s">
        <v>2490</v>
      </c>
      <c r="L410" s="3">
        <v>27.39</v>
      </c>
      <c r="M410" s="3">
        <v>28.76</v>
      </c>
      <c r="N410" s="3">
        <v>62.99</v>
      </c>
      <c r="O410" s="2" t="s">
        <v>230</v>
      </c>
      <c r="P410" s="2" t="s">
        <v>231</v>
      </c>
      <c r="Q410" s="2" t="s">
        <v>232</v>
      </c>
      <c r="R410" s="2" t="s">
        <v>233</v>
      </c>
      <c r="S410" s="2" t="s">
        <v>2491</v>
      </c>
      <c r="T410" s="2" t="s">
        <v>2310</v>
      </c>
      <c r="U410" s="2" t="s">
        <v>233</v>
      </c>
      <c r="V410" s="2" t="s">
        <v>782</v>
      </c>
      <c r="W410" s="2" t="s">
        <v>237</v>
      </c>
      <c r="X410" s="2" t="s">
        <v>233</v>
      </c>
      <c r="Y410" s="2" t="s">
        <v>2302</v>
      </c>
      <c r="Z410" s="4">
        <v>432</v>
      </c>
      <c r="AA410" s="4">
        <f>=ROUNDDOWN(36,0)</f>
      </c>
      <c r="AB410" s="5">
        <v>12</v>
      </c>
      <c r="AC410" s="2" t="s">
        <v>233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233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233</v>
      </c>
      <c r="AW410" s="8" t="s">
        <v>233</v>
      </c>
      <c r="AX410" s="4" t="s">
        <v>233</v>
      </c>
      <c r="AY410" s="8" t="s">
        <v>233</v>
      </c>
      <c r="AZ410" s="7" t="s">
        <v>233</v>
      </c>
      <c r="BA410" s="7" t="s">
        <v>233</v>
      </c>
      <c r="BB410" s="7"/>
      <c r="BC410" s="4" t="s">
        <v>233</v>
      </c>
      <c r="BD410" s="8" t="s">
        <v>233</v>
      </c>
      <c r="BE410" s="4" t="s">
        <v>233</v>
      </c>
      <c r="BF410" s="8" t="s">
        <v>233</v>
      </c>
      <c r="BG410" s="7" t="s">
        <v>233</v>
      </c>
      <c r="BH410" s="7" t="s">
        <v>233</v>
      </c>
      <c r="BI410" s="7"/>
      <c r="BJ410" s="4">
        <v>36</v>
      </c>
      <c r="BK410" s="8">
        <v>1044.82</v>
      </c>
      <c r="BL410" s="2" t="s">
        <v>2497</v>
      </c>
      <c r="BM410" s="7"/>
      <c r="BN410" s="7"/>
      <c r="BO410" s="4"/>
      <c r="BP410" s="8"/>
      <c r="BQ410" s="4"/>
      <c r="BR410" s="8"/>
      <c r="BS410" s="7"/>
      <c r="BT410" s="7"/>
      <c r="BU410" s="2" t="s">
        <v>2387</v>
      </c>
      <c r="BV410" s="2" t="s">
        <v>233</v>
      </c>
      <c r="BW410" s="2" t="s">
        <v>233</v>
      </c>
      <c r="BX410" s="2" t="s">
        <v>241</v>
      </c>
      <c r="BY410" s="2" t="s">
        <v>242</v>
      </c>
      <c r="BZ410" s="2" t="s">
        <v>230</v>
      </c>
      <c r="CA410" s="2" t="s">
        <v>1460</v>
      </c>
      <c r="CB410" s="2" t="s">
        <v>2493</v>
      </c>
      <c r="CC410" s="2" t="s">
        <v>245</v>
      </c>
      <c r="CD410" s="2" t="s">
        <v>233</v>
      </c>
      <c r="CE410" s="4">
        <v>432</v>
      </c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>
        <v>444</v>
      </c>
      <c r="GD410" s="4">
        <v>324</v>
      </c>
      <c r="GE410" s="4">
        <v>303</v>
      </c>
      <c r="GF410" s="4">
        <v>277</v>
      </c>
      <c r="GG410" s="4">
        <v>235</v>
      </c>
      <c r="GH410" s="4">
        <v>214</v>
      </c>
      <c r="GI410" s="4">
        <v>193</v>
      </c>
      <c r="GJ410" s="4">
        <v>178</v>
      </c>
      <c r="GK410" s="4">
        <v>166</v>
      </c>
      <c r="GL410" s="4">
        <v>153</v>
      </c>
      <c r="GM410" s="4">
        <v>142</v>
      </c>
      <c r="GN410" s="4">
        <v>134</v>
      </c>
      <c r="GO410" s="4">
        <v>127</v>
      </c>
      <c r="GP410" s="4">
        <v>120</v>
      </c>
      <c r="GQ410" s="4">
        <v>113</v>
      </c>
      <c r="GR410" s="4">
        <v>106</v>
      </c>
      <c r="GS410" s="4">
        <v>99</v>
      </c>
      <c r="GT410" s="4">
        <v>92</v>
      </c>
      <c r="GU410" s="4">
        <v>86</v>
      </c>
      <c r="GV410" s="4">
        <v>110</v>
      </c>
      <c r="GW410" s="4">
        <v>105</v>
      </c>
      <c r="GX410" s="4">
        <v>100</v>
      </c>
      <c r="GY410" s="4">
        <v>95</v>
      </c>
      <c r="GZ410" s="4">
        <v>90</v>
      </c>
      <c r="HA410" s="4">
        <v>85</v>
      </c>
      <c r="HB410" s="4">
        <v>80</v>
      </c>
      <c r="HC410" s="19">
        <v>8.5</v>
      </c>
      <c r="HD410" s="19">
        <v>11.6</v>
      </c>
      <c r="HE410" s="19">
        <v>10.8</v>
      </c>
      <c r="HF410" s="19">
        <v>11.1</v>
      </c>
      <c r="HG410" s="19">
        <v>13.8</v>
      </c>
      <c r="HH410" s="19">
        <v>14.3</v>
      </c>
      <c r="HI410" s="19">
        <v>14.8</v>
      </c>
      <c r="HJ410" s="19">
        <v>16.2</v>
      </c>
      <c r="HK410" s="19">
        <v>16.6</v>
      </c>
      <c r="HL410" s="19">
        <v>19.1</v>
      </c>
      <c r="HM410" s="19">
        <v>20.3</v>
      </c>
      <c r="HN410" s="19">
        <v>19.1</v>
      </c>
      <c r="HO410" s="19">
        <v>18.1</v>
      </c>
      <c r="HP410" s="19">
        <v>17.1</v>
      </c>
      <c r="HQ410" s="19">
        <v>16.1</v>
      </c>
      <c r="HR410" s="19">
        <v>17.7</v>
      </c>
      <c r="HS410" s="19">
        <v>16.5</v>
      </c>
      <c r="HT410" s="19">
        <v>15.3</v>
      </c>
      <c r="HU410" s="19">
        <v>17.2</v>
      </c>
      <c r="HV410" s="19">
        <v>22</v>
      </c>
      <c r="HW410" s="19">
        <v>21</v>
      </c>
      <c r="HX410" s="19">
        <v>20</v>
      </c>
      <c r="HY410" s="19">
        <v>19</v>
      </c>
      <c r="HZ410" s="19">
        <v>18</v>
      </c>
      <c r="IA410" s="19">
        <v>21.3</v>
      </c>
      <c r="IB410" s="19">
        <v>20</v>
      </c>
    </row>
    <row r="411">
      <c r="A411" s="2" t="s">
        <v>2498</v>
      </c>
      <c r="B411" s="2" t="s">
        <v>279</v>
      </c>
      <c r="C411" s="2" t="s">
        <v>2381</v>
      </c>
      <c r="D411" s="2" t="s">
        <v>281</v>
      </c>
      <c r="E411" s="2" t="s">
        <v>282</v>
      </c>
      <c r="F411" s="2" t="s">
        <v>2382</v>
      </c>
      <c r="G411" s="2" t="s">
        <v>2382</v>
      </c>
      <c r="H411" s="2" t="s">
        <v>2382</v>
      </c>
      <c r="I411" s="2" t="s">
        <v>2383</v>
      </c>
      <c r="J411" s="2" t="s">
        <v>252</v>
      </c>
      <c r="K411" s="2" t="s">
        <v>2499</v>
      </c>
      <c r="L411" s="3">
        <v>19.57</v>
      </c>
      <c r="M411" s="3">
        <v>20.55</v>
      </c>
      <c r="N411" s="3">
        <v>42.99</v>
      </c>
      <c r="O411" s="2" t="s">
        <v>230</v>
      </c>
      <c r="P411" s="2" t="s">
        <v>1302</v>
      </c>
      <c r="Q411" s="2" t="s">
        <v>232</v>
      </c>
      <c r="R411" s="2" t="s">
        <v>233</v>
      </c>
      <c r="S411" s="2" t="s">
        <v>2500</v>
      </c>
      <c r="T411" s="2" t="s">
        <v>2310</v>
      </c>
      <c r="U411" s="2" t="s">
        <v>287</v>
      </c>
      <c r="V411" s="2" t="s">
        <v>2311</v>
      </c>
      <c r="W411" s="2" t="s">
        <v>237</v>
      </c>
      <c r="X411" s="2" t="s">
        <v>915</v>
      </c>
      <c r="Y411" s="2" t="s">
        <v>2410</v>
      </c>
      <c r="Z411" s="4">
        <v>816</v>
      </c>
      <c r="AA411" s="4">
        <f>=ROUNDDOWN(15.1111111111111,0)</f>
      </c>
      <c r="AB411" s="5">
        <v>54</v>
      </c>
      <c r="AC411" s="2" t="s">
        <v>140</v>
      </c>
      <c r="AD411" s="4">
        <v>597</v>
      </c>
      <c r="AE411" s="4">
        <v>827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233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233</v>
      </c>
      <c r="AW411" s="8" t="s">
        <v>233</v>
      </c>
      <c r="AX411" s="4" t="s">
        <v>233</v>
      </c>
      <c r="AY411" s="8" t="s">
        <v>233</v>
      </c>
      <c r="AZ411" s="7" t="s">
        <v>233</v>
      </c>
      <c r="BA411" s="7" t="s">
        <v>233</v>
      </c>
      <c r="BB411" s="7"/>
      <c r="BC411" s="4" t="s">
        <v>233</v>
      </c>
      <c r="BD411" s="8" t="s">
        <v>233</v>
      </c>
      <c r="BE411" s="4" t="s">
        <v>233</v>
      </c>
      <c r="BF411" s="8" t="s">
        <v>233</v>
      </c>
      <c r="BG411" s="7" t="s">
        <v>233</v>
      </c>
      <c r="BH411" s="7" t="s">
        <v>233</v>
      </c>
      <c r="BI411" s="7"/>
      <c r="BJ411" s="4">
        <v>1452</v>
      </c>
      <c r="BK411" s="8">
        <v>30602.15</v>
      </c>
      <c r="BL411" s="2" t="s">
        <v>2501</v>
      </c>
      <c r="BM411" s="7"/>
      <c r="BN411" s="7"/>
      <c r="BO411" s="4"/>
      <c r="BP411" s="8"/>
      <c r="BQ411" s="4"/>
      <c r="BR411" s="8"/>
      <c r="BS411" s="7"/>
      <c r="BT411" s="7"/>
      <c r="BU411" s="2" t="s">
        <v>2387</v>
      </c>
      <c r="BV411" s="2" t="s">
        <v>233</v>
      </c>
      <c r="BW411" s="2" t="s">
        <v>233</v>
      </c>
      <c r="BX411" s="2" t="s">
        <v>241</v>
      </c>
      <c r="BY411" s="2" t="s">
        <v>242</v>
      </c>
      <c r="BZ411" s="2" t="s">
        <v>230</v>
      </c>
      <c r="CA411" s="2" t="s">
        <v>2416</v>
      </c>
      <c r="CB411" s="2" t="s">
        <v>2502</v>
      </c>
      <c r="CC411" s="2" t="s">
        <v>245</v>
      </c>
      <c r="CD411" s="2" t="s">
        <v>233</v>
      </c>
      <c r="CE411" s="4">
        <v>816</v>
      </c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>
        <v>597</v>
      </c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>
        <v>230</v>
      </c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>
        <v>914</v>
      </c>
      <c r="GD411" s="4">
        <v>849</v>
      </c>
      <c r="GE411" s="4">
        <v>1382</v>
      </c>
      <c r="GF411" s="4">
        <v>1283</v>
      </c>
      <c r="GG411" s="4">
        <v>1085</v>
      </c>
      <c r="GH411" s="4">
        <v>1222</v>
      </c>
      <c r="GI411" s="4">
        <v>1132</v>
      </c>
      <c r="GJ411" s="4">
        <v>1074</v>
      </c>
      <c r="GK411" s="4">
        <v>1032</v>
      </c>
      <c r="GL411" s="4">
        <v>984</v>
      </c>
      <c r="GM411" s="4">
        <v>949</v>
      </c>
      <c r="GN411" s="4">
        <v>923</v>
      </c>
      <c r="GO411" s="4">
        <v>904</v>
      </c>
      <c r="GP411" s="4">
        <v>885</v>
      </c>
      <c r="GQ411" s="4">
        <v>863</v>
      </c>
      <c r="GR411" s="4">
        <v>841</v>
      </c>
      <c r="GS411" s="4">
        <v>819</v>
      </c>
      <c r="GT411" s="4">
        <v>797</v>
      </c>
      <c r="GU411" s="4">
        <v>781</v>
      </c>
      <c r="GV411" s="4">
        <v>765</v>
      </c>
      <c r="GW411" s="4">
        <v>749</v>
      </c>
      <c r="GX411" s="4">
        <v>733</v>
      </c>
      <c r="GY411" s="4">
        <v>717</v>
      </c>
      <c r="GZ411" s="4">
        <v>701</v>
      </c>
      <c r="HA411" s="4">
        <v>685</v>
      </c>
      <c r="HB411" s="4">
        <v>669</v>
      </c>
      <c r="HC411" s="19">
        <v>8.6</v>
      </c>
      <c r="HD411" s="19">
        <v>7.4</v>
      </c>
      <c r="HE411" s="19">
        <v>11.5</v>
      </c>
      <c r="HF411" s="19">
        <v>11.7</v>
      </c>
      <c r="HG411" s="19">
        <v>15.3</v>
      </c>
      <c r="HH411" s="19">
        <v>20.4</v>
      </c>
      <c r="HI411" s="19">
        <v>24.6</v>
      </c>
      <c r="HJ411" s="19">
        <v>28.3</v>
      </c>
      <c r="HK411" s="19">
        <v>32.3</v>
      </c>
      <c r="HL411" s="19">
        <v>39.4</v>
      </c>
      <c r="HM411" s="19">
        <v>43.1</v>
      </c>
      <c r="HN411" s="19">
        <v>46.2</v>
      </c>
      <c r="HO411" s="19">
        <v>43</v>
      </c>
      <c r="HP411" s="19">
        <v>40.2</v>
      </c>
      <c r="HQ411" s="19">
        <v>43.2</v>
      </c>
      <c r="HR411" s="19">
        <v>44.3</v>
      </c>
      <c r="HS411" s="19">
        <v>45.5</v>
      </c>
      <c r="HT411" s="19">
        <v>49.8</v>
      </c>
      <c r="HU411" s="19">
        <v>48.8</v>
      </c>
      <c r="HV411" s="19">
        <v>47.8</v>
      </c>
      <c r="HW411" s="19">
        <v>46.8</v>
      </c>
      <c r="HX411" s="19">
        <v>45.8</v>
      </c>
      <c r="HY411" s="19">
        <v>44.8</v>
      </c>
      <c r="HZ411" s="19">
        <v>46.7</v>
      </c>
      <c r="IA411" s="19">
        <v>48.9</v>
      </c>
      <c r="IB411" s="19">
        <v>47.8</v>
      </c>
    </row>
    <row r="412">
      <c r="A412" s="2" t="s">
        <v>2503</v>
      </c>
      <c r="B412" s="2" t="s">
        <v>279</v>
      </c>
      <c r="C412" s="2" t="s">
        <v>2381</v>
      </c>
      <c r="D412" s="2" t="s">
        <v>281</v>
      </c>
      <c r="E412" s="2" t="s">
        <v>282</v>
      </c>
      <c r="F412" s="2" t="s">
        <v>2382</v>
      </c>
      <c r="G412" s="2" t="s">
        <v>2382</v>
      </c>
      <c r="H412" s="2" t="s">
        <v>2382</v>
      </c>
      <c r="I412" s="2" t="s">
        <v>2383</v>
      </c>
      <c r="J412" s="2" t="s">
        <v>336</v>
      </c>
      <c r="K412" s="2" t="s">
        <v>2499</v>
      </c>
      <c r="L412" s="3">
        <v>22.21</v>
      </c>
      <c r="M412" s="3">
        <v>23.32</v>
      </c>
      <c r="N412" s="3">
        <v>47.99</v>
      </c>
      <c r="O412" s="2" t="s">
        <v>230</v>
      </c>
      <c r="P412" s="2" t="s">
        <v>1302</v>
      </c>
      <c r="Q412" s="2" t="s">
        <v>232</v>
      </c>
      <c r="R412" s="2" t="s">
        <v>233</v>
      </c>
      <c r="S412" s="2" t="s">
        <v>2500</v>
      </c>
      <c r="T412" s="2" t="s">
        <v>2310</v>
      </c>
      <c r="U412" s="2" t="s">
        <v>287</v>
      </c>
      <c r="V412" s="2" t="s">
        <v>2311</v>
      </c>
      <c r="W412" s="2" t="s">
        <v>237</v>
      </c>
      <c r="X412" s="2" t="s">
        <v>915</v>
      </c>
      <c r="Y412" s="2" t="s">
        <v>2410</v>
      </c>
      <c r="Z412" s="4">
        <v>24</v>
      </c>
      <c r="AA412" s="4">
        <f>=ROUNDDOWN(0.347826086956522,0)</f>
      </c>
      <c r="AB412" s="5">
        <v>69</v>
      </c>
      <c r="AC412" s="2" t="s">
        <v>140</v>
      </c>
      <c r="AD412" s="4">
        <v>527</v>
      </c>
      <c r="AE412" s="4">
        <v>1225</v>
      </c>
      <c r="AF412" s="6">
        <v>65</v>
      </c>
      <c r="AG412" s="6"/>
      <c r="AH412" s="7">
        <v>0.7742</v>
      </c>
      <c r="AI412" s="4"/>
      <c r="AJ412" s="4">
        <f>=ROUNDDOWN({0},0)</f>
      </c>
      <c r="AK412" s="5"/>
      <c r="AL412" s="2" t="s">
        <v>233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233</v>
      </c>
      <c r="AW412" s="8" t="s">
        <v>233</v>
      </c>
      <c r="AX412" s="4" t="s">
        <v>233</v>
      </c>
      <c r="AY412" s="8" t="s">
        <v>233</v>
      </c>
      <c r="AZ412" s="7" t="s">
        <v>233</v>
      </c>
      <c r="BA412" s="7" t="s">
        <v>233</v>
      </c>
      <c r="BB412" s="7"/>
      <c r="BC412" s="4" t="s">
        <v>233</v>
      </c>
      <c r="BD412" s="8" t="s">
        <v>233</v>
      </c>
      <c r="BE412" s="4" t="s">
        <v>233</v>
      </c>
      <c r="BF412" s="8" t="s">
        <v>233</v>
      </c>
      <c r="BG412" s="7" t="s">
        <v>233</v>
      </c>
      <c r="BH412" s="7" t="s">
        <v>233</v>
      </c>
      <c r="BI412" s="7"/>
      <c r="BJ412" s="4">
        <v>1389</v>
      </c>
      <c r="BK412" s="8">
        <v>32924.6</v>
      </c>
      <c r="BL412" s="2" t="s">
        <v>2504</v>
      </c>
      <c r="BM412" s="7"/>
      <c r="BN412" s="7"/>
      <c r="BO412" s="4"/>
      <c r="BP412" s="8"/>
      <c r="BQ412" s="4"/>
      <c r="BR412" s="8"/>
      <c r="BS412" s="7"/>
      <c r="BT412" s="7"/>
      <c r="BU412" s="2" t="s">
        <v>2387</v>
      </c>
      <c r="BV412" s="2" t="s">
        <v>233</v>
      </c>
      <c r="BW412" s="2" t="s">
        <v>233</v>
      </c>
      <c r="BX412" s="2" t="s">
        <v>241</v>
      </c>
      <c r="BY412" s="2" t="s">
        <v>242</v>
      </c>
      <c r="BZ412" s="2" t="s">
        <v>230</v>
      </c>
      <c r="CA412" s="2" t="s">
        <v>2413</v>
      </c>
      <c r="CB412" s="2" t="s">
        <v>2296</v>
      </c>
      <c r="CC412" s="2" t="s">
        <v>245</v>
      </c>
      <c r="CD412" s="2" t="s">
        <v>233</v>
      </c>
      <c r="CE412" s="4">
        <v>24</v>
      </c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>
        <v>527</v>
      </c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>
        <v>188</v>
      </c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>
        <v>350</v>
      </c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>
        <v>160</v>
      </c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>
        <v>271</v>
      </c>
      <c r="GD412" s="4">
        <v>43</v>
      </c>
      <c r="GE412" s="4">
        <v>527</v>
      </c>
      <c r="GF412" s="4">
        <v>335</v>
      </c>
      <c r="GG412" s="4">
        <v>145</v>
      </c>
      <c r="GH412" s="4">
        <v>234</v>
      </c>
      <c r="GI412" s="4">
        <v>138</v>
      </c>
      <c r="GJ412" s="4">
        <v>62</v>
      </c>
      <c r="GK412" s="4"/>
      <c r="GL412" s="4"/>
      <c r="GM412" s="4"/>
      <c r="GN412" s="4">
        <v>350</v>
      </c>
      <c r="GO412" s="4">
        <v>227</v>
      </c>
      <c r="GP412" s="4">
        <v>190</v>
      </c>
      <c r="GQ412" s="4">
        <v>150</v>
      </c>
      <c r="GR412" s="4">
        <v>110</v>
      </c>
      <c r="GS412" s="4">
        <v>230</v>
      </c>
      <c r="GT412" s="4">
        <v>190</v>
      </c>
      <c r="GU412" s="4">
        <v>155</v>
      </c>
      <c r="GV412" s="4">
        <v>403</v>
      </c>
      <c r="GW412" s="4">
        <v>372</v>
      </c>
      <c r="GX412" s="4">
        <v>341</v>
      </c>
      <c r="GY412" s="4">
        <v>310</v>
      </c>
      <c r="GZ412" s="4">
        <v>373</v>
      </c>
      <c r="HA412" s="4">
        <v>342</v>
      </c>
      <c r="HB412" s="4">
        <v>311</v>
      </c>
      <c r="HC412" s="19">
        <v>1.6</v>
      </c>
      <c r="HD412" s="19">
        <v>0.3</v>
      </c>
      <c r="HE412" s="19">
        <v>3.7</v>
      </c>
      <c r="HF412" s="19">
        <v>2.9</v>
      </c>
      <c r="HG412" s="19">
        <v>1.7</v>
      </c>
      <c r="HH412" s="19">
        <v>3.4</v>
      </c>
      <c r="HI412" s="19">
        <v>2.7</v>
      </c>
      <c r="HJ412" s="19">
        <v>1.7</v>
      </c>
      <c r="HK412" s="20">
        <v>0</v>
      </c>
      <c r="HL412" s="20">
        <v>0</v>
      </c>
      <c r="HM412" s="20">
        <v>0</v>
      </c>
      <c r="HN412" s="19">
        <v>5.8</v>
      </c>
      <c r="HO412" s="19">
        <v>5.8</v>
      </c>
      <c r="HP412" s="19">
        <v>4.8</v>
      </c>
      <c r="HQ412" s="19">
        <v>3.8</v>
      </c>
      <c r="HR412" s="19">
        <v>2.9</v>
      </c>
      <c r="HS412" s="19">
        <v>6.6</v>
      </c>
      <c r="HT412" s="19">
        <v>5.8</v>
      </c>
      <c r="HU412" s="19">
        <v>4.8</v>
      </c>
      <c r="HV412" s="19">
        <v>13</v>
      </c>
      <c r="HW412" s="19">
        <v>12</v>
      </c>
      <c r="HX412" s="19">
        <v>11</v>
      </c>
      <c r="HY412" s="19">
        <v>10</v>
      </c>
      <c r="HZ412" s="19">
        <v>12.4</v>
      </c>
      <c r="IA412" s="19">
        <v>11.4</v>
      </c>
      <c r="IB412" s="19">
        <v>10.7</v>
      </c>
    </row>
    <row r="413">
      <c r="A413" s="2" t="s">
        <v>2505</v>
      </c>
      <c r="B413" s="2" t="s">
        <v>279</v>
      </c>
      <c r="C413" s="2" t="s">
        <v>2381</v>
      </c>
      <c r="D413" s="2" t="s">
        <v>281</v>
      </c>
      <c r="E413" s="2" t="s">
        <v>282</v>
      </c>
      <c r="F413" s="2" t="s">
        <v>2382</v>
      </c>
      <c r="G413" s="2" t="s">
        <v>2382</v>
      </c>
      <c r="H413" s="2" t="s">
        <v>2382</v>
      </c>
      <c r="I413" s="2" t="s">
        <v>2383</v>
      </c>
      <c r="J413" s="2" t="s">
        <v>256</v>
      </c>
      <c r="K413" s="2" t="s">
        <v>2499</v>
      </c>
      <c r="L413" s="3">
        <v>27.39</v>
      </c>
      <c r="M413" s="3">
        <v>28.76</v>
      </c>
      <c r="N413" s="3">
        <v>62.99</v>
      </c>
      <c r="O413" s="2" t="s">
        <v>230</v>
      </c>
      <c r="P413" s="2" t="s">
        <v>231</v>
      </c>
      <c r="Q413" s="2" t="s">
        <v>232</v>
      </c>
      <c r="R413" s="2" t="s">
        <v>233</v>
      </c>
      <c r="S413" s="2" t="s">
        <v>2500</v>
      </c>
      <c r="T413" s="2" t="s">
        <v>2310</v>
      </c>
      <c r="U413" s="2" t="s">
        <v>287</v>
      </c>
      <c r="V413" s="2" t="s">
        <v>2311</v>
      </c>
      <c r="W413" s="2" t="s">
        <v>237</v>
      </c>
      <c r="X413" s="2" t="s">
        <v>915</v>
      </c>
      <c r="Y413" s="2" t="s">
        <v>2410</v>
      </c>
      <c r="Z413" s="4">
        <v>626</v>
      </c>
      <c r="AA413" s="4">
        <f>=ROUNDDOWN(22.3571428571429,0)</f>
      </c>
      <c r="AB413" s="5">
        <v>28</v>
      </c>
      <c r="AC413" s="2" t="s">
        <v>140</v>
      </c>
      <c r="AD413" s="4">
        <v>251</v>
      </c>
      <c r="AE413" s="4">
        <v>308</v>
      </c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233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233</v>
      </c>
      <c r="AW413" s="8" t="s">
        <v>233</v>
      </c>
      <c r="AX413" s="4" t="s">
        <v>233</v>
      </c>
      <c r="AY413" s="8" t="s">
        <v>233</v>
      </c>
      <c r="AZ413" s="7" t="s">
        <v>233</v>
      </c>
      <c r="BA413" s="7" t="s">
        <v>233</v>
      </c>
      <c r="BB413" s="7"/>
      <c r="BC413" s="4" t="s">
        <v>233</v>
      </c>
      <c r="BD413" s="8" t="s">
        <v>233</v>
      </c>
      <c r="BE413" s="4" t="s">
        <v>233</v>
      </c>
      <c r="BF413" s="8" t="s">
        <v>233</v>
      </c>
      <c r="BG413" s="7" t="s">
        <v>233</v>
      </c>
      <c r="BH413" s="7" t="s">
        <v>233</v>
      </c>
      <c r="BI413" s="7"/>
      <c r="BJ413" s="4">
        <v>230</v>
      </c>
      <c r="BK413" s="8">
        <v>7001.91</v>
      </c>
      <c r="BL413" s="2" t="s">
        <v>2506</v>
      </c>
      <c r="BM413" s="7"/>
      <c r="BN413" s="7"/>
      <c r="BO413" s="4"/>
      <c r="BP413" s="8"/>
      <c r="BQ413" s="4"/>
      <c r="BR413" s="8"/>
      <c r="BS413" s="7"/>
      <c r="BT413" s="7"/>
      <c r="BU413" s="2" t="s">
        <v>2387</v>
      </c>
      <c r="BV413" s="2" t="s">
        <v>233</v>
      </c>
      <c r="BW413" s="2" t="s">
        <v>233</v>
      </c>
      <c r="BX413" s="2" t="s">
        <v>241</v>
      </c>
      <c r="BY413" s="2" t="s">
        <v>242</v>
      </c>
      <c r="BZ413" s="2" t="s">
        <v>230</v>
      </c>
      <c r="CA413" s="2" t="s">
        <v>2416</v>
      </c>
      <c r="CB413" s="2" t="s">
        <v>2507</v>
      </c>
      <c r="CC413" s="2" t="s">
        <v>245</v>
      </c>
      <c r="CD413" s="2" t="s">
        <v>233</v>
      </c>
      <c r="CE413" s="4">
        <v>191</v>
      </c>
      <c r="CF413" s="4">
        <v>435</v>
      </c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>
        <v>251</v>
      </c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>
        <v>57</v>
      </c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>
        <v>647</v>
      </c>
      <c r="GD413" s="4">
        <v>575</v>
      </c>
      <c r="GE413" s="4">
        <v>725</v>
      </c>
      <c r="GF413" s="4">
        <v>662</v>
      </c>
      <c r="GG413" s="4">
        <v>553</v>
      </c>
      <c r="GH413" s="4">
        <v>557</v>
      </c>
      <c r="GI413" s="4">
        <v>505</v>
      </c>
      <c r="GJ413" s="4">
        <v>417</v>
      </c>
      <c r="GK413" s="4">
        <v>396</v>
      </c>
      <c r="GL413" s="4">
        <v>372</v>
      </c>
      <c r="GM413" s="4">
        <v>354</v>
      </c>
      <c r="GN413" s="4">
        <v>341</v>
      </c>
      <c r="GO413" s="4">
        <v>331</v>
      </c>
      <c r="GP413" s="4">
        <v>321</v>
      </c>
      <c r="GQ413" s="4">
        <v>310</v>
      </c>
      <c r="GR413" s="4">
        <v>296</v>
      </c>
      <c r="GS413" s="4">
        <v>279</v>
      </c>
      <c r="GT413" s="4">
        <v>262</v>
      </c>
      <c r="GU413" s="4">
        <v>248</v>
      </c>
      <c r="GV413" s="4">
        <v>234</v>
      </c>
      <c r="GW413" s="4">
        <v>221</v>
      </c>
      <c r="GX413" s="4">
        <v>208</v>
      </c>
      <c r="GY413" s="4">
        <v>195</v>
      </c>
      <c r="GZ413" s="4">
        <v>182</v>
      </c>
      <c r="HA413" s="4">
        <v>169</v>
      </c>
      <c r="HB413" s="4">
        <v>156</v>
      </c>
      <c r="HC413" s="19">
        <v>7.5</v>
      </c>
      <c r="HD413" s="19">
        <v>7</v>
      </c>
      <c r="HE413" s="19">
        <v>10.5</v>
      </c>
      <c r="HF413" s="19">
        <v>8.7</v>
      </c>
      <c r="HG413" s="19">
        <v>10.2</v>
      </c>
      <c r="HH413" s="19">
        <v>12.1</v>
      </c>
      <c r="HI413" s="19">
        <v>13.3</v>
      </c>
      <c r="HJ413" s="19">
        <v>21.9</v>
      </c>
      <c r="HK413" s="19">
        <v>24.8</v>
      </c>
      <c r="HL413" s="19">
        <v>28.6</v>
      </c>
      <c r="HM413" s="19">
        <v>32.2</v>
      </c>
      <c r="HN413" s="19">
        <v>31</v>
      </c>
      <c r="HO413" s="19">
        <v>25.5</v>
      </c>
      <c r="HP413" s="19">
        <v>21.4</v>
      </c>
      <c r="HQ413" s="19">
        <v>19.4</v>
      </c>
      <c r="HR413" s="19">
        <v>18.5</v>
      </c>
      <c r="HS413" s="19">
        <v>19.9</v>
      </c>
      <c r="HT413" s="19">
        <v>18.7</v>
      </c>
      <c r="HU413" s="19">
        <v>19.1</v>
      </c>
      <c r="HV413" s="19">
        <v>18</v>
      </c>
      <c r="HW413" s="19">
        <v>17</v>
      </c>
      <c r="HX413" s="19">
        <v>16</v>
      </c>
      <c r="HY413" s="19">
        <v>15</v>
      </c>
      <c r="HZ413" s="19">
        <v>15.2</v>
      </c>
      <c r="IA413" s="19">
        <v>14.1</v>
      </c>
      <c r="IB413" s="19">
        <v>13</v>
      </c>
    </row>
    <row r="414">
      <c r="A414" s="2" t="s">
        <v>2508</v>
      </c>
      <c r="B414" s="2" t="s">
        <v>279</v>
      </c>
      <c r="C414" s="2" t="s">
        <v>2381</v>
      </c>
      <c r="D414" s="2" t="s">
        <v>281</v>
      </c>
      <c r="E414" s="2" t="s">
        <v>282</v>
      </c>
      <c r="F414" s="2" t="s">
        <v>2382</v>
      </c>
      <c r="G414" s="2" t="s">
        <v>2382</v>
      </c>
      <c r="H414" s="2" t="s">
        <v>2382</v>
      </c>
      <c r="I414" s="2" t="s">
        <v>2383</v>
      </c>
      <c r="J414" s="2" t="s">
        <v>228</v>
      </c>
      <c r="K414" s="2" t="s">
        <v>2509</v>
      </c>
      <c r="L414" s="3">
        <v>14.89</v>
      </c>
      <c r="M414" s="3">
        <v>15.63</v>
      </c>
      <c r="N414" s="3">
        <v>31.99</v>
      </c>
      <c r="O414" s="2" t="s">
        <v>230</v>
      </c>
      <c r="P414" s="2" t="s">
        <v>231</v>
      </c>
      <c r="Q414" s="2" t="s">
        <v>232</v>
      </c>
      <c r="R414" s="2" t="s">
        <v>233</v>
      </c>
      <c r="S414" s="2" t="s">
        <v>2510</v>
      </c>
      <c r="T414" s="2" t="s">
        <v>2310</v>
      </c>
      <c r="U414" s="2" t="s">
        <v>233</v>
      </c>
      <c r="V414" s="2" t="s">
        <v>236</v>
      </c>
      <c r="W414" s="2" t="s">
        <v>237</v>
      </c>
      <c r="X414" s="2" t="s">
        <v>233</v>
      </c>
      <c r="Y414" s="2" t="s">
        <v>238</v>
      </c>
      <c r="Z414" s="4">
        <v>715</v>
      </c>
      <c r="AA414" s="4">
        <f>=ROUNDDOWN(13,0)</f>
      </c>
      <c r="AB414" s="5">
        <v>55</v>
      </c>
      <c r="AC414" s="2" t="s">
        <v>140</v>
      </c>
      <c r="AD414" s="4">
        <v>320</v>
      </c>
      <c r="AE414" s="4">
        <v>677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233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233</v>
      </c>
      <c r="AW414" s="8" t="s">
        <v>233</v>
      </c>
      <c r="AX414" s="4" t="s">
        <v>233</v>
      </c>
      <c r="AY414" s="8" t="s">
        <v>233</v>
      </c>
      <c r="AZ414" s="7" t="s">
        <v>233</v>
      </c>
      <c r="BA414" s="7" t="s">
        <v>233</v>
      </c>
      <c r="BB414" s="7"/>
      <c r="BC414" s="4" t="s">
        <v>233</v>
      </c>
      <c r="BD414" s="8" t="s">
        <v>233</v>
      </c>
      <c r="BE414" s="4" t="s">
        <v>233</v>
      </c>
      <c r="BF414" s="8" t="s">
        <v>233</v>
      </c>
      <c r="BG414" s="7" t="s">
        <v>233</v>
      </c>
      <c r="BH414" s="7" t="s">
        <v>233</v>
      </c>
      <c r="BI414" s="7"/>
      <c r="BJ414" s="4">
        <v>786</v>
      </c>
      <c r="BK414" s="8">
        <v>12466.1</v>
      </c>
      <c r="BL414" s="2" t="s">
        <v>2511</v>
      </c>
      <c r="BM414" s="7"/>
      <c r="BN414" s="7"/>
      <c r="BO414" s="4"/>
      <c r="BP414" s="8"/>
      <c r="BQ414" s="4"/>
      <c r="BR414" s="8"/>
      <c r="BS414" s="7"/>
      <c r="BT414" s="7"/>
      <c r="BU414" s="2" t="s">
        <v>2387</v>
      </c>
      <c r="BV414" s="2" t="s">
        <v>233</v>
      </c>
      <c r="BW414" s="2" t="s">
        <v>233</v>
      </c>
      <c r="BX414" s="2" t="s">
        <v>241</v>
      </c>
      <c r="BY414" s="2" t="s">
        <v>242</v>
      </c>
      <c r="BZ414" s="2" t="s">
        <v>230</v>
      </c>
      <c r="CA414" s="2" t="s">
        <v>2512</v>
      </c>
      <c r="CB414" s="2" t="s">
        <v>2513</v>
      </c>
      <c r="CC414" s="2" t="s">
        <v>245</v>
      </c>
      <c r="CD414" s="2" t="s">
        <v>233</v>
      </c>
      <c r="CE414" s="4">
        <v>12</v>
      </c>
      <c r="CF414" s="4">
        <v>703</v>
      </c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>
        <v>320</v>
      </c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>
        <v>357</v>
      </c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>
        <v>987</v>
      </c>
      <c r="GD414" s="4">
        <v>797</v>
      </c>
      <c r="GE414" s="4">
        <v>1057</v>
      </c>
      <c r="GF414" s="4">
        <v>964</v>
      </c>
      <c r="GG414" s="4">
        <v>771</v>
      </c>
      <c r="GH414" s="4">
        <v>1026</v>
      </c>
      <c r="GI414" s="4">
        <v>927</v>
      </c>
      <c r="GJ414" s="4">
        <v>855</v>
      </c>
      <c r="GK414" s="4">
        <v>798</v>
      </c>
      <c r="GL414" s="4">
        <v>735</v>
      </c>
      <c r="GM414" s="4">
        <v>684</v>
      </c>
      <c r="GN414" s="4">
        <v>647</v>
      </c>
      <c r="GO414" s="4">
        <v>616</v>
      </c>
      <c r="GP414" s="4">
        <v>585</v>
      </c>
      <c r="GQ414" s="4">
        <v>551</v>
      </c>
      <c r="GR414" s="4">
        <v>517</v>
      </c>
      <c r="GS414" s="4">
        <v>483</v>
      </c>
      <c r="GT414" s="4">
        <v>449</v>
      </c>
      <c r="GU414" s="4">
        <v>421</v>
      </c>
      <c r="GV414" s="4">
        <v>393</v>
      </c>
      <c r="GW414" s="4">
        <v>368</v>
      </c>
      <c r="GX414" s="4">
        <v>343</v>
      </c>
      <c r="GY414" s="4">
        <v>318</v>
      </c>
      <c r="GZ414" s="4">
        <v>293</v>
      </c>
      <c r="HA414" s="4">
        <v>268</v>
      </c>
      <c r="HB414" s="4">
        <v>243</v>
      </c>
      <c r="HC414" s="19">
        <v>7.4</v>
      </c>
      <c r="HD414" s="19">
        <v>7.1</v>
      </c>
      <c r="HE414" s="19">
        <v>8.7</v>
      </c>
      <c r="HF414" s="19">
        <v>8.3</v>
      </c>
      <c r="HG414" s="19">
        <v>9.4</v>
      </c>
      <c r="HH414" s="19">
        <v>14.1</v>
      </c>
      <c r="HI414" s="19">
        <v>15.2</v>
      </c>
      <c r="HJ414" s="19">
        <v>16.4</v>
      </c>
      <c r="HK414" s="19">
        <v>17.3</v>
      </c>
      <c r="HL414" s="19">
        <v>19.3</v>
      </c>
      <c r="HM414" s="19">
        <v>20.7</v>
      </c>
      <c r="HN414" s="19">
        <v>20.2</v>
      </c>
      <c r="HO414" s="19">
        <v>18.7</v>
      </c>
      <c r="HP414" s="19">
        <v>17.2</v>
      </c>
      <c r="HQ414" s="19">
        <v>17.2</v>
      </c>
      <c r="HR414" s="19">
        <v>16.7</v>
      </c>
      <c r="HS414" s="19">
        <v>16.7</v>
      </c>
      <c r="HT414" s="19">
        <v>17.3</v>
      </c>
      <c r="HU414" s="19">
        <v>16.2</v>
      </c>
      <c r="HV414" s="19">
        <v>15.7</v>
      </c>
      <c r="HW414" s="19">
        <v>14.7</v>
      </c>
      <c r="HX414" s="19">
        <v>13.7</v>
      </c>
      <c r="HY414" s="19">
        <v>12.7</v>
      </c>
      <c r="HZ414" s="19">
        <v>12.2</v>
      </c>
      <c r="IA414" s="19">
        <v>11.2</v>
      </c>
      <c r="IB414" s="19">
        <v>10.6</v>
      </c>
    </row>
    <row r="415">
      <c r="A415" s="2" t="s">
        <v>2514</v>
      </c>
      <c r="B415" s="2" t="s">
        <v>279</v>
      </c>
      <c r="C415" s="2" t="s">
        <v>2381</v>
      </c>
      <c r="D415" s="2" t="s">
        <v>281</v>
      </c>
      <c r="E415" s="2" t="s">
        <v>282</v>
      </c>
      <c r="F415" s="2" t="s">
        <v>2382</v>
      </c>
      <c r="G415" s="2" t="s">
        <v>2382</v>
      </c>
      <c r="H415" s="2" t="s">
        <v>2382</v>
      </c>
      <c r="I415" s="2" t="s">
        <v>2383</v>
      </c>
      <c r="J415" s="2" t="s">
        <v>252</v>
      </c>
      <c r="K415" s="2" t="s">
        <v>2509</v>
      </c>
      <c r="L415" s="3">
        <v>19.57</v>
      </c>
      <c r="M415" s="3">
        <v>20.55</v>
      </c>
      <c r="N415" s="3">
        <v>42.99</v>
      </c>
      <c r="O415" s="2" t="s">
        <v>230</v>
      </c>
      <c r="P415" s="2" t="s">
        <v>586</v>
      </c>
      <c r="Q415" s="2" t="s">
        <v>232</v>
      </c>
      <c r="R415" s="2" t="s">
        <v>233</v>
      </c>
      <c r="S415" s="2" t="s">
        <v>2510</v>
      </c>
      <c r="T415" s="2" t="s">
        <v>2310</v>
      </c>
      <c r="U415" s="2" t="s">
        <v>233</v>
      </c>
      <c r="V415" s="2" t="s">
        <v>236</v>
      </c>
      <c r="W415" s="2" t="s">
        <v>237</v>
      </c>
      <c r="X415" s="2" t="s">
        <v>233</v>
      </c>
      <c r="Y415" s="2" t="s">
        <v>238</v>
      </c>
      <c r="Z415" s="4">
        <v>762</v>
      </c>
      <c r="AA415" s="4">
        <f>=ROUNDDOWN(18.1428571428571,0)</f>
      </c>
      <c r="AB415" s="5">
        <v>42</v>
      </c>
      <c r="AC415" s="2" t="s">
        <v>154</v>
      </c>
      <c r="AD415" s="4">
        <v>585</v>
      </c>
      <c r="AE415" s="4">
        <v>585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233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233</v>
      </c>
      <c r="AW415" s="8" t="s">
        <v>233</v>
      </c>
      <c r="AX415" s="4" t="s">
        <v>233</v>
      </c>
      <c r="AY415" s="8" t="s">
        <v>233</v>
      </c>
      <c r="AZ415" s="7" t="s">
        <v>233</v>
      </c>
      <c r="BA415" s="7" t="s">
        <v>233</v>
      </c>
      <c r="BB415" s="7"/>
      <c r="BC415" s="4" t="s">
        <v>233</v>
      </c>
      <c r="BD415" s="8" t="s">
        <v>233</v>
      </c>
      <c r="BE415" s="4" t="s">
        <v>233</v>
      </c>
      <c r="BF415" s="8" t="s">
        <v>233</v>
      </c>
      <c r="BG415" s="7" t="s">
        <v>233</v>
      </c>
      <c r="BH415" s="7" t="s">
        <v>233</v>
      </c>
      <c r="BI415" s="7"/>
      <c r="BJ415" s="4">
        <v>491</v>
      </c>
      <c r="BK415" s="8">
        <v>10581.06</v>
      </c>
      <c r="BL415" s="2" t="s">
        <v>2515</v>
      </c>
      <c r="BM415" s="7"/>
      <c r="BN415" s="7"/>
      <c r="BO415" s="4"/>
      <c r="BP415" s="8"/>
      <c r="BQ415" s="4"/>
      <c r="BR415" s="8"/>
      <c r="BS415" s="7"/>
      <c r="BT415" s="7"/>
      <c r="BU415" s="2" t="s">
        <v>2387</v>
      </c>
      <c r="BV415" s="2" t="s">
        <v>233</v>
      </c>
      <c r="BW415" s="2" t="s">
        <v>233</v>
      </c>
      <c r="BX415" s="2" t="s">
        <v>241</v>
      </c>
      <c r="BY415" s="2" t="s">
        <v>242</v>
      </c>
      <c r="BZ415" s="2" t="s">
        <v>230</v>
      </c>
      <c r="CA415" s="2" t="s">
        <v>2512</v>
      </c>
      <c r="CB415" s="2" t="s">
        <v>2516</v>
      </c>
      <c r="CC415" s="2" t="s">
        <v>245</v>
      </c>
      <c r="CD415" s="2" t="s">
        <v>233</v>
      </c>
      <c r="CE415" s="4">
        <v>55</v>
      </c>
      <c r="CF415" s="4">
        <v>707</v>
      </c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>
        <v>585</v>
      </c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>
        <v>782</v>
      </c>
      <c r="GD415" s="4">
        <v>651</v>
      </c>
      <c r="GE415" s="4">
        <v>579</v>
      </c>
      <c r="GF415" s="4">
        <v>498</v>
      </c>
      <c r="GG415" s="4">
        <v>373</v>
      </c>
      <c r="GH415" s="4">
        <v>894</v>
      </c>
      <c r="GI415" s="4">
        <v>831</v>
      </c>
      <c r="GJ415" s="4">
        <v>782</v>
      </c>
      <c r="GK415" s="4">
        <v>742</v>
      </c>
      <c r="GL415" s="4">
        <v>698</v>
      </c>
      <c r="GM415" s="4">
        <v>661</v>
      </c>
      <c r="GN415" s="4">
        <v>634</v>
      </c>
      <c r="GO415" s="4">
        <v>611</v>
      </c>
      <c r="GP415" s="4">
        <v>588</v>
      </c>
      <c r="GQ415" s="4">
        <v>563</v>
      </c>
      <c r="GR415" s="4">
        <v>538</v>
      </c>
      <c r="GS415" s="4">
        <v>513</v>
      </c>
      <c r="GT415" s="4">
        <v>488</v>
      </c>
      <c r="GU415" s="4">
        <v>466</v>
      </c>
      <c r="GV415" s="4">
        <v>444</v>
      </c>
      <c r="GW415" s="4">
        <v>425</v>
      </c>
      <c r="GX415" s="4">
        <v>406</v>
      </c>
      <c r="GY415" s="4">
        <v>387</v>
      </c>
      <c r="GZ415" s="4">
        <v>368</v>
      </c>
      <c r="HA415" s="4">
        <v>349</v>
      </c>
      <c r="HB415" s="4">
        <v>330</v>
      </c>
      <c r="HC415" s="19">
        <v>7.7</v>
      </c>
      <c r="HD415" s="19">
        <v>7.6</v>
      </c>
      <c r="HE415" s="19">
        <v>7</v>
      </c>
      <c r="HF415" s="19">
        <v>6.6</v>
      </c>
      <c r="HG415" s="19">
        <v>6.9</v>
      </c>
      <c r="HH415" s="19">
        <v>18.2</v>
      </c>
      <c r="HI415" s="19">
        <v>19.8</v>
      </c>
      <c r="HJ415" s="19">
        <v>21.1</v>
      </c>
      <c r="HK415" s="19">
        <v>22.5</v>
      </c>
      <c r="HL415" s="19">
        <v>24.9</v>
      </c>
      <c r="HM415" s="19">
        <v>27.5</v>
      </c>
      <c r="HN415" s="19">
        <v>26.4</v>
      </c>
      <c r="HO415" s="19">
        <v>25.5</v>
      </c>
      <c r="HP415" s="19">
        <v>23.5</v>
      </c>
      <c r="HQ415" s="19">
        <v>23.5</v>
      </c>
      <c r="HR415" s="19">
        <v>22.4</v>
      </c>
      <c r="HS415" s="19">
        <v>23.3</v>
      </c>
      <c r="HT415" s="19">
        <v>24.4</v>
      </c>
      <c r="HU415" s="19">
        <v>23.3</v>
      </c>
      <c r="HV415" s="19">
        <v>23.4</v>
      </c>
      <c r="HW415" s="19">
        <v>22.4</v>
      </c>
      <c r="HX415" s="19">
        <v>21.4</v>
      </c>
      <c r="HY415" s="19">
        <v>20.4</v>
      </c>
      <c r="HZ415" s="19">
        <v>20.4</v>
      </c>
      <c r="IA415" s="19">
        <v>19.4</v>
      </c>
      <c r="IB415" s="19">
        <v>18.3</v>
      </c>
    </row>
    <row r="416">
      <c r="A416" s="2" t="s">
        <v>2517</v>
      </c>
      <c r="B416" s="2" t="s">
        <v>279</v>
      </c>
      <c r="C416" s="2" t="s">
        <v>2381</v>
      </c>
      <c r="D416" s="2" t="s">
        <v>281</v>
      </c>
      <c r="E416" s="2" t="s">
        <v>282</v>
      </c>
      <c r="F416" s="2" t="s">
        <v>2382</v>
      </c>
      <c r="G416" s="2" t="s">
        <v>2382</v>
      </c>
      <c r="H416" s="2" t="s">
        <v>2382</v>
      </c>
      <c r="I416" s="2" t="s">
        <v>2383</v>
      </c>
      <c r="J416" s="2" t="s">
        <v>256</v>
      </c>
      <c r="K416" s="2" t="s">
        <v>2509</v>
      </c>
      <c r="L416" s="3">
        <v>27.39</v>
      </c>
      <c r="M416" s="3">
        <v>28.76</v>
      </c>
      <c r="N416" s="3">
        <v>62.99</v>
      </c>
      <c r="O416" s="2" t="s">
        <v>230</v>
      </c>
      <c r="P416" s="2" t="s">
        <v>231</v>
      </c>
      <c r="Q416" s="2" t="s">
        <v>232</v>
      </c>
      <c r="R416" s="2" t="s">
        <v>233</v>
      </c>
      <c r="S416" s="2" t="s">
        <v>2510</v>
      </c>
      <c r="T416" s="2" t="s">
        <v>2310</v>
      </c>
      <c r="U416" s="2" t="s">
        <v>233</v>
      </c>
      <c r="V416" s="2" t="s">
        <v>236</v>
      </c>
      <c r="W416" s="2" t="s">
        <v>237</v>
      </c>
      <c r="X416" s="2" t="s">
        <v>233</v>
      </c>
      <c r="Y416" s="2" t="s">
        <v>238</v>
      </c>
      <c r="Z416" s="4">
        <v>550</v>
      </c>
      <c r="AA416" s="4">
        <f>=ROUNDDOWN(32.3529411764706,0)</f>
      </c>
      <c r="AB416" s="5">
        <v>17</v>
      </c>
      <c r="AC416" s="2" t="s">
        <v>154</v>
      </c>
      <c r="AD416" s="4">
        <v>152</v>
      </c>
      <c r="AE416" s="4">
        <v>152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233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233</v>
      </c>
      <c r="AW416" s="8" t="s">
        <v>233</v>
      </c>
      <c r="AX416" s="4" t="s">
        <v>233</v>
      </c>
      <c r="AY416" s="8" t="s">
        <v>233</v>
      </c>
      <c r="AZ416" s="7" t="s">
        <v>233</v>
      </c>
      <c r="BA416" s="7" t="s">
        <v>233</v>
      </c>
      <c r="BB416" s="7"/>
      <c r="BC416" s="4" t="s">
        <v>233</v>
      </c>
      <c r="BD416" s="8" t="s">
        <v>233</v>
      </c>
      <c r="BE416" s="4" t="s">
        <v>233</v>
      </c>
      <c r="BF416" s="8" t="s">
        <v>233</v>
      </c>
      <c r="BG416" s="7" t="s">
        <v>233</v>
      </c>
      <c r="BH416" s="7" t="s">
        <v>233</v>
      </c>
      <c r="BI416" s="7"/>
      <c r="BJ416" s="4">
        <v>51</v>
      </c>
      <c r="BK416" s="8">
        <v>1500.61</v>
      </c>
      <c r="BL416" s="2" t="s">
        <v>2504</v>
      </c>
      <c r="BM416" s="7"/>
      <c r="BN416" s="7"/>
      <c r="BO416" s="4"/>
      <c r="BP416" s="8"/>
      <c r="BQ416" s="4"/>
      <c r="BR416" s="8"/>
      <c r="BS416" s="7"/>
      <c r="BT416" s="7"/>
      <c r="BU416" s="2" t="s">
        <v>2387</v>
      </c>
      <c r="BV416" s="2" t="s">
        <v>233</v>
      </c>
      <c r="BW416" s="2" t="s">
        <v>233</v>
      </c>
      <c r="BX416" s="2" t="s">
        <v>241</v>
      </c>
      <c r="BY416" s="2" t="s">
        <v>242</v>
      </c>
      <c r="BZ416" s="2" t="s">
        <v>230</v>
      </c>
      <c r="CA416" s="2" t="s">
        <v>2512</v>
      </c>
      <c r="CB416" s="2" t="s">
        <v>2518</v>
      </c>
      <c r="CC416" s="2" t="s">
        <v>245</v>
      </c>
      <c r="CD416" s="2" t="s">
        <v>233</v>
      </c>
      <c r="CE416" s="4">
        <v>303</v>
      </c>
      <c r="CF416" s="4">
        <v>247</v>
      </c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>
        <v>152</v>
      </c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>
        <v>575</v>
      </c>
      <c r="GD416" s="4">
        <v>467</v>
      </c>
      <c r="GE416" s="4">
        <v>436</v>
      </c>
      <c r="GF416" s="4">
        <v>395</v>
      </c>
      <c r="GG416" s="4">
        <v>322</v>
      </c>
      <c r="GH416" s="4">
        <v>438</v>
      </c>
      <c r="GI416" s="4">
        <v>403</v>
      </c>
      <c r="GJ416" s="4">
        <v>379</v>
      </c>
      <c r="GK416" s="4">
        <v>361</v>
      </c>
      <c r="GL416" s="4">
        <v>340</v>
      </c>
      <c r="GM416" s="4">
        <v>324</v>
      </c>
      <c r="GN416" s="4">
        <v>312</v>
      </c>
      <c r="GO416" s="4">
        <v>302</v>
      </c>
      <c r="GP416" s="4">
        <v>292</v>
      </c>
      <c r="GQ416" s="4">
        <v>281</v>
      </c>
      <c r="GR416" s="4">
        <v>270</v>
      </c>
      <c r="GS416" s="4">
        <v>259</v>
      </c>
      <c r="GT416" s="4">
        <v>248</v>
      </c>
      <c r="GU416" s="4">
        <v>239</v>
      </c>
      <c r="GV416" s="4">
        <v>230</v>
      </c>
      <c r="GW416" s="4">
        <v>222</v>
      </c>
      <c r="GX416" s="4">
        <v>214</v>
      </c>
      <c r="GY416" s="4">
        <v>206</v>
      </c>
      <c r="GZ416" s="4">
        <v>198</v>
      </c>
      <c r="HA416" s="4">
        <v>190</v>
      </c>
      <c r="HB416" s="4">
        <v>182</v>
      </c>
      <c r="HC416" s="19">
        <v>9.1</v>
      </c>
      <c r="HD416" s="19">
        <v>10.4</v>
      </c>
      <c r="HE416" s="19">
        <v>9.5</v>
      </c>
      <c r="HF416" s="19">
        <v>9.4</v>
      </c>
      <c r="HG416" s="19">
        <v>11.5</v>
      </c>
      <c r="HH416" s="19">
        <v>18.3</v>
      </c>
      <c r="HI416" s="19">
        <v>20.2</v>
      </c>
      <c r="HJ416" s="19">
        <v>22.3</v>
      </c>
      <c r="HK416" s="19">
        <v>24.1</v>
      </c>
      <c r="HL416" s="19">
        <v>28.3</v>
      </c>
      <c r="HM416" s="19">
        <v>29.5</v>
      </c>
      <c r="HN416" s="19">
        <v>31.2</v>
      </c>
      <c r="HO416" s="19">
        <v>27.5</v>
      </c>
      <c r="HP416" s="19">
        <v>26.5</v>
      </c>
      <c r="HQ416" s="19">
        <v>28.1</v>
      </c>
      <c r="HR416" s="19">
        <v>27</v>
      </c>
      <c r="HS416" s="19">
        <v>28.8</v>
      </c>
      <c r="HT416" s="19">
        <v>31</v>
      </c>
      <c r="HU416" s="19">
        <v>29.9</v>
      </c>
      <c r="HV416" s="19">
        <v>28.8</v>
      </c>
      <c r="HW416" s="19">
        <v>27.8</v>
      </c>
      <c r="HX416" s="19">
        <v>26.8</v>
      </c>
      <c r="HY416" s="19">
        <v>25.8</v>
      </c>
      <c r="HZ416" s="19">
        <v>24.8</v>
      </c>
      <c r="IA416" s="19">
        <v>27.1</v>
      </c>
      <c r="IB416" s="19">
        <v>30.3</v>
      </c>
    </row>
    <row r="417">
      <c r="A417" s="2" t="s">
        <v>2519</v>
      </c>
      <c r="B417" s="2" t="s">
        <v>279</v>
      </c>
      <c r="C417" s="2" t="s">
        <v>2381</v>
      </c>
      <c r="D417" s="2" t="s">
        <v>281</v>
      </c>
      <c r="E417" s="2" t="s">
        <v>282</v>
      </c>
      <c r="F417" s="2" t="s">
        <v>2382</v>
      </c>
      <c r="G417" s="2" t="s">
        <v>2382</v>
      </c>
      <c r="H417" s="2" t="s">
        <v>2382</v>
      </c>
      <c r="I417" s="2" t="s">
        <v>2383</v>
      </c>
      <c r="J417" s="2" t="s">
        <v>228</v>
      </c>
      <c r="K417" s="2" t="s">
        <v>2520</v>
      </c>
      <c r="L417" s="3">
        <v>14.89</v>
      </c>
      <c r="M417" s="3">
        <v>15.63</v>
      </c>
      <c r="N417" s="3">
        <v>31.99</v>
      </c>
      <c r="O417" s="2" t="s">
        <v>230</v>
      </c>
      <c r="P417" s="2" t="s">
        <v>231</v>
      </c>
      <c r="Q417" s="2" t="s">
        <v>232</v>
      </c>
      <c r="R417" s="2" t="s">
        <v>233</v>
      </c>
      <c r="S417" s="2" t="s">
        <v>2521</v>
      </c>
      <c r="T417" s="2" t="s">
        <v>2310</v>
      </c>
      <c r="U417" s="2" t="s">
        <v>233</v>
      </c>
      <c r="V417" s="2" t="s">
        <v>236</v>
      </c>
      <c r="W417" s="2" t="s">
        <v>237</v>
      </c>
      <c r="X417" s="2" t="s">
        <v>233</v>
      </c>
      <c r="Y417" s="2" t="s">
        <v>2522</v>
      </c>
      <c r="Z417" s="4">
        <v>841</v>
      </c>
      <c r="AA417" s="4">
        <f>=ROUNDDOWN(17.5208333333333,0)</f>
      </c>
      <c r="AB417" s="5">
        <v>48</v>
      </c>
      <c r="AC417" s="2" t="s">
        <v>139</v>
      </c>
      <c r="AD417" s="4">
        <v>588</v>
      </c>
      <c r="AE417" s="4">
        <v>588</v>
      </c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233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233</v>
      </c>
      <c r="AW417" s="8" t="s">
        <v>233</v>
      </c>
      <c r="AX417" s="4" t="s">
        <v>233</v>
      </c>
      <c r="AY417" s="8" t="s">
        <v>233</v>
      </c>
      <c r="AZ417" s="7" t="s">
        <v>233</v>
      </c>
      <c r="BA417" s="7" t="s">
        <v>233</v>
      </c>
      <c r="BB417" s="7"/>
      <c r="BC417" s="4" t="s">
        <v>233</v>
      </c>
      <c r="BD417" s="8" t="s">
        <v>233</v>
      </c>
      <c r="BE417" s="4" t="s">
        <v>233</v>
      </c>
      <c r="BF417" s="8" t="s">
        <v>233</v>
      </c>
      <c r="BG417" s="7" t="s">
        <v>233</v>
      </c>
      <c r="BH417" s="7" t="s">
        <v>233</v>
      </c>
      <c r="BI417" s="7"/>
      <c r="BJ417" s="4">
        <v>572</v>
      </c>
      <c r="BK417" s="8">
        <v>9086.23</v>
      </c>
      <c r="BL417" s="2" t="s">
        <v>2523</v>
      </c>
      <c r="BM417" s="7"/>
      <c r="BN417" s="7"/>
      <c r="BO417" s="4"/>
      <c r="BP417" s="8"/>
      <c r="BQ417" s="4"/>
      <c r="BR417" s="8"/>
      <c r="BS417" s="7"/>
      <c r="BT417" s="7"/>
      <c r="BU417" s="2" t="s">
        <v>2387</v>
      </c>
      <c r="BV417" s="2" t="s">
        <v>233</v>
      </c>
      <c r="BW417" s="2" t="s">
        <v>233</v>
      </c>
      <c r="BX417" s="2" t="s">
        <v>241</v>
      </c>
      <c r="BY417" s="2" t="s">
        <v>242</v>
      </c>
      <c r="BZ417" s="2" t="s">
        <v>230</v>
      </c>
      <c r="CA417" s="2" t="s">
        <v>2512</v>
      </c>
      <c r="CB417" s="2" t="s">
        <v>2524</v>
      </c>
      <c r="CC417" s="2" t="s">
        <v>245</v>
      </c>
      <c r="CD417" s="2" t="s">
        <v>233</v>
      </c>
      <c r="CE417" s="4">
        <v>841</v>
      </c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>
        <v>588</v>
      </c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>
        <v>946</v>
      </c>
      <c r="GD417" s="4">
        <v>898</v>
      </c>
      <c r="GE417" s="4">
        <v>1436</v>
      </c>
      <c r="GF417" s="4">
        <v>1335</v>
      </c>
      <c r="GG417" s="4">
        <v>1162</v>
      </c>
      <c r="GH417" s="4">
        <v>1075</v>
      </c>
      <c r="GI417" s="4">
        <v>991</v>
      </c>
      <c r="GJ417" s="4">
        <v>930</v>
      </c>
      <c r="GK417" s="4">
        <v>881</v>
      </c>
      <c r="GL417" s="4">
        <v>827</v>
      </c>
      <c r="GM417" s="4">
        <v>783</v>
      </c>
      <c r="GN417" s="4">
        <v>751</v>
      </c>
      <c r="GO417" s="4">
        <v>724</v>
      </c>
      <c r="GP417" s="4">
        <v>697</v>
      </c>
      <c r="GQ417" s="4">
        <v>667</v>
      </c>
      <c r="GR417" s="4">
        <v>637</v>
      </c>
      <c r="GS417" s="4">
        <v>607</v>
      </c>
      <c r="GT417" s="4">
        <v>577</v>
      </c>
      <c r="GU417" s="4">
        <v>552</v>
      </c>
      <c r="GV417" s="4">
        <v>527</v>
      </c>
      <c r="GW417" s="4">
        <v>505</v>
      </c>
      <c r="GX417" s="4">
        <v>483</v>
      </c>
      <c r="GY417" s="4">
        <v>461</v>
      </c>
      <c r="GZ417" s="4">
        <v>439</v>
      </c>
      <c r="HA417" s="4">
        <v>417</v>
      </c>
      <c r="HB417" s="4">
        <v>395</v>
      </c>
      <c r="HC417" s="19">
        <v>10.2</v>
      </c>
      <c r="HD417" s="19">
        <v>8.7</v>
      </c>
      <c r="HE417" s="19">
        <v>12.9</v>
      </c>
      <c r="HF417" s="19">
        <v>13.2</v>
      </c>
      <c r="HG417" s="19">
        <v>16.6</v>
      </c>
      <c r="HH417" s="19">
        <v>17.3</v>
      </c>
      <c r="HI417" s="19">
        <v>19.1</v>
      </c>
      <c r="HJ417" s="19">
        <v>20.7</v>
      </c>
      <c r="HK417" s="19">
        <v>22.6</v>
      </c>
      <c r="HL417" s="19">
        <v>25.8</v>
      </c>
      <c r="HM417" s="19">
        <v>27</v>
      </c>
      <c r="HN417" s="19">
        <v>26.8</v>
      </c>
      <c r="HO417" s="19">
        <v>25</v>
      </c>
      <c r="HP417" s="19">
        <v>23.2</v>
      </c>
      <c r="HQ417" s="19">
        <v>23</v>
      </c>
      <c r="HR417" s="19">
        <v>22.8</v>
      </c>
      <c r="HS417" s="19">
        <v>23.3</v>
      </c>
      <c r="HT417" s="19">
        <v>24</v>
      </c>
      <c r="HU417" s="19">
        <v>24</v>
      </c>
      <c r="HV417" s="19">
        <v>24</v>
      </c>
      <c r="HW417" s="19">
        <v>23</v>
      </c>
      <c r="HX417" s="19">
        <v>22</v>
      </c>
      <c r="HY417" s="19">
        <v>21</v>
      </c>
      <c r="HZ417" s="19">
        <v>20.9</v>
      </c>
      <c r="IA417" s="19">
        <v>20.9</v>
      </c>
      <c r="IB417" s="19">
        <v>19.8</v>
      </c>
    </row>
    <row r="418">
      <c r="A418" s="2" t="s">
        <v>2525</v>
      </c>
      <c r="B418" s="2" t="s">
        <v>279</v>
      </c>
      <c r="C418" s="2" t="s">
        <v>2381</v>
      </c>
      <c r="D418" s="2" t="s">
        <v>281</v>
      </c>
      <c r="E418" s="2" t="s">
        <v>282</v>
      </c>
      <c r="F418" s="2" t="s">
        <v>2382</v>
      </c>
      <c r="G418" s="2" t="s">
        <v>2382</v>
      </c>
      <c r="H418" s="2" t="s">
        <v>2382</v>
      </c>
      <c r="I418" s="2" t="s">
        <v>2383</v>
      </c>
      <c r="J418" s="2" t="s">
        <v>285</v>
      </c>
      <c r="K418" s="2" t="s">
        <v>2520</v>
      </c>
      <c r="L418" s="3">
        <v>27.39</v>
      </c>
      <c r="M418" s="3">
        <v>28.76</v>
      </c>
      <c r="N418" s="3">
        <v>62.99</v>
      </c>
      <c r="O418" s="2" t="s">
        <v>230</v>
      </c>
      <c r="P418" s="2" t="s">
        <v>231</v>
      </c>
      <c r="Q418" s="2" t="s">
        <v>232</v>
      </c>
      <c r="R418" s="2" t="s">
        <v>233</v>
      </c>
      <c r="S418" s="2" t="s">
        <v>2521</v>
      </c>
      <c r="T418" s="2" t="s">
        <v>2310</v>
      </c>
      <c r="U418" s="2" t="s">
        <v>233</v>
      </c>
      <c r="V418" s="2" t="s">
        <v>236</v>
      </c>
      <c r="W418" s="2" t="s">
        <v>237</v>
      </c>
      <c r="X418" s="2" t="s">
        <v>233</v>
      </c>
      <c r="Y418" s="2" t="s">
        <v>238</v>
      </c>
      <c r="Z418" s="4">
        <v>541</v>
      </c>
      <c r="AA418" s="4">
        <f>=ROUNDDOWN(45.0833333333333,0)</f>
      </c>
      <c r="AB418" s="5">
        <v>12</v>
      </c>
      <c r="AC418" s="2" t="s">
        <v>139</v>
      </c>
      <c r="AD418" s="4">
        <v>185</v>
      </c>
      <c r="AE418" s="4">
        <v>185</v>
      </c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233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233</v>
      </c>
      <c r="AW418" s="8" t="s">
        <v>233</v>
      </c>
      <c r="AX418" s="4" t="s">
        <v>233</v>
      </c>
      <c r="AY418" s="8" t="s">
        <v>233</v>
      </c>
      <c r="AZ418" s="7" t="s">
        <v>233</v>
      </c>
      <c r="BA418" s="7" t="s">
        <v>233</v>
      </c>
      <c r="BB418" s="7"/>
      <c r="BC418" s="4" t="s">
        <v>233</v>
      </c>
      <c r="BD418" s="8" t="s">
        <v>233</v>
      </c>
      <c r="BE418" s="4" t="s">
        <v>233</v>
      </c>
      <c r="BF418" s="8" t="s">
        <v>233</v>
      </c>
      <c r="BG418" s="7" t="s">
        <v>233</v>
      </c>
      <c r="BH418" s="7" t="s">
        <v>233</v>
      </c>
      <c r="BI418" s="7"/>
      <c r="BJ418" s="4">
        <v>33</v>
      </c>
      <c r="BK418" s="8">
        <v>965.69</v>
      </c>
      <c r="BL418" s="2" t="s">
        <v>1923</v>
      </c>
      <c r="BM418" s="7"/>
      <c r="BN418" s="7"/>
      <c r="BO418" s="4"/>
      <c r="BP418" s="8"/>
      <c r="BQ418" s="4"/>
      <c r="BR418" s="8"/>
      <c r="BS418" s="7"/>
      <c r="BT418" s="7"/>
      <c r="BU418" s="2" t="s">
        <v>2387</v>
      </c>
      <c r="BV418" s="2" t="s">
        <v>233</v>
      </c>
      <c r="BW418" s="2" t="s">
        <v>233</v>
      </c>
      <c r="BX418" s="2" t="s">
        <v>241</v>
      </c>
      <c r="BY418" s="2" t="s">
        <v>242</v>
      </c>
      <c r="BZ418" s="2" t="s">
        <v>230</v>
      </c>
      <c r="CA418" s="2" t="s">
        <v>2512</v>
      </c>
      <c r="CB418" s="2" t="s">
        <v>2326</v>
      </c>
      <c r="CC418" s="2" t="s">
        <v>245</v>
      </c>
      <c r="CD418" s="2" t="s">
        <v>233</v>
      </c>
      <c r="CE418" s="4">
        <v>541</v>
      </c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>
        <v>185</v>
      </c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>
        <v>548</v>
      </c>
      <c r="GD418" s="4">
        <v>417</v>
      </c>
      <c r="GE418" s="4">
        <v>581</v>
      </c>
      <c r="GF418" s="4">
        <v>557</v>
      </c>
      <c r="GG418" s="4">
        <v>520</v>
      </c>
      <c r="GH418" s="4">
        <v>501</v>
      </c>
      <c r="GI418" s="4">
        <v>483</v>
      </c>
      <c r="GJ418" s="4">
        <v>469</v>
      </c>
      <c r="GK418" s="4">
        <v>457</v>
      </c>
      <c r="GL418" s="4">
        <v>444</v>
      </c>
      <c r="GM418" s="4">
        <v>433</v>
      </c>
      <c r="GN418" s="4">
        <v>425</v>
      </c>
      <c r="GO418" s="4">
        <v>418</v>
      </c>
      <c r="GP418" s="4">
        <v>411</v>
      </c>
      <c r="GQ418" s="4">
        <v>403</v>
      </c>
      <c r="GR418" s="4">
        <v>395</v>
      </c>
      <c r="GS418" s="4">
        <v>387</v>
      </c>
      <c r="GT418" s="4">
        <v>379</v>
      </c>
      <c r="GU418" s="4">
        <v>372</v>
      </c>
      <c r="GV418" s="4">
        <v>365</v>
      </c>
      <c r="GW418" s="4">
        <v>359</v>
      </c>
      <c r="GX418" s="4">
        <v>353</v>
      </c>
      <c r="GY418" s="4">
        <v>347</v>
      </c>
      <c r="GZ418" s="4">
        <v>341</v>
      </c>
      <c r="HA418" s="4">
        <v>335</v>
      </c>
      <c r="HB418" s="4">
        <v>329</v>
      </c>
      <c r="HC418" s="19">
        <v>10.3</v>
      </c>
      <c r="HD418" s="19">
        <v>16.7</v>
      </c>
      <c r="HE418" s="19">
        <v>24.2</v>
      </c>
      <c r="HF418" s="19">
        <v>25.3</v>
      </c>
      <c r="HG418" s="19">
        <v>32.5</v>
      </c>
      <c r="HH418" s="19">
        <v>35.8</v>
      </c>
      <c r="HI418" s="19">
        <v>40.3</v>
      </c>
      <c r="HJ418" s="19">
        <v>42.6</v>
      </c>
      <c r="HK418" s="19">
        <v>45.7</v>
      </c>
      <c r="HL418" s="19">
        <v>55.5</v>
      </c>
      <c r="HM418" s="19">
        <v>54.1</v>
      </c>
      <c r="HN418" s="19">
        <v>53.1</v>
      </c>
      <c r="HO418" s="19">
        <v>52.3</v>
      </c>
      <c r="HP418" s="19">
        <v>51.4</v>
      </c>
      <c r="HQ418" s="19">
        <v>50.4</v>
      </c>
      <c r="HR418" s="19">
        <v>49.4</v>
      </c>
      <c r="HS418" s="19">
        <v>55.3</v>
      </c>
      <c r="HT418" s="19">
        <v>63.2</v>
      </c>
      <c r="HU418" s="19">
        <v>62</v>
      </c>
      <c r="HV418" s="19">
        <v>60.8</v>
      </c>
      <c r="HW418" s="19">
        <v>59.8</v>
      </c>
      <c r="HX418" s="19">
        <v>58.8</v>
      </c>
      <c r="HY418" s="19">
        <v>57.8</v>
      </c>
      <c r="HZ418" s="19">
        <v>56.8</v>
      </c>
      <c r="IA418" s="19">
        <v>55.8</v>
      </c>
      <c r="IB418" s="19">
        <v>65.8</v>
      </c>
    </row>
    <row r="419">
      <c r="A419" s="2" t="s">
        <v>2526</v>
      </c>
      <c r="B419" s="2" t="s">
        <v>279</v>
      </c>
      <c r="C419" s="2" t="s">
        <v>2381</v>
      </c>
      <c r="D419" s="2" t="s">
        <v>281</v>
      </c>
      <c r="E419" s="2" t="s">
        <v>282</v>
      </c>
      <c r="F419" s="2" t="s">
        <v>2382</v>
      </c>
      <c r="G419" s="2" t="s">
        <v>2382</v>
      </c>
      <c r="H419" s="2" t="s">
        <v>2382</v>
      </c>
      <c r="I419" s="2" t="s">
        <v>2383</v>
      </c>
      <c r="J419" s="2" t="s">
        <v>228</v>
      </c>
      <c r="K419" s="2" t="s">
        <v>2527</v>
      </c>
      <c r="L419" s="3">
        <v>14.89</v>
      </c>
      <c r="M419" s="3">
        <v>15.63</v>
      </c>
      <c r="N419" s="3">
        <v>31.99</v>
      </c>
      <c r="O419" s="2" t="s">
        <v>230</v>
      </c>
      <c r="P419" s="2" t="s">
        <v>231</v>
      </c>
      <c r="Q419" s="2" t="s">
        <v>232</v>
      </c>
      <c r="R419" s="2" t="s">
        <v>233</v>
      </c>
      <c r="S419" s="2" t="s">
        <v>2528</v>
      </c>
      <c r="T419" s="2" t="s">
        <v>2310</v>
      </c>
      <c r="U419" s="2" t="s">
        <v>233</v>
      </c>
      <c r="V419" s="2" t="s">
        <v>2311</v>
      </c>
      <c r="W419" s="2" t="s">
        <v>237</v>
      </c>
      <c r="X419" s="2" t="s">
        <v>233</v>
      </c>
      <c r="Y419" s="2" t="s">
        <v>1117</v>
      </c>
      <c r="Z419" s="4">
        <v>101</v>
      </c>
      <c r="AA419" s="4">
        <f>=ROUNDDOWN(2.06122448979592,0)</f>
      </c>
      <c r="AB419" s="5">
        <v>49</v>
      </c>
      <c r="AC419" s="2" t="s">
        <v>140</v>
      </c>
      <c r="AD419" s="4">
        <v>498</v>
      </c>
      <c r="AE419" s="4">
        <v>887</v>
      </c>
      <c r="AF419" s="6">
        <v>65</v>
      </c>
      <c r="AG419" s="6"/>
      <c r="AH419" s="7">
        <v>0.7097</v>
      </c>
      <c r="AI419" s="4"/>
      <c r="AJ419" s="4">
        <f>=ROUNDDOWN({0},0)</f>
      </c>
      <c r="AK419" s="5"/>
      <c r="AL419" s="2" t="s">
        <v>233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 t="s">
        <v>233</v>
      </c>
      <c r="BD419" s="8" t="s">
        <v>233</v>
      </c>
      <c r="BE419" s="4" t="s">
        <v>233</v>
      </c>
      <c r="BF419" s="8" t="s">
        <v>233</v>
      </c>
      <c r="BG419" s="7" t="s">
        <v>233</v>
      </c>
      <c r="BH419" s="7" t="s">
        <v>233</v>
      </c>
      <c r="BI419" s="7"/>
      <c r="BJ419" s="4">
        <v>1048</v>
      </c>
      <c r="BK419" s="8">
        <v>17379.17</v>
      </c>
      <c r="BL419" s="2" t="s">
        <v>2529</v>
      </c>
      <c r="BM419" s="7"/>
      <c r="BN419" s="7"/>
      <c r="BO419" s="4"/>
      <c r="BP419" s="8"/>
      <c r="BQ419" s="4"/>
      <c r="BR419" s="8"/>
      <c r="BS419" s="7"/>
      <c r="BT419" s="7"/>
      <c r="BU419" s="2" t="s">
        <v>2387</v>
      </c>
      <c r="BV419" s="2" t="s">
        <v>233</v>
      </c>
      <c r="BW419" s="2" t="s">
        <v>233</v>
      </c>
      <c r="BX419" s="2" t="s">
        <v>241</v>
      </c>
      <c r="BY419" s="2" t="s">
        <v>242</v>
      </c>
      <c r="BZ419" s="2" t="s">
        <v>230</v>
      </c>
      <c r="CA419" s="2" t="s">
        <v>1460</v>
      </c>
      <c r="CB419" s="2" t="s">
        <v>2530</v>
      </c>
      <c r="CC419" s="2" t="s">
        <v>245</v>
      </c>
      <c r="CD419" s="2" t="s">
        <v>233</v>
      </c>
      <c r="CE419" s="4">
        <v>100</v>
      </c>
      <c r="CF419" s="4"/>
      <c r="CG419" s="4"/>
      <c r="CH419" s="4"/>
      <c r="CI419" s="4"/>
      <c r="CJ419" s="4"/>
      <c r="CK419" s="4">
        <v>1</v>
      </c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>
        <v>498</v>
      </c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>
        <v>69</v>
      </c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>
        <v>150</v>
      </c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>
        <v>170</v>
      </c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>
        <v>257</v>
      </c>
      <c r="GD419" s="4">
        <v>218</v>
      </c>
      <c r="GE419" s="4">
        <v>676</v>
      </c>
      <c r="GF419" s="4">
        <v>614</v>
      </c>
      <c r="GG419" s="4">
        <v>490</v>
      </c>
      <c r="GH419" s="4">
        <v>501</v>
      </c>
      <c r="GI419" s="4">
        <v>445</v>
      </c>
      <c r="GJ419" s="4">
        <v>409</v>
      </c>
      <c r="GK419" s="4">
        <v>383</v>
      </c>
      <c r="GL419" s="4">
        <v>353</v>
      </c>
      <c r="GM419" s="4">
        <v>317</v>
      </c>
      <c r="GN419" s="4">
        <v>436</v>
      </c>
      <c r="GO419" s="4">
        <v>409</v>
      </c>
      <c r="GP419" s="4">
        <v>382</v>
      </c>
      <c r="GQ419" s="4">
        <v>353</v>
      </c>
      <c r="GR419" s="4">
        <v>324</v>
      </c>
      <c r="GS419" s="4">
        <v>465</v>
      </c>
      <c r="GT419" s="4">
        <v>436</v>
      </c>
      <c r="GU419" s="4">
        <v>411</v>
      </c>
      <c r="GV419" s="4">
        <v>386</v>
      </c>
      <c r="GW419" s="4">
        <v>364</v>
      </c>
      <c r="GX419" s="4">
        <v>342</v>
      </c>
      <c r="GY419" s="4">
        <v>320</v>
      </c>
      <c r="GZ419" s="4">
        <v>298</v>
      </c>
      <c r="HA419" s="4">
        <v>276</v>
      </c>
      <c r="HB419" s="4">
        <v>254</v>
      </c>
      <c r="HC419" s="19">
        <v>3.9</v>
      </c>
      <c r="HD419" s="19">
        <v>3.1</v>
      </c>
      <c r="HE419" s="19">
        <v>9</v>
      </c>
      <c r="HF419" s="19">
        <v>9</v>
      </c>
      <c r="HG419" s="19">
        <v>11.1</v>
      </c>
      <c r="HH419" s="19">
        <v>13.5</v>
      </c>
      <c r="HI419" s="19">
        <v>13.9</v>
      </c>
      <c r="HJ419" s="19">
        <v>13.2</v>
      </c>
      <c r="HK419" s="19">
        <v>12.4</v>
      </c>
      <c r="HL419" s="19">
        <v>11.8</v>
      </c>
      <c r="HM419" s="19">
        <v>11.3</v>
      </c>
      <c r="HN419" s="19">
        <v>15.6</v>
      </c>
      <c r="HO419" s="19">
        <v>14.6</v>
      </c>
      <c r="HP419" s="19">
        <v>13.2</v>
      </c>
      <c r="HQ419" s="19">
        <v>12.6</v>
      </c>
      <c r="HR419" s="19">
        <v>12</v>
      </c>
      <c r="HS419" s="19">
        <v>18.6</v>
      </c>
      <c r="HT419" s="19">
        <v>18.2</v>
      </c>
      <c r="HU419" s="19">
        <v>17.9</v>
      </c>
      <c r="HV419" s="19">
        <v>17.5</v>
      </c>
      <c r="HW419" s="19">
        <v>16.5</v>
      </c>
      <c r="HX419" s="19">
        <v>15.5</v>
      </c>
      <c r="HY419" s="19">
        <v>14.5</v>
      </c>
      <c r="HZ419" s="19">
        <v>13.5</v>
      </c>
      <c r="IA419" s="19">
        <v>13.1</v>
      </c>
      <c r="IB419" s="19">
        <v>12.7</v>
      </c>
    </row>
    <row r="420">
      <c r="A420" s="2" t="s">
        <v>2531</v>
      </c>
      <c r="B420" s="2" t="s">
        <v>279</v>
      </c>
      <c r="C420" s="2" t="s">
        <v>2381</v>
      </c>
      <c r="D420" s="2" t="s">
        <v>281</v>
      </c>
      <c r="E420" s="2" t="s">
        <v>282</v>
      </c>
      <c r="F420" s="2" t="s">
        <v>2382</v>
      </c>
      <c r="G420" s="2" t="s">
        <v>2382</v>
      </c>
      <c r="H420" s="2" t="s">
        <v>2382</v>
      </c>
      <c r="I420" s="2" t="s">
        <v>2383</v>
      </c>
      <c r="J420" s="2" t="s">
        <v>336</v>
      </c>
      <c r="K420" s="2" t="s">
        <v>2532</v>
      </c>
      <c r="L420" s="3">
        <v>22.21</v>
      </c>
      <c r="M420" s="3">
        <v>23.32</v>
      </c>
      <c r="N420" s="3">
        <v>47.99</v>
      </c>
      <c r="O420" s="2" t="s">
        <v>230</v>
      </c>
      <c r="P420" s="2" t="s">
        <v>1903</v>
      </c>
      <c r="Q420" s="2" t="s">
        <v>232</v>
      </c>
      <c r="R420" s="2" t="s">
        <v>233</v>
      </c>
      <c r="S420" s="2" t="s">
        <v>2533</v>
      </c>
      <c r="T420" s="2" t="s">
        <v>2310</v>
      </c>
      <c r="U420" s="2" t="s">
        <v>233</v>
      </c>
      <c r="V420" s="2" t="s">
        <v>2311</v>
      </c>
      <c r="W420" s="2" t="s">
        <v>237</v>
      </c>
      <c r="X420" s="2" t="s">
        <v>233</v>
      </c>
      <c r="Y420" s="2" t="s">
        <v>2534</v>
      </c>
      <c r="Z420" s="4">
        <v>1297</v>
      </c>
      <c r="AA420" s="4">
        <f>=ROUNDDOWN(10.1328125,0)</f>
      </c>
      <c r="AB420" s="5">
        <v>128</v>
      </c>
      <c r="AC420" s="2" t="s">
        <v>2411</v>
      </c>
      <c r="AD420" s="4">
        <v>500</v>
      </c>
      <c r="AE420" s="4">
        <v>900</v>
      </c>
      <c r="AF420" s="6">
        <v>65</v>
      </c>
      <c r="AG420" s="6"/>
      <c r="AH420" s="7">
        <v>0.1613</v>
      </c>
      <c r="AI420" s="4"/>
      <c r="AJ420" s="4">
        <f>=ROUNDDOWN({0},0)</f>
      </c>
      <c r="AK420" s="5"/>
      <c r="AL420" s="2" t="s">
        <v>233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 t="s">
        <v>233</v>
      </c>
      <c r="BD420" s="8" t="s">
        <v>233</v>
      </c>
      <c r="BE420" s="4" t="s">
        <v>233</v>
      </c>
      <c r="BF420" s="8" t="s">
        <v>233</v>
      </c>
      <c r="BG420" s="7" t="s">
        <v>233</v>
      </c>
      <c r="BH420" s="7" t="s">
        <v>233</v>
      </c>
      <c r="BI420" s="7"/>
      <c r="BJ420" s="4">
        <v>2878</v>
      </c>
      <c r="BK420" s="8">
        <v>68207.84</v>
      </c>
      <c r="BL420" s="2" t="s">
        <v>599</v>
      </c>
      <c r="BM420" s="7"/>
      <c r="BN420" s="7"/>
      <c r="BO420" s="4"/>
      <c r="BP420" s="8"/>
      <c r="BQ420" s="4"/>
      <c r="BR420" s="8"/>
      <c r="BS420" s="7"/>
      <c r="BT420" s="7"/>
      <c r="BU420" s="2" t="s">
        <v>2387</v>
      </c>
      <c r="BV420" s="2" t="s">
        <v>233</v>
      </c>
      <c r="BW420" s="2" t="s">
        <v>233</v>
      </c>
      <c r="BX420" s="2" t="s">
        <v>241</v>
      </c>
      <c r="BY420" s="2" t="s">
        <v>242</v>
      </c>
      <c r="BZ420" s="2" t="s">
        <v>230</v>
      </c>
      <c r="CA420" s="2" t="s">
        <v>1460</v>
      </c>
      <c r="CB420" s="2" t="s">
        <v>2305</v>
      </c>
      <c r="CC420" s="2" t="s">
        <v>245</v>
      </c>
      <c r="CD420" s="2" t="s">
        <v>233</v>
      </c>
      <c r="CE420" s="4">
        <v>1296</v>
      </c>
      <c r="CF420" s="4"/>
      <c r="CG420" s="4"/>
      <c r="CH420" s="4"/>
      <c r="CI420" s="4"/>
      <c r="CJ420" s="4"/>
      <c r="CK420" s="4">
        <v>1</v>
      </c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>
        <v>500</v>
      </c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>
        <v>400</v>
      </c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>
        <v>1491</v>
      </c>
      <c r="GD420" s="4">
        <v>1214</v>
      </c>
      <c r="GE420" s="4">
        <v>1104</v>
      </c>
      <c r="GF420" s="4">
        <v>933</v>
      </c>
      <c r="GG420" s="4">
        <v>592</v>
      </c>
      <c r="GH420" s="4">
        <v>432</v>
      </c>
      <c r="GI420" s="4">
        <v>278</v>
      </c>
      <c r="GJ420" s="4">
        <v>179</v>
      </c>
      <c r="GK420" s="4">
        <v>107</v>
      </c>
      <c r="GL420" s="4">
        <v>24</v>
      </c>
      <c r="GM420" s="4"/>
      <c r="GN420" s="4">
        <v>500</v>
      </c>
      <c r="GO420" s="4">
        <v>467</v>
      </c>
      <c r="GP420" s="4">
        <v>434</v>
      </c>
      <c r="GQ420" s="4">
        <v>395</v>
      </c>
      <c r="GR420" s="4">
        <v>356</v>
      </c>
      <c r="GS420" s="4">
        <v>717</v>
      </c>
      <c r="GT420" s="4">
        <v>678</v>
      </c>
      <c r="GU420" s="4">
        <v>650</v>
      </c>
      <c r="GV420" s="4">
        <v>860</v>
      </c>
      <c r="GW420" s="4">
        <v>832</v>
      </c>
      <c r="GX420" s="4">
        <v>804</v>
      </c>
      <c r="GY420" s="4">
        <v>776</v>
      </c>
      <c r="GZ420" s="4">
        <v>748</v>
      </c>
      <c r="HA420" s="4">
        <v>720</v>
      </c>
      <c r="HB420" s="4">
        <v>667</v>
      </c>
      <c r="HC420" s="19">
        <v>6.6</v>
      </c>
      <c r="HD420" s="19">
        <v>6.2</v>
      </c>
      <c r="HE420" s="19">
        <v>5.4</v>
      </c>
      <c r="HF420" s="19">
        <v>5</v>
      </c>
      <c r="HG420" s="19">
        <v>4.9</v>
      </c>
      <c r="HH420" s="19">
        <v>4.2</v>
      </c>
      <c r="HI420" s="19">
        <v>3.5</v>
      </c>
      <c r="HJ420" s="19">
        <v>2.8</v>
      </c>
      <c r="HK420" s="19">
        <v>1.9</v>
      </c>
      <c r="HL420" s="19">
        <v>0.6</v>
      </c>
      <c r="HM420" s="20">
        <v>0</v>
      </c>
      <c r="HN420" s="19">
        <v>13.9</v>
      </c>
      <c r="HO420" s="19">
        <v>12.3</v>
      </c>
      <c r="HP420" s="19">
        <v>11.1</v>
      </c>
      <c r="HQ420" s="19">
        <v>11</v>
      </c>
      <c r="HR420" s="19">
        <v>10.5</v>
      </c>
      <c r="HS420" s="19">
        <v>23.1</v>
      </c>
      <c r="HT420" s="19">
        <v>24.2</v>
      </c>
      <c r="HU420" s="19">
        <v>23.2</v>
      </c>
      <c r="HV420" s="19">
        <v>30.7</v>
      </c>
      <c r="HW420" s="19">
        <v>29.7</v>
      </c>
      <c r="HX420" s="19">
        <v>23.6</v>
      </c>
      <c r="HY420" s="19">
        <v>18.5</v>
      </c>
      <c r="HZ420" s="19">
        <v>15.9</v>
      </c>
      <c r="IA420" s="19">
        <v>13.6</v>
      </c>
      <c r="IB420" s="19">
        <v>12.8</v>
      </c>
    </row>
    <row r="421">
      <c r="A421" s="2" t="s">
        <v>2535</v>
      </c>
      <c r="B421" s="2" t="s">
        <v>279</v>
      </c>
      <c r="C421" s="2" t="s">
        <v>2381</v>
      </c>
      <c r="D421" s="2" t="s">
        <v>281</v>
      </c>
      <c r="E421" s="2" t="s">
        <v>282</v>
      </c>
      <c r="F421" s="2" t="s">
        <v>2382</v>
      </c>
      <c r="G421" s="2" t="s">
        <v>2382</v>
      </c>
      <c r="H421" s="2" t="s">
        <v>2382</v>
      </c>
      <c r="I421" s="2" t="s">
        <v>2383</v>
      </c>
      <c r="J421" s="2" t="s">
        <v>228</v>
      </c>
      <c r="K421" s="2" t="s">
        <v>2536</v>
      </c>
      <c r="L421" s="3">
        <v>14.89</v>
      </c>
      <c r="M421" s="3">
        <v>15.63</v>
      </c>
      <c r="N421" s="3">
        <v>31.99</v>
      </c>
      <c r="O421" s="2" t="s">
        <v>230</v>
      </c>
      <c r="P421" s="2" t="s">
        <v>586</v>
      </c>
      <c r="Q421" s="2" t="s">
        <v>232</v>
      </c>
      <c r="R421" s="2" t="s">
        <v>233</v>
      </c>
      <c r="S421" s="2" t="s">
        <v>2537</v>
      </c>
      <c r="T421" s="2" t="s">
        <v>2310</v>
      </c>
      <c r="U421" s="2" t="s">
        <v>233</v>
      </c>
      <c r="V421" s="2" t="s">
        <v>2311</v>
      </c>
      <c r="W421" s="2" t="s">
        <v>237</v>
      </c>
      <c r="X421" s="2" t="s">
        <v>233</v>
      </c>
      <c r="Y421" s="2" t="s">
        <v>1117</v>
      </c>
      <c r="Z421" s="4">
        <v>731</v>
      </c>
      <c r="AA421" s="4">
        <f>=ROUNDDOWN(21.5,0)</f>
      </c>
      <c r="AB421" s="5">
        <v>34</v>
      </c>
      <c r="AC421" s="2" t="s">
        <v>140</v>
      </c>
      <c r="AD421" s="4">
        <v>366</v>
      </c>
      <c r="AE421" s="4">
        <v>399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233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233</v>
      </c>
      <c r="AW421" s="8" t="s">
        <v>233</v>
      </c>
      <c r="AX421" s="4" t="s">
        <v>233</v>
      </c>
      <c r="AY421" s="8" t="s">
        <v>233</v>
      </c>
      <c r="AZ421" s="7" t="s">
        <v>233</v>
      </c>
      <c r="BA421" s="7" t="s">
        <v>233</v>
      </c>
      <c r="BB421" s="7"/>
      <c r="BC421" s="4" t="s">
        <v>233</v>
      </c>
      <c r="BD421" s="8" t="s">
        <v>233</v>
      </c>
      <c r="BE421" s="4" t="s">
        <v>233</v>
      </c>
      <c r="BF421" s="8" t="s">
        <v>233</v>
      </c>
      <c r="BG421" s="7" t="s">
        <v>233</v>
      </c>
      <c r="BH421" s="7" t="s">
        <v>233</v>
      </c>
      <c r="BI421" s="7"/>
      <c r="BJ421" s="4">
        <v>315</v>
      </c>
      <c r="BK421" s="8">
        <v>5382.5</v>
      </c>
      <c r="BL421" s="2" t="s">
        <v>2538</v>
      </c>
      <c r="BM421" s="7"/>
      <c r="BN421" s="7"/>
      <c r="BO421" s="4"/>
      <c r="BP421" s="8"/>
      <c r="BQ421" s="4"/>
      <c r="BR421" s="8"/>
      <c r="BS421" s="7"/>
      <c r="BT421" s="7"/>
      <c r="BU421" s="2" t="s">
        <v>2387</v>
      </c>
      <c r="BV421" s="2" t="s">
        <v>233</v>
      </c>
      <c r="BW421" s="2" t="s">
        <v>233</v>
      </c>
      <c r="BX421" s="2" t="s">
        <v>241</v>
      </c>
      <c r="BY421" s="2" t="s">
        <v>242</v>
      </c>
      <c r="BZ421" s="2" t="s">
        <v>230</v>
      </c>
      <c r="CA421" s="2" t="s">
        <v>1460</v>
      </c>
      <c r="CB421" s="2" t="s">
        <v>2539</v>
      </c>
      <c r="CC421" s="2" t="s">
        <v>245</v>
      </c>
      <c r="CD421" s="2" t="s">
        <v>233</v>
      </c>
      <c r="CE421" s="4">
        <v>731</v>
      </c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>
        <v>366</v>
      </c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>
        <v>33</v>
      </c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>
        <v>825</v>
      </c>
      <c r="GD421" s="4">
        <v>592</v>
      </c>
      <c r="GE421" s="4">
        <v>900</v>
      </c>
      <c r="GF421" s="4">
        <v>835</v>
      </c>
      <c r="GG421" s="4">
        <v>732</v>
      </c>
      <c r="GH421" s="4">
        <v>712</v>
      </c>
      <c r="GI421" s="4">
        <v>661</v>
      </c>
      <c r="GJ421" s="4">
        <v>622</v>
      </c>
      <c r="GK421" s="4">
        <v>590</v>
      </c>
      <c r="GL421" s="4">
        <v>555</v>
      </c>
      <c r="GM421" s="4">
        <v>526</v>
      </c>
      <c r="GN421" s="4">
        <v>505</v>
      </c>
      <c r="GO421" s="4">
        <v>487</v>
      </c>
      <c r="GP421" s="4">
        <v>469</v>
      </c>
      <c r="GQ421" s="4">
        <v>449</v>
      </c>
      <c r="GR421" s="4">
        <v>429</v>
      </c>
      <c r="GS421" s="4">
        <v>409</v>
      </c>
      <c r="GT421" s="4">
        <v>389</v>
      </c>
      <c r="GU421" s="4">
        <v>372</v>
      </c>
      <c r="GV421" s="4">
        <v>461</v>
      </c>
      <c r="GW421" s="4">
        <v>446</v>
      </c>
      <c r="GX421" s="4">
        <v>431</v>
      </c>
      <c r="GY421" s="4">
        <v>416</v>
      </c>
      <c r="GZ421" s="4">
        <v>401</v>
      </c>
      <c r="HA421" s="4">
        <v>386</v>
      </c>
      <c r="HB421" s="4">
        <v>371</v>
      </c>
      <c r="HC421" s="19">
        <v>7.2</v>
      </c>
      <c r="HD421" s="19">
        <v>8.5</v>
      </c>
      <c r="HE421" s="19">
        <v>13.2</v>
      </c>
      <c r="HF421" s="19">
        <v>13.5</v>
      </c>
      <c r="HG421" s="19">
        <v>16.6</v>
      </c>
      <c r="HH421" s="19">
        <v>18.3</v>
      </c>
      <c r="HI421" s="19">
        <v>19.4</v>
      </c>
      <c r="HJ421" s="19">
        <v>21.4</v>
      </c>
      <c r="HK421" s="19">
        <v>22.7</v>
      </c>
      <c r="HL421" s="19">
        <v>25.2</v>
      </c>
      <c r="HM421" s="19">
        <v>27.7</v>
      </c>
      <c r="HN421" s="19">
        <v>26.6</v>
      </c>
      <c r="HO421" s="19">
        <v>24.4</v>
      </c>
      <c r="HP421" s="19">
        <v>23.5</v>
      </c>
      <c r="HQ421" s="19">
        <v>23.6</v>
      </c>
      <c r="HR421" s="19">
        <v>23.8</v>
      </c>
      <c r="HS421" s="19">
        <v>24.1</v>
      </c>
      <c r="HT421" s="19">
        <v>24.3</v>
      </c>
      <c r="HU421" s="19">
        <v>23.3</v>
      </c>
      <c r="HV421" s="19">
        <v>30.7</v>
      </c>
      <c r="HW421" s="19">
        <v>29.7</v>
      </c>
      <c r="HX421" s="19">
        <v>28.7</v>
      </c>
      <c r="HY421" s="19">
        <v>27.7</v>
      </c>
      <c r="HZ421" s="19">
        <v>26.7</v>
      </c>
      <c r="IA421" s="19">
        <v>27.6</v>
      </c>
      <c r="IB421" s="19">
        <v>26.5</v>
      </c>
    </row>
    <row r="422">
      <c r="A422" s="2" t="s">
        <v>2540</v>
      </c>
      <c r="B422" s="2" t="s">
        <v>279</v>
      </c>
      <c r="C422" s="2" t="s">
        <v>2381</v>
      </c>
      <c r="D422" s="2" t="s">
        <v>281</v>
      </c>
      <c r="E422" s="2" t="s">
        <v>282</v>
      </c>
      <c r="F422" s="2" t="s">
        <v>2382</v>
      </c>
      <c r="G422" s="2" t="s">
        <v>2382</v>
      </c>
      <c r="H422" s="2" t="s">
        <v>2382</v>
      </c>
      <c r="I422" s="2" t="s">
        <v>2383</v>
      </c>
      <c r="J422" s="2" t="s">
        <v>247</v>
      </c>
      <c r="K422" s="2" t="s">
        <v>2536</v>
      </c>
      <c r="L422" s="3">
        <v>16.16</v>
      </c>
      <c r="M422" s="3">
        <v>16.97</v>
      </c>
      <c r="N422" s="3">
        <v>34.99</v>
      </c>
      <c r="O422" s="2" t="s">
        <v>230</v>
      </c>
      <c r="P422" s="2" t="s">
        <v>231</v>
      </c>
      <c r="Q422" s="2" t="s">
        <v>232</v>
      </c>
      <c r="R422" s="2" t="s">
        <v>233</v>
      </c>
      <c r="S422" s="2" t="s">
        <v>2537</v>
      </c>
      <c r="T422" s="2" t="s">
        <v>2310</v>
      </c>
      <c r="U422" s="2" t="s">
        <v>233</v>
      </c>
      <c r="V422" s="2" t="s">
        <v>2311</v>
      </c>
      <c r="W422" s="2" t="s">
        <v>237</v>
      </c>
      <c r="X422" s="2" t="s">
        <v>233</v>
      </c>
      <c r="Y422" s="2" t="s">
        <v>1117</v>
      </c>
      <c r="Z422" s="4">
        <v>251</v>
      </c>
      <c r="AA422" s="4">
        <f>=ROUNDDOWN(25.1,0)</f>
      </c>
      <c r="AB422" s="5">
        <v>10</v>
      </c>
      <c r="AC422" s="2" t="s">
        <v>140</v>
      </c>
      <c r="AD422" s="4">
        <v>162</v>
      </c>
      <c r="AE422" s="4">
        <v>164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233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233</v>
      </c>
      <c r="AW422" s="8" t="s">
        <v>233</v>
      </c>
      <c r="AX422" s="4" t="s">
        <v>233</v>
      </c>
      <c r="AY422" s="8" t="s">
        <v>233</v>
      </c>
      <c r="AZ422" s="7" t="s">
        <v>233</v>
      </c>
      <c r="BA422" s="7" t="s">
        <v>233</v>
      </c>
      <c r="BB422" s="7"/>
      <c r="BC422" s="4" t="s">
        <v>233</v>
      </c>
      <c r="BD422" s="8" t="s">
        <v>233</v>
      </c>
      <c r="BE422" s="4" t="s">
        <v>233</v>
      </c>
      <c r="BF422" s="8" t="s">
        <v>233</v>
      </c>
      <c r="BG422" s="7" t="s">
        <v>233</v>
      </c>
      <c r="BH422" s="7" t="s">
        <v>233</v>
      </c>
      <c r="BI422" s="7"/>
      <c r="BJ422" s="4">
        <v>64</v>
      </c>
      <c r="BK422" s="8">
        <v>1210.12</v>
      </c>
      <c r="BL422" s="2" t="s">
        <v>2541</v>
      </c>
      <c r="BM422" s="7"/>
      <c r="BN422" s="7"/>
      <c r="BO422" s="4"/>
      <c r="BP422" s="8"/>
      <c r="BQ422" s="4"/>
      <c r="BR422" s="8"/>
      <c r="BS422" s="7"/>
      <c r="BT422" s="7"/>
      <c r="BU422" s="2" t="s">
        <v>2387</v>
      </c>
      <c r="BV422" s="2" t="s">
        <v>233</v>
      </c>
      <c r="BW422" s="2" t="s">
        <v>233</v>
      </c>
      <c r="BX422" s="2" t="s">
        <v>241</v>
      </c>
      <c r="BY422" s="2" t="s">
        <v>242</v>
      </c>
      <c r="BZ422" s="2" t="s">
        <v>230</v>
      </c>
      <c r="CA422" s="2" t="s">
        <v>1460</v>
      </c>
      <c r="CB422" s="2" t="s">
        <v>2542</v>
      </c>
      <c r="CC422" s="2" t="s">
        <v>245</v>
      </c>
      <c r="CD422" s="2" t="s">
        <v>233</v>
      </c>
      <c r="CE422" s="4">
        <v>251</v>
      </c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>
        <v>162</v>
      </c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>
        <v>2</v>
      </c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>
        <v>288</v>
      </c>
      <c r="GD422" s="4">
        <v>236</v>
      </c>
      <c r="GE422" s="4">
        <v>380</v>
      </c>
      <c r="GF422" s="4">
        <v>358</v>
      </c>
      <c r="GG422" s="4">
        <v>323</v>
      </c>
      <c r="GH422" s="4">
        <v>307</v>
      </c>
      <c r="GI422" s="4">
        <v>290</v>
      </c>
      <c r="GJ422" s="4">
        <v>277</v>
      </c>
      <c r="GK422" s="4">
        <v>266</v>
      </c>
      <c r="GL422" s="4">
        <v>254</v>
      </c>
      <c r="GM422" s="4">
        <v>244</v>
      </c>
      <c r="GN422" s="4">
        <v>237</v>
      </c>
      <c r="GO422" s="4">
        <v>231</v>
      </c>
      <c r="GP422" s="4">
        <v>225</v>
      </c>
      <c r="GQ422" s="4">
        <v>218</v>
      </c>
      <c r="GR422" s="4">
        <v>211</v>
      </c>
      <c r="GS422" s="4">
        <v>204</v>
      </c>
      <c r="GT422" s="4">
        <v>197</v>
      </c>
      <c r="GU422" s="4">
        <v>191</v>
      </c>
      <c r="GV422" s="4">
        <v>185</v>
      </c>
      <c r="GW422" s="4">
        <v>180</v>
      </c>
      <c r="GX422" s="4">
        <v>175</v>
      </c>
      <c r="GY422" s="4">
        <v>170</v>
      </c>
      <c r="GZ422" s="4">
        <v>165</v>
      </c>
      <c r="HA422" s="4">
        <v>160</v>
      </c>
      <c r="HB422" s="4">
        <v>155</v>
      </c>
      <c r="HC422" s="19">
        <v>9</v>
      </c>
      <c r="HD422" s="19">
        <v>10.3</v>
      </c>
      <c r="HE422" s="19">
        <v>16.5</v>
      </c>
      <c r="HF422" s="19">
        <v>17</v>
      </c>
      <c r="HG422" s="19">
        <v>21.5</v>
      </c>
      <c r="HH422" s="19">
        <v>23.6</v>
      </c>
      <c r="HI422" s="19">
        <v>24.2</v>
      </c>
      <c r="HJ422" s="19">
        <v>27.7</v>
      </c>
      <c r="HK422" s="19">
        <v>29.6</v>
      </c>
      <c r="HL422" s="19">
        <v>36.3</v>
      </c>
      <c r="HM422" s="19">
        <v>40.7</v>
      </c>
      <c r="HN422" s="19">
        <v>39.5</v>
      </c>
      <c r="HO422" s="19">
        <v>33</v>
      </c>
      <c r="HP422" s="19">
        <v>32.1</v>
      </c>
      <c r="HQ422" s="19">
        <v>31.1</v>
      </c>
      <c r="HR422" s="19">
        <v>35.2</v>
      </c>
      <c r="HS422" s="19">
        <v>34</v>
      </c>
      <c r="HT422" s="19">
        <v>32.8</v>
      </c>
      <c r="HU422" s="19">
        <v>38.2</v>
      </c>
      <c r="HV422" s="19">
        <v>37</v>
      </c>
      <c r="HW422" s="19">
        <v>36</v>
      </c>
      <c r="HX422" s="19">
        <v>35</v>
      </c>
      <c r="HY422" s="19">
        <v>34</v>
      </c>
      <c r="HZ422" s="19">
        <v>33</v>
      </c>
      <c r="IA422" s="19">
        <v>40</v>
      </c>
      <c r="IB422" s="19">
        <v>38.8</v>
      </c>
    </row>
    <row r="423">
      <c r="A423" s="2" t="s">
        <v>2543</v>
      </c>
      <c r="B423" s="2" t="s">
        <v>279</v>
      </c>
      <c r="C423" s="2" t="s">
        <v>2381</v>
      </c>
      <c r="D423" s="2" t="s">
        <v>281</v>
      </c>
      <c r="E423" s="2" t="s">
        <v>282</v>
      </c>
      <c r="F423" s="2" t="s">
        <v>2382</v>
      </c>
      <c r="G423" s="2" t="s">
        <v>2382</v>
      </c>
      <c r="H423" s="2" t="s">
        <v>2382</v>
      </c>
      <c r="I423" s="2" t="s">
        <v>2383</v>
      </c>
      <c r="J423" s="2" t="s">
        <v>252</v>
      </c>
      <c r="K423" s="2" t="s">
        <v>2536</v>
      </c>
      <c r="L423" s="3">
        <v>19.57</v>
      </c>
      <c r="M423" s="3">
        <v>20.55</v>
      </c>
      <c r="N423" s="3">
        <v>42.99</v>
      </c>
      <c r="O423" s="2" t="s">
        <v>230</v>
      </c>
      <c r="P423" s="2" t="s">
        <v>231</v>
      </c>
      <c r="Q423" s="2" t="s">
        <v>232</v>
      </c>
      <c r="R423" s="2" t="s">
        <v>233</v>
      </c>
      <c r="S423" s="2" t="s">
        <v>2537</v>
      </c>
      <c r="T423" s="2" t="s">
        <v>2310</v>
      </c>
      <c r="U423" s="2" t="s">
        <v>233</v>
      </c>
      <c r="V423" s="2" t="s">
        <v>2311</v>
      </c>
      <c r="W423" s="2" t="s">
        <v>237</v>
      </c>
      <c r="X423" s="2" t="s">
        <v>233</v>
      </c>
      <c r="Y423" s="2" t="s">
        <v>1117</v>
      </c>
      <c r="Z423" s="4">
        <v>170</v>
      </c>
      <c r="AA423" s="4">
        <f>=ROUNDDOWN(8.5,0)</f>
      </c>
      <c r="AB423" s="5">
        <v>20</v>
      </c>
      <c r="AC423" s="2" t="s">
        <v>140</v>
      </c>
      <c r="AD423" s="4">
        <v>232</v>
      </c>
      <c r="AE423" s="4">
        <v>253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233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233</v>
      </c>
      <c r="AW423" s="8" t="s">
        <v>233</v>
      </c>
      <c r="AX423" s="4" t="s">
        <v>233</v>
      </c>
      <c r="AY423" s="8" t="s">
        <v>233</v>
      </c>
      <c r="AZ423" s="7" t="s">
        <v>233</v>
      </c>
      <c r="BA423" s="7" t="s">
        <v>233</v>
      </c>
      <c r="BB423" s="7"/>
      <c r="BC423" s="4" t="s">
        <v>233</v>
      </c>
      <c r="BD423" s="8" t="s">
        <v>233</v>
      </c>
      <c r="BE423" s="4" t="s">
        <v>233</v>
      </c>
      <c r="BF423" s="8" t="s">
        <v>233</v>
      </c>
      <c r="BG423" s="7" t="s">
        <v>233</v>
      </c>
      <c r="BH423" s="7" t="s">
        <v>233</v>
      </c>
      <c r="BI423" s="7"/>
      <c r="BJ423" s="4">
        <v>364</v>
      </c>
      <c r="BK423" s="8">
        <v>7680.22</v>
      </c>
      <c r="BL423" s="2" t="s">
        <v>2544</v>
      </c>
      <c r="BM423" s="7"/>
      <c r="BN423" s="7"/>
      <c r="BO423" s="4"/>
      <c r="BP423" s="8"/>
      <c r="BQ423" s="4"/>
      <c r="BR423" s="8"/>
      <c r="BS423" s="7"/>
      <c r="BT423" s="7"/>
      <c r="BU423" s="2" t="s">
        <v>2387</v>
      </c>
      <c r="BV423" s="2" t="s">
        <v>233</v>
      </c>
      <c r="BW423" s="2" t="s">
        <v>233</v>
      </c>
      <c r="BX423" s="2" t="s">
        <v>241</v>
      </c>
      <c r="BY423" s="2" t="s">
        <v>242</v>
      </c>
      <c r="BZ423" s="2" t="s">
        <v>230</v>
      </c>
      <c r="CA423" s="2" t="s">
        <v>1460</v>
      </c>
      <c r="CB423" s="2" t="s">
        <v>2545</v>
      </c>
      <c r="CC423" s="2" t="s">
        <v>245</v>
      </c>
      <c r="CD423" s="2" t="s">
        <v>233</v>
      </c>
      <c r="CE423" s="4">
        <v>169</v>
      </c>
      <c r="CF423" s="4"/>
      <c r="CG423" s="4"/>
      <c r="CH423" s="4"/>
      <c r="CI423" s="4"/>
      <c r="CJ423" s="4"/>
      <c r="CK423" s="4">
        <v>1</v>
      </c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>
        <v>232</v>
      </c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>
        <v>21</v>
      </c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>
        <v>248</v>
      </c>
      <c r="GD423" s="4">
        <v>222</v>
      </c>
      <c r="GE423" s="4">
        <v>419</v>
      </c>
      <c r="GF423" s="4">
        <v>377</v>
      </c>
      <c r="GG423" s="4">
        <v>307</v>
      </c>
      <c r="GH423" s="4">
        <v>293</v>
      </c>
      <c r="GI423" s="4">
        <v>259</v>
      </c>
      <c r="GJ423" s="4">
        <v>234</v>
      </c>
      <c r="GK423" s="4">
        <v>214</v>
      </c>
      <c r="GL423" s="4">
        <v>192</v>
      </c>
      <c r="GM423" s="4">
        <v>174</v>
      </c>
      <c r="GN423" s="4">
        <v>161</v>
      </c>
      <c r="GO423" s="4">
        <v>150</v>
      </c>
      <c r="GP423" s="4">
        <v>139</v>
      </c>
      <c r="GQ423" s="4">
        <v>127</v>
      </c>
      <c r="GR423" s="4">
        <v>115</v>
      </c>
      <c r="GS423" s="4">
        <v>103</v>
      </c>
      <c r="GT423" s="4">
        <v>91</v>
      </c>
      <c r="GU423" s="4">
        <v>81</v>
      </c>
      <c r="GV423" s="4">
        <v>241</v>
      </c>
      <c r="GW423" s="4">
        <v>232</v>
      </c>
      <c r="GX423" s="4">
        <v>223</v>
      </c>
      <c r="GY423" s="4">
        <v>214</v>
      </c>
      <c r="GZ423" s="4">
        <v>205</v>
      </c>
      <c r="HA423" s="4">
        <v>196</v>
      </c>
      <c r="HB423" s="4">
        <v>187</v>
      </c>
      <c r="HC423" s="19">
        <v>5.8</v>
      </c>
      <c r="HD423" s="19">
        <v>4.8</v>
      </c>
      <c r="HE423" s="19">
        <v>9.3</v>
      </c>
      <c r="HF423" s="19">
        <v>9.2</v>
      </c>
      <c r="HG423" s="19">
        <v>11</v>
      </c>
      <c r="HH423" s="19">
        <v>11.7</v>
      </c>
      <c r="HI423" s="19">
        <v>12.3</v>
      </c>
      <c r="HJ423" s="19">
        <v>13</v>
      </c>
      <c r="HK423" s="19">
        <v>13.4</v>
      </c>
      <c r="HL423" s="19">
        <v>14.8</v>
      </c>
      <c r="HM423" s="19">
        <v>14.5</v>
      </c>
      <c r="HN423" s="19">
        <v>13.4</v>
      </c>
      <c r="HO423" s="19">
        <v>12.5</v>
      </c>
      <c r="HP423" s="19">
        <v>11.6</v>
      </c>
      <c r="HQ423" s="19">
        <v>10.6</v>
      </c>
      <c r="HR423" s="19">
        <v>10.5</v>
      </c>
      <c r="HS423" s="19">
        <v>10.3</v>
      </c>
      <c r="HT423" s="19">
        <v>9.1</v>
      </c>
      <c r="HU423" s="19">
        <v>9</v>
      </c>
      <c r="HV423" s="19">
        <v>26.8</v>
      </c>
      <c r="HW423" s="19">
        <v>25.8</v>
      </c>
      <c r="HX423" s="19">
        <v>24.8</v>
      </c>
      <c r="HY423" s="19">
        <v>23.8</v>
      </c>
      <c r="HZ423" s="19">
        <v>22.8</v>
      </c>
      <c r="IA423" s="19">
        <v>24.5</v>
      </c>
      <c r="IB423" s="19">
        <v>23.4</v>
      </c>
    </row>
    <row r="424">
      <c r="A424" s="2" t="s">
        <v>2546</v>
      </c>
      <c r="B424" s="2" t="s">
        <v>279</v>
      </c>
      <c r="C424" s="2" t="s">
        <v>2381</v>
      </c>
      <c r="D424" s="2" t="s">
        <v>281</v>
      </c>
      <c r="E424" s="2" t="s">
        <v>282</v>
      </c>
      <c r="F424" s="2" t="s">
        <v>2382</v>
      </c>
      <c r="G424" s="2" t="s">
        <v>2382</v>
      </c>
      <c r="H424" s="2" t="s">
        <v>2382</v>
      </c>
      <c r="I424" s="2" t="s">
        <v>2383</v>
      </c>
      <c r="J424" s="2" t="s">
        <v>256</v>
      </c>
      <c r="K424" s="2" t="s">
        <v>2536</v>
      </c>
      <c r="L424" s="3">
        <v>27.39</v>
      </c>
      <c r="M424" s="3">
        <v>28.76</v>
      </c>
      <c r="N424" s="3">
        <v>62.99</v>
      </c>
      <c r="O424" s="2" t="s">
        <v>230</v>
      </c>
      <c r="P424" s="2" t="s">
        <v>231</v>
      </c>
      <c r="Q424" s="2" t="s">
        <v>232</v>
      </c>
      <c r="R424" s="2" t="s">
        <v>233</v>
      </c>
      <c r="S424" s="2" t="s">
        <v>2537</v>
      </c>
      <c r="T424" s="2" t="s">
        <v>2310</v>
      </c>
      <c r="U424" s="2" t="s">
        <v>233</v>
      </c>
      <c r="V424" s="2" t="s">
        <v>2311</v>
      </c>
      <c r="W424" s="2" t="s">
        <v>237</v>
      </c>
      <c r="X424" s="2" t="s">
        <v>233</v>
      </c>
      <c r="Y424" s="2" t="s">
        <v>1117</v>
      </c>
      <c r="Z424" s="4">
        <v>471</v>
      </c>
      <c r="AA424" s="4">
        <f>=ROUNDDOWN(42.8181818181818,0)</f>
      </c>
      <c r="AB424" s="5">
        <v>11</v>
      </c>
      <c r="AC424" s="2" t="s">
        <v>140</v>
      </c>
      <c r="AD424" s="4">
        <v>176</v>
      </c>
      <c r="AE424" s="4">
        <v>188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233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233</v>
      </c>
      <c r="AW424" s="8" t="s">
        <v>233</v>
      </c>
      <c r="AX424" s="4" t="s">
        <v>233</v>
      </c>
      <c r="AY424" s="8" t="s">
        <v>233</v>
      </c>
      <c r="AZ424" s="7" t="s">
        <v>233</v>
      </c>
      <c r="BA424" s="7" t="s">
        <v>233</v>
      </c>
      <c r="BB424" s="7"/>
      <c r="BC424" s="4" t="s">
        <v>233</v>
      </c>
      <c r="BD424" s="8" t="s">
        <v>233</v>
      </c>
      <c r="BE424" s="4" t="s">
        <v>233</v>
      </c>
      <c r="BF424" s="8" t="s">
        <v>233</v>
      </c>
      <c r="BG424" s="7" t="s">
        <v>233</v>
      </c>
      <c r="BH424" s="7" t="s">
        <v>233</v>
      </c>
      <c r="BI424" s="7"/>
      <c r="BJ424" s="4">
        <v>53</v>
      </c>
      <c r="BK424" s="8">
        <v>1651.09</v>
      </c>
      <c r="BL424" s="2" t="s">
        <v>2547</v>
      </c>
      <c r="BM424" s="7"/>
      <c r="BN424" s="7"/>
      <c r="BO424" s="4"/>
      <c r="BP424" s="8"/>
      <c r="BQ424" s="4"/>
      <c r="BR424" s="8"/>
      <c r="BS424" s="7"/>
      <c r="BT424" s="7"/>
      <c r="BU424" s="2" t="s">
        <v>2387</v>
      </c>
      <c r="BV424" s="2" t="s">
        <v>233</v>
      </c>
      <c r="BW424" s="2" t="s">
        <v>233</v>
      </c>
      <c r="BX424" s="2" t="s">
        <v>241</v>
      </c>
      <c r="BY424" s="2" t="s">
        <v>242</v>
      </c>
      <c r="BZ424" s="2" t="s">
        <v>230</v>
      </c>
      <c r="CA424" s="2" t="s">
        <v>1460</v>
      </c>
      <c r="CB424" s="2" t="s">
        <v>2548</v>
      </c>
      <c r="CC424" s="2" t="s">
        <v>245</v>
      </c>
      <c r="CD424" s="2" t="s">
        <v>233</v>
      </c>
      <c r="CE424" s="4">
        <v>471</v>
      </c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>
        <v>176</v>
      </c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>
        <v>12</v>
      </c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>
        <v>475</v>
      </c>
      <c r="GD424" s="4">
        <v>438</v>
      </c>
      <c r="GE424" s="4">
        <v>593</v>
      </c>
      <c r="GF424" s="4">
        <v>565</v>
      </c>
      <c r="GG424" s="4">
        <v>513</v>
      </c>
      <c r="GH424" s="4">
        <v>500</v>
      </c>
      <c r="GI424" s="4">
        <v>476</v>
      </c>
      <c r="GJ424" s="4">
        <v>460</v>
      </c>
      <c r="GK424" s="4">
        <v>448</v>
      </c>
      <c r="GL424" s="4">
        <v>434</v>
      </c>
      <c r="GM424" s="4">
        <v>423</v>
      </c>
      <c r="GN424" s="4">
        <v>415</v>
      </c>
      <c r="GO424" s="4">
        <v>408</v>
      </c>
      <c r="GP424" s="4">
        <v>401</v>
      </c>
      <c r="GQ424" s="4">
        <v>393</v>
      </c>
      <c r="GR424" s="4">
        <v>385</v>
      </c>
      <c r="GS424" s="4">
        <v>377</v>
      </c>
      <c r="GT424" s="4">
        <v>369</v>
      </c>
      <c r="GU424" s="4">
        <v>363</v>
      </c>
      <c r="GV424" s="4">
        <v>357</v>
      </c>
      <c r="GW424" s="4">
        <v>352</v>
      </c>
      <c r="GX424" s="4">
        <v>347</v>
      </c>
      <c r="GY424" s="4">
        <v>342</v>
      </c>
      <c r="GZ424" s="4">
        <v>337</v>
      </c>
      <c r="HA424" s="4">
        <v>332</v>
      </c>
      <c r="HB424" s="4">
        <v>327</v>
      </c>
      <c r="HC424" s="19">
        <v>14</v>
      </c>
      <c r="HD424" s="19">
        <v>13.7</v>
      </c>
      <c r="HE424" s="19">
        <v>18.5</v>
      </c>
      <c r="HF424" s="19">
        <v>19.5</v>
      </c>
      <c r="HG424" s="19">
        <v>27</v>
      </c>
      <c r="HH424" s="19">
        <v>31.3</v>
      </c>
      <c r="HI424" s="19">
        <v>36.6</v>
      </c>
      <c r="HJ424" s="19">
        <v>41.8</v>
      </c>
      <c r="HK424" s="19">
        <v>44.8</v>
      </c>
      <c r="HL424" s="19">
        <v>54.3</v>
      </c>
      <c r="HM424" s="19">
        <v>52.9</v>
      </c>
      <c r="HN424" s="19">
        <v>51.9</v>
      </c>
      <c r="HO424" s="19">
        <v>51</v>
      </c>
      <c r="HP424" s="19">
        <v>50.1</v>
      </c>
      <c r="HQ424" s="19">
        <v>49.1</v>
      </c>
      <c r="HR424" s="19">
        <v>55</v>
      </c>
      <c r="HS424" s="19">
        <v>62.8</v>
      </c>
      <c r="HT424" s="19">
        <v>61.5</v>
      </c>
      <c r="HU424" s="19">
        <v>72.6</v>
      </c>
      <c r="HV424" s="19">
        <v>71.4</v>
      </c>
      <c r="HW424" s="19">
        <v>70.4</v>
      </c>
      <c r="HX424" s="19">
        <v>69.4</v>
      </c>
      <c r="HY424" s="19">
        <v>68.4</v>
      </c>
      <c r="HZ424" s="19">
        <v>67.4</v>
      </c>
      <c r="IA424" s="19">
        <v>83</v>
      </c>
      <c r="IB424" s="19">
        <v>81.8</v>
      </c>
    </row>
    <row r="425">
      <c r="A425" s="2" t="s">
        <v>2549</v>
      </c>
      <c r="B425" s="2" t="s">
        <v>279</v>
      </c>
      <c r="C425" s="2" t="s">
        <v>2381</v>
      </c>
      <c r="D425" s="2" t="s">
        <v>281</v>
      </c>
      <c r="E425" s="2" t="s">
        <v>282</v>
      </c>
      <c r="F425" s="2" t="s">
        <v>2382</v>
      </c>
      <c r="G425" s="2" t="s">
        <v>2382</v>
      </c>
      <c r="H425" s="2" t="s">
        <v>2382</v>
      </c>
      <c r="I425" s="2" t="s">
        <v>2383</v>
      </c>
      <c r="J425" s="2" t="s">
        <v>228</v>
      </c>
      <c r="K425" s="2" t="s">
        <v>2550</v>
      </c>
      <c r="L425" s="3">
        <v>14.89</v>
      </c>
      <c r="M425" s="3">
        <v>15.63</v>
      </c>
      <c r="N425" s="3">
        <v>31.99</v>
      </c>
      <c r="O425" s="2" t="s">
        <v>230</v>
      </c>
      <c r="P425" s="2" t="s">
        <v>231</v>
      </c>
      <c r="Q425" s="2" t="s">
        <v>232</v>
      </c>
      <c r="R425" s="2" t="s">
        <v>233</v>
      </c>
      <c r="S425" s="2" t="s">
        <v>2551</v>
      </c>
      <c r="T425" s="2" t="s">
        <v>2310</v>
      </c>
      <c r="U425" s="2" t="s">
        <v>233</v>
      </c>
      <c r="V425" s="2" t="s">
        <v>914</v>
      </c>
      <c r="W425" s="2" t="s">
        <v>237</v>
      </c>
      <c r="X425" s="2" t="s">
        <v>233</v>
      </c>
      <c r="Y425" s="2" t="s">
        <v>2302</v>
      </c>
      <c r="Z425" s="4">
        <v>2141</v>
      </c>
      <c r="AA425" s="4">
        <f>=ROUNDDOWN(41.9803921568627,0)</f>
      </c>
      <c r="AB425" s="5">
        <v>51</v>
      </c>
      <c r="AC425" s="2" t="s">
        <v>233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233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233</v>
      </c>
      <c r="AW425" s="8" t="s">
        <v>233</v>
      </c>
      <c r="AX425" s="4" t="s">
        <v>233</v>
      </c>
      <c r="AY425" s="8" t="s">
        <v>233</v>
      </c>
      <c r="AZ425" s="7" t="s">
        <v>233</v>
      </c>
      <c r="BA425" s="7" t="s">
        <v>233</v>
      </c>
      <c r="BB425" s="7"/>
      <c r="BC425" s="4" t="s">
        <v>233</v>
      </c>
      <c r="BD425" s="8" t="s">
        <v>233</v>
      </c>
      <c r="BE425" s="4" t="s">
        <v>233</v>
      </c>
      <c r="BF425" s="8" t="s">
        <v>233</v>
      </c>
      <c r="BG425" s="7" t="s">
        <v>233</v>
      </c>
      <c r="BH425" s="7" t="s">
        <v>233</v>
      </c>
      <c r="BI425" s="7"/>
      <c r="BJ425" s="4">
        <v>155</v>
      </c>
      <c r="BK425" s="8">
        <v>2478.43</v>
      </c>
      <c r="BL425" s="2" t="s">
        <v>2552</v>
      </c>
      <c r="BM425" s="7"/>
      <c r="BN425" s="7"/>
      <c r="BO425" s="4"/>
      <c r="BP425" s="8"/>
      <c r="BQ425" s="4"/>
      <c r="BR425" s="8"/>
      <c r="BS425" s="7"/>
      <c r="BT425" s="7"/>
      <c r="BU425" s="2" t="s">
        <v>2387</v>
      </c>
      <c r="BV425" s="2" t="s">
        <v>233</v>
      </c>
      <c r="BW425" s="2" t="s">
        <v>233</v>
      </c>
      <c r="BX425" s="2" t="s">
        <v>241</v>
      </c>
      <c r="BY425" s="2" t="s">
        <v>242</v>
      </c>
      <c r="BZ425" s="2" t="s">
        <v>230</v>
      </c>
      <c r="CA425" s="2" t="s">
        <v>1460</v>
      </c>
      <c r="CB425" s="2" t="s">
        <v>2364</v>
      </c>
      <c r="CC425" s="2" t="s">
        <v>245</v>
      </c>
      <c r="CD425" s="2" t="s">
        <v>233</v>
      </c>
      <c r="CE425" s="4">
        <v>1043</v>
      </c>
      <c r="CF425" s="4">
        <v>1096</v>
      </c>
      <c r="CG425" s="4"/>
      <c r="CH425" s="4"/>
      <c r="CI425" s="4"/>
      <c r="CJ425" s="4"/>
      <c r="CK425" s="4">
        <v>2</v>
      </c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>
        <v>2298</v>
      </c>
      <c r="GD425" s="4">
        <v>1950</v>
      </c>
      <c r="GE425" s="4">
        <v>1860</v>
      </c>
      <c r="GF425" s="4">
        <v>1751</v>
      </c>
      <c r="GG425" s="4">
        <v>1570</v>
      </c>
      <c r="GH425" s="4">
        <v>1480</v>
      </c>
      <c r="GI425" s="4">
        <v>1392</v>
      </c>
      <c r="GJ425" s="4">
        <v>1327</v>
      </c>
      <c r="GK425" s="4">
        <v>1275</v>
      </c>
      <c r="GL425" s="4">
        <v>1218</v>
      </c>
      <c r="GM425" s="4">
        <v>1171</v>
      </c>
      <c r="GN425" s="4">
        <v>1137</v>
      </c>
      <c r="GO425" s="4">
        <v>1108</v>
      </c>
      <c r="GP425" s="4">
        <v>1079</v>
      </c>
      <c r="GQ425" s="4">
        <v>1048</v>
      </c>
      <c r="GR425" s="4">
        <v>1017</v>
      </c>
      <c r="GS425" s="4">
        <v>986</v>
      </c>
      <c r="GT425" s="4">
        <v>955</v>
      </c>
      <c r="GU425" s="4">
        <v>929</v>
      </c>
      <c r="GV425" s="4">
        <v>903</v>
      </c>
      <c r="GW425" s="4">
        <v>880</v>
      </c>
      <c r="GX425" s="4">
        <v>857</v>
      </c>
      <c r="GY425" s="4">
        <v>834</v>
      </c>
      <c r="GZ425" s="4">
        <v>811</v>
      </c>
      <c r="HA425" s="4">
        <v>788</v>
      </c>
      <c r="HB425" s="4">
        <v>765</v>
      </c>
      <c r="HC425" s="19">
        <v>12.6</v>
      </c>
      <c r="HD425" s="19">
        <v>16.5</v>
      </c>
      <c r="HE425" s="19">
        <v>15.9</v>
      </c>
      <c r="HF425" s="19">
        <v>16.5</v>
      </c>
      <c r="HG425" s="19">
        <v>21.2</v>
      </c>
      <c r="HH425" s="19">
        <v>22.4</v>
      </c>
      <c r="HI425" s="19">
        <v>25.3</v>
      </c>
      <c r="HJ425" s="19">
        <v>27.6</v>
      </c>
      <c r="HK425" s="19">
        <v>30.4</v>
      </c>
      <c r="HL425" s="19">
        <v>34.8</v>
      </c>
      <c r="HM425" s="19">
        <v>37.8</v>
      </c>
      <c r="HN425" s="19">
        <v>37.9</v>
      </c>
      <c r="HO425" s="19">
        <v>36.9</v>
      </c>
      <c r="HP425" s="19">
        <v>34.8</v>
      </c>
      <c r="HQ425" s="19">
        <v>34.9</v>
      </c>
      <c r="HR425" s="19">
        <v>36.3</v>
      </c>
      <c r="HS425" s="19">
        <v>37.9</v>
      </c>
      <c r="HT425" s="19">
        <v>39.8</v>
      </c>
      <c r="HU425" s="19">
        <v>38.7</v>
      </c>
      <c r="HV425" s="19">
        <v>39.3</v>
      </c>
      <c r="HW425" s="19">
        <v>38.3</v>
      </c>
      <c r="HX425" s="19">
        <v>37.3</v>
      </c>
      <c r="HY425" s="19">
        <v>36.3</v>
      </c>
      <c r="HZ425" s="19">
        <v>36.9</v>
      </c>
      <c r="IA425" s="19">
        <v>35.8</v>
      </c>
      <c r="IB425" s="19">
        <v>36.4</v>
      </c>
    </row>
    <row r="426">
      <c r="A426" s="2" t="s">
        <v>2553</v>
      </c>
      <c r="B426" s="2" t="s">
        <v>279</v>
      </c>
      <c r="C426" s="2" t="s">
        <v>2381</v>
      </c>
      <c r="D426" s="2" t="s">
        <v>281</v>
      </c>
      <c r="E426" s="2" t="s">
        <v>282</v>
      </c>
      <c r="F426" s="2" t="s">
        <v>2382</v>
      </c>
      <c r="G426" s="2" t="s">
        <v>2382</v>
      </c>
      <c r="H426" s="2" t="s">
        <v>2382</v>
      </c>
      <c r="I426" s="2" t="s">
        <v>2383</v>
      </c>
      <c r="J426" s="2" t="s">
        <v>247</v>
      </c>
      <c r="K426" s="2" t="s">
        <v>2550</v>
      </c>
      <c r="L426" s="3">
        <v>16.16</v>
      </c>
      <c r="M426" s="3">
        <v>16.97</v>
      </c>
      <c r="N426" s="3">
        <v>34.99</v>
      </c>
      <c r="O426" s="2" t="s">
        <v>230</v>
      </c>
      <c r="P426" s="2" t="s">
        <v>231</v>
      </c>
      <c r="Q426" s="2" t="s">
        <v>232</v>
      </c>
      <c r="R426" s="2" t="s">
        <v>233</v>
      </c>
      <c r="S426" s="2" t="s">
        <v>2551</v>
      </c>
      <c r="T426" s="2" t="s">
        <v>2310</v>
      </c>
      <c r="U426" s="2" t="s">
        <v>233</v>
      </c>
      <c r="V426" s="2" t="s">
        <v>914</v>
      </c>
      <c r="W426" s="2" t="s">
        <v>237</v>
      </c>
      <c r="X426" s="2" t="s">
        <v>233</v>
      </c>
      <c r="Y426" s="2" t="s">
        <v>2302</v>
      </c>
      <c r="Z426" s="4">
        <v>711</v>
      </c>
      <c r="AA426" s="4">
        <f>=ROUNDDOWN(16.1590909090909,0)</f>
      </c>
      <c r="AB426" s="5">
        <v>44</v>
      </c>
      <c r="AC426" s="2" t="s">
        <v>233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233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233</v>
      </c>
      <c r="AW426" s="8" t="s">
        <v>233</v>
      </c>
      <c r="AX426" s="4" t="s">
        <v>233</v>
      </c>
      <c r="AY426" s="8" t="s">
        <v>233</v>
      </c>
      <c r="AZ426" s="7" t="s">
        <v>233</v>
      </c>
      <c r="BA426" s="7" t="s">
        <v>233</v>
      </c>
      <c r="BB426" s="7"/>
      <c r="BC426" s="4" t="s">
        <v>233</v>
      </c>
      <c r="BD426" s="8" t="s">
        <v>233</v>
      </c>
      <c r="BE426" s="4" t="s">
        <v>233</v>
      </c>
      <c r="BF426" s="8" t="s">
        <v>233</v>
      </c>
      <c r="BG426" s="7" t="s">
        <v>233</v>
      </c>
      <c r="BH426" s="7" t="s">
        <v>233</v>
      </c>
      <c r="BI426" s="7"/>
      <c r="BJ426" s="4">
        <v>624</v>
      </c>
      <c r="BK426" s="8">
        <v>10885.12</v>
      </c>
      <c r="BL426" s="2" t="s">
        <v>2554</v>
      </c>
      <c r="BM426" s="7"/>
      <c r="BN426" s="7"/>
      <c r="BO426" s="4"/>
      <c r="BP426" s="8"/>
      <c r="BQ426" s="4"/>
      <c r="BR426" s="8"/>
      <c r="BS426" s="7"/>
      <c r="BT426" s="7"/>
      <c r="BU426" s="2" t="s">
        <v>2387</v>
      </c>
      <c r="BV426" s="2" t="s">
        <v>233</v>
      </c>
      <c r="BW426" s="2" t="s">
        <v>233</v>
      </c>
      <c r="BX426" s="2" t="s">
        <v>241</v>
      </c>
      <c r="BY426" s="2" t="s">
        <v>242</v>
      </c>
      <c r="BZ426" s="2" t="s">
        <v>230</v>
      </c>
      <c r="CA426" s="2" t="s">
        <v>1460</v>
      </c>
      <c r="CB426" s="2" t="s">
        <v>2375</v>
      </c>
      <c r="CC426" s="2" t="s">
        <v>245</v>
      </c>
      <c r="CD426" s="2" t="s">
        <v>233</v>
      </c>
      <c r="CE426" s="4">
        <v>540</v>
      </c>
      <c r="CF426" s="4">
        <v>171</v>
      </c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>
        <v>725</v>
      </c>
      <c r="GD426" s="4">
        <v>683</v>
      </c>
      <c r="GE426" s="4">
        <v>635</v>
      </c>
      <c r="GF426" s="4">
        <v>561</v>
      </c>
      <c r="GG426" s="4">
        <v>412</v>
      </c>
      <c r="GH426" s="4">
        <v>342</v>
      </c>
      <c r="GI426" s="4">
        <v>275</v>
      </c>
      <c r="GJ426" s="4">
        <v>232</v>
      </c>
      <c r="GK426" s="4">
        <v>201</v>
      </c>
      <c r="GL426" s="4">
        <v>165</v>
      </c>
      <c r="GM426" s="4">
        <v>139</v>
      </c>
      <c r="GN426" s="4">
        <v>120</v>
      </c>
      <c r="GO426" s="4">
        <v>106</v>
      </c>
      <c r="GP426" s="4">
        <v>92</v>
      </c>
      <c r="GQ426" s="4">
        <v>75</v>
      </c>
      <c r="GR426" s="4">
        <v>58</v>
      </c>
      <c r="GS426" s="4">
        <v>41</v>
      </c>
      <c r="GT426" s="4">
        <v>16</v>
      </c>
      <c r="GU426" s="4"/>
      <c r="GV426" s="4">
        <v>476</v>
      </c>
      <c r="GW426" s="4">
        <v>440</v>
      </c>
      <c r="GX426" s="4">
        <v>420</v>
      </c>
      <c r="GY426" s="4">
        <v>400</v>
      </c>
      <c r="GZ426" s="4">
        <v>380</v>
      </c>
      <c r="HA426" s="4">
        <v>360</v>
      </c>
      <c r="HB426" s="4">
        <v>340</v>
      </c>
      <c r="HC426" s="19">
        <v>9.3</v>
      </c>
      <c r="HD426" s="19">
        <v>8</v>
      </c>
      <c r="HE426" s="19">
        <v>7.1</v>
      </c>
      <c r="HF426" s="19">
        <v>6.8</v>
      </c>
      <c r="HG426" s="19">
        <v>7.8</v>
      </c>
      <c r="HH426" s="19">
        <v>7.8</v>
      </c>
      <c r="HI426" s="19">
        <v>8.1</v>
      </c>
      <c r="HJ426" s="19">
        <v>8.3</v>
      </c>
      <c r="HK426" s="19">
        <v>8.4</v>
      </c>
      <c r="HL426" s="19">
        <v>9.2</v>
      </c>
      <c r="HM426" s="19">
        <v>8.7</v>
      </c>
      <c r="HN426" s="19">
        <v>7.5</v>
      </c>
      <c r="HO426" s="19">
        <v>6.6</v>
      </c>
      <c r="HP426" s="19">
        <v>4.8</v>
      </c>
      <c r="HQ426" s="19">
        <v>3.9</v>
      </c>
      <c r="HR426" s="19">
        <v>3.2</v>
      </c>
      <c r="HS426" s="19">
        <v>1.9</v>
      </c>
      <c r="HT426" s="19">
        <v>0.8</v>
      </c>
      <c r="HU426" s="20">
        <v>0</v>
      </c>
      <c r="HV426" s="19">
        <v>19.8</v>
      </c>
      <c r="HW426" s="19">
        <v>22</v>
      </c>
      <c r="HX426" s="19">
        <v>21</v>
      </c>
      <c r="HY426" s="19">
        <v>20</v>
      </c>
      <c r="HZ426" s="19">
        <v>19</v>
      </c>
      <c r="IA426" s="19">
        <v>18.9</v>
      </c>
      <c r="IB426" s="19">
        <v>18.9</v>
      </c>
    </row>
    <row r="427">
      <c r="A427" s="2" t="s">
        <v>2555</v>
      </c>
      <c r="B427" s="2" t="s">
        <v>279</v>
      </c>
      <c r="C427" s="2" t="s">
        <v>2381</v>
      </c>
      <c r="D427" s="2" t="s">
        <v>281</v>
      </c>
      <c r="E427" s="2" t="s">
        <v>282</v>
      </c>
      <c r="F427" s="2" t="s">
        <v>2382</v>
      </c>
      <c r="G427" s="2" t="s">
        <v>2382</v>
      </c>
      <c r="H427" s="2" t="s">
        <v>2382</v>
      </c>
      <c r="I427" s="2" t="s">
        <v>2383</v>
      </c>
      <c r="J427" s="2" t="s">
        <v>285</v>
      </c>
      <c r="K427" s="2" t="s">
        <v>2347</v>
      </c>
      <c r="L427" s="3">
        <v>27.39</v>
      </c>
      <c r="M427" s="3">
        <v>28.76</v>
      </c>
      <c r="N427" s="3">
        <v>62.99</v>
      </c>
      <c r="O427" s="2" t="s">
        <v>230</v>
      </c>
      <c r="P427" s="2" t="s">
        <v>231</v>
      </c>
      <c r="Q427" s="2" t="s">
        <v>232</v>
      </c>
      <c r="R427" s="2" t="s">
        <v>233</v>
      </c>
      <c r="S427" s="2" t="s">
        <v>2556</v>
      </c>
      <c r="T427" s="2" t="s">
        <v>2310</v>
      </c>
      <c r="U427" s="2" t="s">
        <v>233</v>
      </c>
      <c r="V427" s="2" t="s">
        <v>914</v>
      </c>
      <c r="W427" s="2" t="s">
        <v>237</v>
      </c>
      <c r="X427" s="2" t="s">
        <v>233</v>
      </c>
      <c r="Y427" s="2" t="s">
        <v>2432</v>
      </c>
      <c r="Z427" s="4">
        <v>399</v>
      </c>
      <c r="AA427" s="4">
        <f>=ROUNDDOWN(30.6923076923077,0)</f>
      </c>
      <c r="AB427" s="5">
        <v>13</v>
      </c>
      <c r="AC427" s="2" t="s">
        <v>154</v>
      </c>
      <c r="AD427" s="4">
        <v>140</v>
      </c>
      <c r="AE427" s="4">
        <v>140</v>
      </c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233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 t="s">
        <v>233</v>
      </c>
      <c r="BD427" s="8" t="s">
        <v>233</v>
      </c>
      <c r="BE427" s="4" t="s">
        <v>233</v>
      </c>
      <c r="BF427" s="8" t="s">
        <v>233</v>
      </c>
      <c r="BG427" s="7" t="s">
        <v>233</v>
      </c>
      <c r="BH427" s="7" t="s">
        <v>233</v>
      </c>
      <c r="BI427" s="7"/>
      <c r="BJ427" s="4">
        <v>45</v>
      </c>
      <c r="BK427" s="8">
        <v>1346.75</v>
      </c>
      <c r="BL427" s="2" t="s">
        <v>2557</v>
      </c>
      <c r="BM427" s="7"/>
      <c r="BN427" s="7"/>
      <c r="BO427" s="4"/>
      <c r="BP427" s="8"/>
      <c r="BQ427" s="4"/>
      <c r="BR427" s="8"/>
      <c r="BS427" s="7"/>
      <c r="BT427" s="7"/>
      <c r="BU427" s="2" t="s">
        <v>2387</v>
      </c>
      <c r="BV427" s="2" t="s">
        <v>233</v>
      </c>
      <c r="BW427" s="2" t="s">
        <v>233</v>
      </c>
      <c r="BX427" s="2" t="s">
        <v>241</v>
      </c>
      <c r="BY427" s="2" t="s">
        <v>242</v>
      </c>
      <c r="BZ427" s="2" t="s">
        <v>230</v>
      </c>
      <c r="CA427" s="2" t="s">
        <v>516</v>
      </c>
      <c r="CB427" s="2" t="s">
        <v>2558</v>
      </c>
      <c r="CC427" s="2" t="s">
        <v>245</v>
      </c>
      <c r="CD427" s="2" t="s">
        <v>233</v>
      </c>
      <c r="CE427" s="4">
        <v>339</v>
      </c>
      <c r="CF427" s="4"/>
      <c r="CG427" s="4"/>
      <c r="CH427" s="4"/>
      <c r="CI427" s="4"/>
      <c r="CJ427" s="4"/>
      <c r="CK427" s="4">
        <v>60</v>
      </c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>
        <v>140</v>
      </c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>
        <v>427</v>
      </c>
      <c r="GD427" s="4">
        <v>353</v>
      </c>
      <c r="GE427" s="4">
        <v>329</v>
      </c>
      <c r="GF427" s="4">
        <v>298</v>
      </c>
      <c r="GG427" s="4">
        <v>244</v>
      </c>
      <c r="GH427" s="4">
        <v>358</v>
      </c>
      <c r="GI427" s="4">
        <v>333</v>
      </c>
      <c r="GJ427" s="4">
        <v>315</v>
      </c>
      <c r="GK427" s="4">
        <v>301</v>
      </c>
      <c r="GL427" s="4">
        <v>285</v>
      </c>
      <c r="GM427" s="4">
        <v>272</v>
      </c>
      <c r="GN427" s="4">
        <v>263</v>
      </c>
      <c r="GO427" s="4">
        <v>255</v>
      </c>
      <c r="GP427" s="4">
        <v>247</v>
      </c>
      <c r="GQ427" s="4">
        <v>238</v>
      </c>
      <c r="GR427" s="4">
        <v>229</v>
      </c>
      <c r="GS427" s="4">
        <v>220</v>
      </c>
      <c r="GT427" s="4">
        <v>211</v>
      </c>
      <c r="GU427" s="4">
        <v>204</v>
      </c>
      <c r="GV427" s="4">
        <v>197</v>
      </c>
      <c r="GW427" s="4">
        <v>191</v>
      </c>
      <c r="GX427" s="4">
        <v>185</v>
      </c>
      <c r="GY427" s="4">
        <v>179</v>
      </c>
      <c r="GZ427" s="4">
        <v>173</v>
      </c>
      <c r="HA427" s="4">
        <v>167</v>
      </c>
      <c r="HB427" s="4">
        <v>161</v>
      </c>
      <c r="HC427" s="19">
        <v>9.3</v>
      </c>
      <c r="HD427" s="19">
        <v>10.4</v>
      </c>
      <c r="HE427" s="19">
        <v>9.7</v>
      </c>
      <c r="HF427" s="19">
        <v>9.6</v>
      </c>
      <c r="HG427" s="19">
        <v>11.6</v>
      </c>
      <c r="HH427" s="19">
        <v>19.9</v>
      </c>
      <c r="HI427" s="19">
        <v>22.2</v>
      </c>
      <c r="HJ427" s="19">
        <v>24.2</v>
      </c>
      <c r="HK427" s="19">
        <v>25.1</v>
      </c>
      <c r="HL427" s="19">
        <v>28.5</v>
      </c>
      <c r="HM427" s="19">
        <v>34</v>
      </c>
      <c r="HN427" s="19">
        <v>32.9</v>
      </c>
      <c r="HO427" s="19">
        <v>28.3</v>
      </c>
      <c r="HP427" s="19">
        <v>27.4</v>
      </c>
      <c r="HQ427" s="19">
        <v>29.8</v>
      </c>
      <c r="HR427" s="19">
        <v>28.6</v>
      </c>
      <c r="HS427" s="19">
        <v>31.4</v>
      </c>
      <c r="HT427" s="19">
        <v>35.2</v>
      </c>
      <c r="HU427" s="19">
        <v>34</v>
      </c>
      <c r="HV427" s="19">
        <v>32.8</v>
      </c>
      <c r="HW427" s="19">
        <v>31.8</v>
      </c>
      <c r="HX427" s="19">
        <v>30.8</v>
      </c>
      <c r="HY427" s="19">
        <v>29.8</v>
      </c>
      <c r="HZ427" s="19">
        <v>28.8</v>
      </c>
      <c r="IA427" s="19">
        <v>27.8</v>
      </c>
      <c r="IB427" s="19">
        <v>32.2</v>
      </c>
    </row>
    <row r="428">
      <c r="A428" s="2" t="s">
        <v>2559</v>
      </c>
      <c r="B428" s="2" t="s">
        <v>279</v>
      </c>
      <c r="C428" s="2" t="s">
        <v>2381</v>
      </c>
      <c r="D428" s="2" t="s">
        <v>281</v>
      </c>
      <c r="E428" s="2" t="s">
        <v>282</v>
      </c>
      <c r="F428" s="2" t="s">
        <v>2382</v>
      </c>
      <c r="G428" s="2" t="s">
        <v>2382</v>
      </c>
      <c r="H428" s="2" t="s">
        <v>2382</v>
      </c>
      <c r="I428" s="2" t="s">
        <v>2383</v>
      </c>
      <c r="J428" s="2" t="s">
        <v>336</v>
      </c>
      <c r="K428" s="2" t="s">
        <v>2560</v>
      </c>
      <c r="L428" s="3">
        <v>22.21</v>
      </c>
      <c r="M428" s="3">
        <v>23.32</v>
      </c>
      <c r="N428" s="3">
        <v>47.99</v>
      </c>
      <c r="O428" s="2" t="s">
        <v>230</v>
      </c>
      <c r="P428" s="2" t="s">
        <v>1903</v>
      </c>
      <c r="Q428" s="2" t="s">
        <v>232</v>
      </c>
      <c r="R428" s="2" t="s">
        <v>233</v>
      </c>
      <c r="S428" s="2" t="s">
        <v>2561</v>
      </c>
      <c r="T428" s="2" t="s">
        <v>2310</v>
      </c>
      <c r="U428" s="2" t="s">
        <v>287</v>
      </c>
      <c r="V428" s="2" t="s">
        <v>1431</v>
      </c>
      <c r="W428" s="2" t="s">
        <v>237</v>
      </c>
      <c r="X428" s="2" t="s">
        <v>712</v>
      </c>
      <c r="Y428" s="2" t="s">
        <v>2395</v>
      </c>
      <c r="Z428" s="4">
        <v>2374</v>
      </c>
      <c r="AA428" s="4">
        <f>=ROUNDDOWN(21.9814814814815,0)</f>
      </c>
      <c r="AB428" s="5">
        <v>108</v>
      </c>
      <c r="AC428" s="2" t="s">
        <v>2411</v>
      </c>
      <c r="AD428" s="4">
        <v>400</v>
      </c>
      <c r="AE428" s="4">
        <v>720</v>
      </c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233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 t="s">
        <v>233</v>
      </c>
      <c r="BD428" s="8" t="s">
        <v>233</v>
      </c>
      <c r="BE428" s="4" t="s">
        <v>233</v>
      </c>
      <c r="BF428" s="8" t="s">
        <v>233</v>
      </c>
      <c r="BG428" s="7" t="s">
        <v>233</v>
      </c>
      <c r="BH428" s="7" t="s">
        <v>233</v>
      </c>
      <c r="BI428" s="7"/>
      <c r="BJ428" s="4">
        <v>1317</v>
      </c>
      <c r="BK428" s="8">
        <v>33194.49</v>
      </c>
      <c r="BL428" s="2" t="s">
        <v>2562</v>
      </c>
      <c r="BM428" s="7"/>
      <c r="BN428" s="7"/>
      <c r="BO428" s="4"/>
      <c r="BP428" s="8"/>
      <c r="BQ428" s="4"/>
      <c r="BR428" s="8"/>
      <c r="BS428" s="7"/>
      <c r="BT428" s="7"/>
      <c r="BU428" s="2" t="s">
        <v>2387</v>
      </c>
      <c r="BV428" s="2" t="s">
        <v>233</v>
      </c>
      <c r="BW428" s="2" t="s">
        <v>233</v>
      </c>
      <c r="BX428" s="2" t="s">
        <v>241</v>
      </c>
      <c r="BY428" s="2" t="s">
        <v>242</v>
      </c>
      <c r="BZ428" s="2" t="s">
        <v>230</v>
      </c>
      <c r="CA428" s="2" t="s">
        <v>2396</v>
      </c>
      <c r="CB428" s="2" t="s">
        <v>2563</v>
      </c>
      <c r="CC428" s="2" t="s">
        <v>245</v>
      </c>
      <c r="CD428" s="2" t="s">
        <v>233</v>
      </c>
      <c r="CE428" s="4">
        <v>2374</v>
      </c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>
        <v>400</v>
      </c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>
        <v>320</v>
      </c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>
        <v>2501</v>
      </c>
      <c r="GD428" s="4">
        <v>2349</v>
      </c>
      <c r="GE428" s="4">
        <v>2223</v>
      </c>
      <c r="GF428" s="4">
        <v>2002</v>
      </c>
      <c r="GG428" s="4">
        <v>1575</v>
      </c>
      <c r="GH428" s="4">
        <v>1365</v>
      </c>
      <c r="GI428" s="4">
        <v>1162</v>
      </c>
      <c r="GJ428" s="4">
        <v>1017</v>
      </c>
      <c r="GK428" s="4">
        <v>903</v>
      </c>
      <c r="GL428" s="4">
        <v>776</v>
      </c>
      <c r="GM428" s="4">
        <v>675</v>
      </c>
      <c r="GN428" s="4">
        <v>1002</v>
      </c>
      <c r="GO428" s="4">
        <v>941</v>
      </c>
      <c r="GP428" s="4">
        <v>880</v>
      </c>
      <c r="GQ428" s="4">
        <v>813</v>
      </c>
      <c r="GR428" s="4">
        <v>746</v>
      </c>
      <c r="GS428" s="4">
        <v>999</v>
      </c>
      <c r="GT428" s="4">
        <v>932</v>
      </c>
      <c r="GU428" s="4">
        <v>877</v>
      </c>
      <c r="GV428" s="4">
        <v>1090</v>
      </c>
      <c r="GW428" s="4">
        <v>1040</v>
      </c>
      <c r="GX428" s="4">
        <v>990</v>
      </c>
      <c r="GY428" s="4">
        <v>940</v>
      </c>
      <c r="GZ428" s="4">
        <v>890</v>
      </c>
      <c r="HA428" s="4">
        <v>840</v>
      </c>
      <c r="HB428" s="4">
        <v>790</v>
      </c>
      <c r="HC428" s="19">
        <v>10.8</v>
      </c>
      <c r="HD428" s="19">
        <v>9.5</v>
      </c>
      <c r="HE428" s="19">
        <v>8.4</v>
      </c>
      <c r="HF428" s="19">
        <v>8.1</v>
      </c>
      <c r="HG428" s="19">
        <v>9.4</v>
      </c>
      <c r="HH428" s="19">
        <v>9.3</v>
      </c>
      <c r="HI428" s="19">
        <v>9.5</v>
      </c>
      <c r="HJ428" s="19">
        <v>9.8</v>
      </c>
      <c r="HK428" s="19">
        <v>10</v>
      </c>
      <c r="HL428" s="19">
        <v>10.5</v>
      </c>
      <c r="HM428" s="19">
        <v>10.2</v>
      </c>
      <c r="HN428" s="19">
        <v>15.7</v>
      </c>
      <c r="HO428" s="19">
        <v>14.3</v>
      </c>
      <c r="HP428" s="19">
        <v>13.1</v>
      </c>
      <c r="HQ428" s="19">
        <v>12.7</v>
      </c>
      <c r="HR428" s="19">
        <v>12.2</v>
      </c>
      <c r="HS428" s="19">
        <v>17.5</v>
      </c>
      <c r="HT428" s="19">
        <v>17.9</v>
      </c>
      <c r="HU428" s="19">
        <v>17.2</v>
      </c>
      <c r="HV428" s="19">
        <v>21.8</v>
      </c>
      <c r="HW428" s="19">
        <v>20.8</v>
      </c>
      <c r="HX428" s="19">
        <v>19.8</v>
      </c>
      <c r="HY428" s="19">
        <v>18.8</v>
      </c>
      <c r="HZ428" s="19">
        <v>18.5</v>
      </c>
      <c r="IA428" s="19">
        <v>18.3</v>
      </c>
      <c r="IB428" s="19">
        <v>17.6</v>
      </c>
    </row>
    <row r="429">
      <c r="A429" s="2" t="s">
        <v>2564</v>
      </c>
      <c r="B429" s="2" t="s">
        <v>279</v>
      </c>
      <c r="C429" s="2" t="s">
        <v>2381</v>
      </c>
      <c r="D429" s="2" t="s">
        <v>281</v>
      </c>
      <c r="E429" s="2" t="s">
        <v>282</v>
      </c>
      <c r="F429" s="2" t="s">
        <v>2382</v>
      </c>
      <c r="G429" s="2" t="s">
        <v>2382</v>
      </c>
      <c r="H429" s="2" t="s">
        <v>2382</v>
      </c>
      <c r="I429" s="2" t="s">
        <v>2383</v>
      </c>
      <c r="J429" s="2" t="s">
        <v>252</v>
      </c>
      <c r="K429" s="2" t="s">
        <v>911</v>
      </c>
      <c r="L429" s="3">
        <v>19.57</v>
      </c>
      <c r="M429" s="3">
        <v>20.55</v>
      </c>
      <c r="N429" s="3">
        <v>42.99</v>
      </c>
      <c r="O429" s="2" t="s">
        <v>230</v>
      </c>
      <c r="P429" s="2" t="s">
        <v>231</v>
      </c>
      <c r="Q429" s="2" t="s">
        <v>232</v>
      </c>
      <c r="R429" s="2" t="s">
        <v>233</v>
      </c>
      <c r="S429" s="2" t="s">
        <v>2565</v>
      </c>
      <c r="T429" s="2" t="s">
        <v>2310</v>
      </c>
      <c r="U429" s="2" t="s">
        <v>233</v>
      </c>
      <c r="V429" s="2" t="s">
        <v>914</v>
      </c>
      <c r="W429" s="2" t="s">
        <v>237</v>
      </c>
      <c r="X429" s="2" t="s">
        <v>233</v>
      </c>
      <c r="Y429" s="2" t="s">
        <v>238</v>
      </c>
      <c r="Z429" s="4">
        <v>727</v>
      </c>
      <c r="AA429" s="4">
        <f>=ROUNDDOWN(31.6086956521739,0)</f>
      </c>
      <c r="AB429" s="5">
        <v>23</v>
      </c>
      <c r="AC429" s="2" t="s">
        <v>154</v>
      </c>
      <c r="AD429" s="4">
        <v>313</v>
      </c>
      <c r="AE429" s="4">
        <v>313</v>
      </c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233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233</v>
      </c>
      <c r="AW429" s="8" t="s">
        <v>233</v>
      </c>
      <c r="AX429" s="4" t="s">
        <v>233</v>
      </c>
      <c r="AY429" s="8" t="s">
        <v>233</v>
      </c>
      <c r="AZ429" s="7" t="s">
        <v>233</v>
      </c>
      <c r="BA429" s="7" t="s">
        <v>233</v>
      </c>
      <c r="BB429" s="7"/>
      <c r="BC429" s="4" t="s">
        <v>233</v>
      </c>
      <c r="BD429" s="8" t="s">
        <v>233</v>
      </c>
      <c r="BE429" s="4" t="s">
        <v>233</v>
      </c>
      <c r="BF429" s="8" t="s">
        <v>233</v>
      </c>
      <c r="BG429" s="7" t="s">
        <v>233</v>
      </c>
      <c r="BH429" s="7" t="s">
        <v>233</v>
      </c>
      <c r="BI429" s="7"/>
      <c r="BJ429" s="4">
        <v>105</v>
      </c>
      <c r="BK429" s="8">
        <v>2306.88</v>
      </c>
      <c r="BL429" s="2" t="s">
        <v>2566</v>
      </c>
      <c r="BM429" s="7"/>
      <c r="BN429" s="7"/>
      <c r="BO429" s="4"/>
      <c r="BP429" s="8"/>
      <c r="BQ429" s="4"/>
      <c r="BR429" s="8"/>
      <c r="BS429" s="7"/>
      <c r="BT429" s="7"/>
      <c r="BU429" s="2" t="s">
        <v>2387</v>
      </c>
      <c r="BV429" s="2" t="s">
        <v>233</v>
      </c>
      <c r="BW429" s="2" t="s">
        <v>233</v>
      </c>
      <c r="BX429" s="2" t="s">
        <v>241</v>
      </c>
      <c r="BY429" s="2" t="s">
        <v>242</v>
      </c>
      <c r="BZ429" s="2" t="s">
        <v>230</v>
      </c>
      <c r="CA429" s="2" t="s">
        <v>516</v>
      </c>
      <c r="CB429" s="2" t="s">
        <v>388</v>
      </c>
      <c r="CC429" s="2" t="s">
        <v>245</v>
      </c>
      <c r="CD429" s="2" t="s">
        <v>233</v>
      </c>
      <c r="CE429" s="4">
        <v>727</v>
      </c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>
        <v>313</v>
      </c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>
        <v>744</v>
      </c>
      <c r="GD429" s="4">
        <v>654</v>
      </c>
      <c r="GE429" s="4">
        <v>611</v>
      </c>
      <c r="GF429" s="4">
        <v>551</v>
      </c>
      <c r="GG429" s="4">
        <v>441</v>
      </c>
      <c r="GH429" s="4">
        <v>701</v>
      </c>
      <c r="GI429" s="4">
        <v>649</v>
      </c>
      <c r="GJ429" s="4">
        <v>614</v>
      </c>
      <c r="GK429" s="4">
        <v>588</v>
      </c>
      <c r="GL429" s="4">
        <v>558</v>
      </c>
      <c r="GM429" s="4">
        <v>535</v>
      </c>
      <c r="GN429" s="4">
        <v>518</v>
      </c>
      <c r="GO429" s="4">
        <v>505</v>
      </c>
      <c r="GP429" s="4">
        <v>492</v>
      </c>
      <c r="GQ429" s="4">
        <v>477</v>
      </c>
      <c r="GR429" s="4">
        <v>462</v>
      </c>
      <c r="GS429" s="4">
        <v>447</v>
      </c>
      <c r="GT429" s="4">
        <v>432</v>
      </c>
      <c r="GU429" s="4">
        <v>420</v>
      </c>
      <c r="GV429" s="4">
        <v>408</v>
      </c>
      <c r="GW429" s="4">
        <v>397</v>
      </c>
      <c r="GX429" s="4">
        <v>386</v>
      </c>
      <c r="GY429" s="4">
        <v>375</v>
      </c>
      <c r="GZ429" s="4">
        <v>364</v>
      </c>
      <c r="HA429" s="4">
        <v>353</v>
      </c>
      <c r="HB429" s="4">
        <v>342</v>
      </c>
      <c r="HC429" s="19">
        <v>9.8</v>
      </c>
      <c r="HD429" s="19">
        <v>9.9</v>
      </c>
      <c r="HE429" s="19">
        <v>8.9</v>
      </c>
      <c r="HF429" s="19">
        <v>8.9</v>
      </c>
      <c r="HG429" s="19">
        <v>10.5</v>
      </c>
      <c r="HH429" s="19">
        <v>19.5</v>
      </c>
      <c r="HI429" s="19">
        <v>23.2</v>
      </c>
      <c r="HJ429" s="19">
        <v>25.6</v>
      </c>
      <c r="HK429" s="19">
        <v>28</v>
      </c>
      <c r="HL429" s="19">
        <v>34.9</v>
      </c>
      <c r="HM429" s="19">
        <v>38.2</v>
      </c>
      <c r="HN429" s="19">
        <v>37</v>
      </c>
      <c r="HO429" s="19">
        <v>36.1</v>
      </c>
      <c r="HP429" s="19">
        <v>32.8</v>
      </c>
      <c r="HQ429" s="19">
        <v>34.1</v>
      </c>
      <c r="HR429" s="19">
        <v>33</v>
      </c>
      <c r="HS429" s="19">
        <v>37.3</v>
      </c>
      <c r="HT429" s="19">
        <v>36</v>
      </c>
      <c r="HU429" s="19">
        <v>38.2</v>
      </c>
      <c r="HV429" s="19">
        <v>37.1</v>
      </c>
      <c r="HW429" s="19">
        <v>36.1</v>
      </c>
      <c r="HX429" s="19">
        <v>35.1</v>
      </c>
      <c r="HY429" s="19">
        <v>34.1</v>
      </c>
      <c r="HZ429" s="19">
        <v>36.4</v>
      </c>
      <c r="IA429" s="19">
        <v>35.3</v>
      </c>
      <c r="IB429" s="19">
        <v>34.2</v>
      </c>
    </row>
    <row r="430">
      <c r="A430" s="2" t="s">
        <v>2567</v>
      </c>
      <c r="B430" s="2" t="s">
        <v>279</v>
      </c>
      <c r="C430" s="2" t="s">
        <v>2381</v>
      </c>
      <c r="D430" s="2" t="s">
        <v>281</v>
      </c>
      <c r="E430" s="2" t="s">
        <v>282</v>
      </c>
      <c r="F430" s="2" t="s">
        <v>2382</v>
      </c>
      <c r="G430" s="2" t="s">
        <v>2382</v>
      </c>
      <c r="H430" s="2" t="s">
        <v>2382</v>
      </c>
      <c r="I430" s="2" t="s">
        <v>2383</v>
      </c>
      <c r="J430" s="2" t="s">
        <v>285</v>
      </c>
      <c r="K430" s="2" t="s">
        <v>911</v>
      </c>
      <c r="L430" s="3">
        <v>27.39</v>
      </c>
      <c r="M430" s="3">
        <v>28.76</v>
      </c>
      <c r="N430" s="3">
        <v>62.99</v>
      </c>
      <c r="O430" s="2" t="s">
        <v>230</v>
      </c>
      <c r="P430" s="2" t="s">
        <v>586</v>
      </c>
      <c r="Q430" s="2" t="s">
        <v>232</v>
      </c>
      <c r="R430" s="2" t="s">
        <v>233</v>
      </c>
      <c r="S430" s="2" t="s">
        <v>2565</v>
      </c>
      <c r="T430" s="2" t="s">
        <v>2310</v>
      </c>
      <c r="U430" s="2" t="s">
        <v>233</v>
      </c>
      <c r="V430" s="2" t="s">
        <v>914</v>
      </c>
      <c r="W430" s="2" t="s">
        <v>237</v>
      </c>
      <c r="X430" s="2" t="s">
        <v>233</v>
      </c>
      <c r="Y430" s="2" t="s">
        <v>2568</v>
      </c>
      <c r="Z430" s="4">
        <v>640</v>
      </c>
      <c r="AA430" s="4">
        <f>=ROUNDDOWN(37.6470588235294,0)</f>
      </c>
      <c r="AB430" s="5">
        <v>17</v>
      </c>
      <c r="AC430" s="2" t="s">
        <v>154</v>
      </c>
      <c r="AD430" s="4">
        <v>214</v>
      </c>
      <c r="AE430" s="4">
        <v>214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233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233</v>
      </c>
      <c r="AW430" s="8" t="s">
        <v>233</v>
      </c>
      <c r="AX430" s="4" t="s">
        <v>233</v>
      </c>
      <c r="AY430" s="8" t="s">
        <v>233</v>
      </c>
      <c r="AZ430" s="7" t="s">
        <v>233</v>
      </c>
      <c r="BA430" s="7" t="s">
        <v>233</v>
      </c>
      <c r="BB430" s="7"/>
      <c r="BC430" s="4" t="s">
        <v>233</v>
      </c>
      <c r="BD430" s="8" t="s">
        <v>233</v>
      </c>
      <c r="BE430" s="4" t="s">
        <v>233</v>
      </c>
      <c r="BF430" s="8" t="s">
        <v>233</v>
      </c>
      <c r="BG430" s="7" t="s">
        <v>233</v>
      </c>
      <c r="BH430" s="7" t="s">
        <v>233</v>
      </c>
      <c r="BI430" s="7"/>
      <c r="BJ430" s="4">
        <v>17</v>
      </c>
      <c r="BK430" s="8">
        <v>502.49</v>
      </c>
      <c r="BL430" s="2" t="s">
        <v>491</v>
      </c>
      <c r="BM430" s="7"/>
      <c r="BN430" s="7"/>
      <c r="BO430" s="4"/>
      <c r="BP430" s="8"/>
      <c r="BQ430" s="4"/>
      <c r="BR430" s="8"/>
      <c r="BS430" s="7"/>
      <c r="BT430" s="7"/>
      <c r="BU430" s="2" t="s">
        <v>2387</v>
      </c>
      <c r="BV430" s="2" t="s">
        <v>233</v>
      </c>
      <c r="BW430" s="2" t="s">
        <v>233</v>
      </c>
      <c r="BX430" s="2" t="s">
        <v>241</v>
      </c>
      <c r="BY430" s="2" t="s">
        <v>242</v>
      </c>
      <c r="BZ430" s="2" t="s">
        <v>230</v>
      </c>
      <c r="CA430" s="2" t="s">
        <v>516</v>
      </c>
      <c r="CB430" s="2" t="s">
        <v>2569</v>
      </c>
      <c r="CC430" s="2" t="s">
        <v>245</v>
      </c>
      <c r="CD430" s="2" t="s">
        <v>233</v>
      </c>
      <c r="CE430" s="4">
        <v>617</v>
      </c>
      <c r="CF430" s="4"/>
      <c r="CG430" s="4"/>
      <c r="CH430" s="4"/>
      <c r="CI430" s="4"/>
      <c r="CJ430" s="4"/>
      <c r="CK430" s="4">
        <v>23</v>
      </c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>
        <v>214</v>
      </c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>
        <v>646</v>
      </c>
      <c r="GD430" s="4">
        <v>535</v>
      </c>
      <c r="GE430" s="4">
        <v>505</v>
      </c>
      <c r="GF430" s="4">
        <v>470</v>
      </c>
      <c r="GG430" s="4">
        <v>413</v>
      </c>
      <c r="GH430" s="4">
        <v>599</v>
      </c>
      <c r="GI430" s="4">
        <v>572</v>
      </c>
      <c r="GJ430" s="4">
        <v>552</v>
      </c>
      <c r="GK430" s="4">
        <v>536</v>
      </c>
      <c r="GL430" s="4">
        <v>518</v>
      </c>
      <c r="GM430" s="4">
        <v>503</v>
      </c>
      <c r="GN430" s="4">
        <v>492</v>
      </c>
      <c r="GO430" s="4">
        <v>482</v>
      </c>
      <c r="GP430" s="4">
        <v>472</v>
      </c>
      <c r="GQ430" s="4">
        <v>461</v>
      </c>
      <c r="GR430" s="4">
        <v>450</v>
      </c>
      <c r="GS430" s="4">
        <v>439</v>
      </c>
      <c r="GT430" s="4">
        <v>428</v>
      </c>
      <c r="GU430" s="4">
        <v>419</v>
      </c>
      <c r="GV430" s="4">
        <v>410</v>
      </c>
      <c r="GW430" s="4">
        <v>402</v>
      </c>
      <c r="GX430" s="4">
        <v>394</v>
      </c>
      <c r="GY430" s="4">
        <v>386</v>
      </c>
      <c r="GZ430" s="4">
        <v>378</v>
      </c>
      <c r="HA430" s="4">
        <v>370</v>
      </c>
      <c r="HB430" s="4">
        <v>362</v>
      </c>
      <c r="HC430" s="19">
        <v>11.1</v>
      </c>
      <c r="HD430" s="19">
        <v>14.1</v>
      </c>
      <c r="HE430" s="19">
        <v>13.6</v>
      </c>
      <c r="HF430" s="19">
        <v>14.2</v>
      </c>
      <c r="HG430" s="19">
        <v>18</v>
      </c>
      <c r="HH430" s="19">
        <v>30</v>
      </c>
      <c r="HI430" s="19">
        <v>33.6</v>
      </c>
      <c r="HJ430" s="19">
        <v>36.8</v>
      </c>
      <c r="HK430" s="19">
        <v>38.3</v>
      </c>
      <c r="HL430" s="19">
        <v>43.2</v>
      </c>
      <c r="HM430" s="19">
        <v>50.3</v>
      </c>
      <c r="HN430" s="19">
        <v>49.2</v>
      </c>
      <c r="HO430" s="19">
        <v>43.8</v>
      </c>
      <c r="HP430" s="19">
        <v>42.9</v>
      </c>
      <c r="HQ430" s="19">
        <v>46.1</v>
      </c>
      <c r="HR430" s="19">
        <v>45</v>
      </c>
      <c r="HS430" s="19">
        <v>48.8</v>
      </c>
      <c r="HT430" s="19">
        <v>53.5</v>
      </c>
      <c r="HU430" s="19">
        <v>52.4</v>
      </c>
      <c r="HV430" s="19">
        <v>51.3</v>
      </c>
      <c r="HW430" s="19">
        <v>50.3</v>
      </c>
      <c r="HX430" s="19">
        <v>49.3</v>
      </c>
      <c r="HY430" s="19">
        <v>48.3</v>
      </c>
      <c r="HZ430" s="19">
        <v>47.3</v>
      </c>
      <c r="IA430" s="19">
        <v>46.3</v>
      </c>
      <c r="IB430" s="19">
        <v>51.7</v>
      </c>
    </row>
    <row r="431">
      <c r="A431" s="2" t="s">
        <v>2570</v>
      </c>
      <c r="B431" s="2" t="s">
        <v>279</v>
      </c>
      <c r="C431" s="2" t="s">
        <v>2381</v>
      </c>
      <c r="D431" s="2" t="s">
        <v>281</v>
      </c>
      <c r="E431" s="2" t="s">
        <v>282</v>
      </c>
      <c r="F431" s="2" t="s">
        <v>2382</v>
      </c>
      <c r="G431" s="2" t="s">
        <v>2382</v>
      </c>
      <c r="H431" s="2" t="s">
        <v>2382</v>
      </c>
      <c r="I431" s="2" t="s">
        <v>2383</v>
      </c>
      <c r="J431" s="2" t="s">
        <v>228</v>
      </c>
      <c r="K431" s="2" t="s">
        <v>2571</v>
      </c>
      <c r="L431" s="3">
        <v>14.89</v>
      </c>
      <c r="M431" s="3">
        <v>15.63</v>
      </c>
      <c r="N431" s="3">
        <v>31.99</v>
      </c>
      <c r="O431" s="2" t="s">
        <v>230</v>
      </c>
      <c r="P431" s="2" t="s">
        <v>231</v>
      </c>
      <c r="Q431" s="2" t="s">
        <v>232</v>
      </c>
      <c r="R431" s="2" t="s">
        <v>233</v>
      </c>
      <c r="S431" s="2" t="s">
        <v>2572</v>
      </c>
      <c r="T431" s="2" t="s">
        <v>2310</v>
      </c>
      <c r="U431" s="2" t="s">
        <v>233</v>
      </c>
      <c r="V431" s="2" t="s">
        <v>236</v>
      </c>
      <c r="W431" s="2" t="s">
        <v>237</v>
      </c>
      <c r="X431" s="2" t="s">
        <v>233</v>
      </c>
      <c r="Y431" s="2" t="s">
        <v>238</v>
      </c>
      <c r="Z431" s="4">
        <v>950</v>
      </c>
      <c r="AA431" s="4">
        <f>=ROUNDDOWN(38,0)</f>
      </c>
      <c r="AB431" s="5">
        <v>25</v>
      </c>
      <c r="AC431" s="2" t="s">
        <v>139</v>
      </c>
      <c r="AD431" s="4">
        <v>480</v>
      </c>
      <c r="AE431" s="4">
        <v>480</v>
      </c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233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233</v>
      </c>
      <c r="AW431" s="8" t="s">
        <v>233</v>
      </c>
      <c r="AX431" s="4" t="s">
        <v>233</v>
      </c>
      <c r="AY431" s="8" t="s">
        <v>233</v>
      </c>
      <c r="AZ431" s="7" t="s">
        <v>233</v>
      </c>
      <c r="BA431" s="7" t="s">
        <v>233</v>
      </c>
      <c r="BB431" s="7"/>
      <c r="BC431" s="4" t="s">
        <v>233</v>
      </c>
      <c r="BD431" s="8" t="s">
        <v>233</v>
      </c>
      <c r="BE431" s="4" t="s">
        <v>233</v>
      </c>
      <c r="BF431" s="8" t="s">
        <v>233</v>
      </c>
      <c r="BG431" s="7" t="s">
        <v>233</v>
      </c>
      <c r="BH431" s="7" t="s">
        <v>233</v>
      </c>
      <c r="BI431" s="7"/>
      <c r="BJ431" s="4">
        <v>75</v>
      </c>
      <c r="BK431" s="8">
        <v>1200.84</v>
      </c>
      <c r="BL431" s="2" t="s">
        <v>1549</v>
      </c>
      <c r="BM431" s="7"/>
      <c r="BN431" s="7"/>
      <c r="BO431" s="4"/>
      <c r="BP431" s="8"/>
      <c r="BQ431" s="4"/>
      <c r="BR431" s="8"/>
      <c r="BS431" s="7"/>
      <c r="BT431" s="7"/>
      <c r="BU431" s="2" t="s">
        <v>2387</v>
      </c>
      <c r="BV431" s="2" t="s">
        <v>233</v>
      </c>
      <c r="BW431" s="2" t="s">
        <v>233</v>
      </c>
      <c r="BX431" s="2" t="s">
        <v>241</v>
      </c>
      <c r="BY431" s="2" t="s">
        <v>242</v>
      </c>
      <c r="BZ431" s="2" t="s">
        <v>230</v>
      </c>
      <c r="CA431" s="2" t="s">
        <v>2512</v>
      </c>
      <c r="CB431" s="2" t="s">
        <v>2573</v>
      </c>
      <c r="CC431" s="2" t="s">
        <v>245</v>
      </c>
      <c r="CD431" s="2" t="s">
        <v>233</v>
      </c>
      <c r="CE431" s="4">
        <v>293</v>
      </c>
      <c r="CF431" s="4">
        <v>657</v>
      </c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>
        <v>480</v>
      </c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>
        <v>1006</v>
      </c>
      <c r="GD431" s="4">
        <v>840</v>
      </c>
      <c r="GE431" s="4">
        <v>1276</v>
      </c>
      <c r="GF431" s="4">
        <v>1225</v>
      </c>
      <c r="GG431" s="4">
        <v>1141</v>
      </c>
      <c r="GH431" s="4">
        <v>1098</v>
      </c>
      <c r="GI431" s="4">
        <v>1056</v>
      </c>
      <c r="GJ431" s="4">
        <v>1025</v>
      </c>
      <c r="GK431" s="4">
        <v>1000</v>
      </c>
      <c r="GL431" s="4">
        <v>973</v>
      </c>
      <c r="GM431" s="4">
        <v>951</v>
      </c>
      <c r="GN431" s="4">
        <v>934</v>
      </c>
      <c r="GO431" s="4">
        <v>920</v>
      </c>
      <c r="GP431" s="4">
        <v>906</v>
      </c>
      <c r="GQ431" s="4">
        <v>891</v>
      </c>
      <c r="GR431" s="4">
        <v>876</v>
      </c>
      <c r="GS431" s="4">
        <v>861</v>
      </c>
      <c r="GT431" s="4">
        <v>846</v>
      </c>
      <c r="GU431" s="4">
        <v>833</v>
      </c>
      <c r="GV431" s="4">
        <v>820</v>
      </c>
      <c r="GW431" s="4">
        <v>809</v>
      </c>
      <c r="GX431" s="4">
        <v>798</v>
      </c>
      <c r="GY431" s="4">
        <v>787</v>
      </c>
      <c r="GZ431" s="4">
        <v>776</v>
      </c>
      <c r="HA431" s="4">
        <v>765</v>
      </c>
      <c r="HB431" s="4">
        <v>754</v>
      </c>
      <c r="HC431" s="19">
        <v>11.7</v>
      </c>
      <c r="HD431" s="19">
        <v>15</v>
      </c>
      <c r="HE431" s="19">
        <v>23.2</v>
      </c>
      <c r="HF431" s="19">
        <v>24.5</v>
      </c>
      <c r="HG431" s="19">
        <v>32.6</v>
      </c>
      <c r="HH431" s="19">
        <v>35.4</v>
      </c>
      <c r="HI431" s="19">
        <v>40.6</v>
      </c>
      <c r="HJ431" s="19">
        <v>44.6</v>
      </c>
      <c r="HK431" s="19">
        <v>50</v>
      </c>
      <c r="HL431" s="19">
        <v>57.2</v>
      </c>
      <c r="HM431" s="19">
        <v>63.4</v>
      </c>
      <c r="HN431" s="19">
        <v>66.7</v>
      </c>
      <c r="HO431" s="19">
        <v>61.3</v>
      </c>
      <c r="HP431" s="19">
        <v>60.4</v>
      </c>
      <c r="HQ431" s="19">
        <v>63.6</v>
      </c>
      <c r="HR431" s="19">
        <v>62.6</v>
      </c>
      <c r="HS431" s="19">
        <v>66.2</v>
      </c>
      <c r="HT431" s="19">
        <v>70.5</v>
      </c>
      <c r="HU431" s="19">
        <v>69.4</v>
      </c>
      <c r="HV431" s="19">
        <v>74.5</v>
      </c>
      <c r="HW431" s="19">
        <v>73.5</v>
      </c>
      <c r="HX431" s="19">
        <v>72.5</v>
      </c>
      <c r="HY431" s="19">
        <v>71.5</v>
      </c>
      <c r="HZ431" s="19">
        <v>70.5</v>
      </c>
      <c r="IA431" s="19">
        <v>76.5</v>
      </c>
      <c r="IB431" s="19">
        <v>75.4</v>
      </c>
    </row>
    <row r="432">
      <c r="A432" s="2" t="s">
        <v>2574</v>
      </c>
      <c r="B432" s="2" t="s">
        <v>279</v>
      </c>
      <c r="C432" s="2" t="s">
        <v>2381</v>
      </c>
      <c r="D432" s="2" t="s">
        <v>281</v>
      </c>
      <c r="E432" s="2" t="s">
        <v>282</v>
      </c>
      <c r="F432" s="2" t="s">
        <v>2382</v>
      </c>
      <c r="G432" s="2" t="s">
        <v>2382</v>
      </c>
      <c r="H432" s="2" t="s">
        <v>2382</v>
      </c>
      <c r="I432" s="2" t="s">
        <v>2383</v>
      </c>
      <c r="J432" s="2" t="s">
        <v>285</v>
      </c>
      <c r="K432" s="2" t="s">
        <v>2571</v>
      </c>
      <c r="L432" s="3">
        <v>27.39</v>
      </c>
      <c r="M432" s="3">
        <v>28.76</v>
      </c>
      <c r="N432" s="3">
        <v>62.99</v>
      </c>
      <c r="O432" s="2" t="s">
        <v>230</v>
      </c>
      <c r="P432" s="2" t="s">
        <v>231</v>
      </c>
      <c r="Q432" s="2" t="s">
        <v>232</v>
      </c>
      <c r="R432" s="2" t="s">
        <v>233</v>
      </c>
      <c r="S432" s="2" t="s">
        <v>2572</v>
      </c>
      <c r="T432" s="2" t="s">
        <v>2310</v>
      </c>
      <c r="U432" s="2" t="s">
        <v>233</v>
      </c>
      <c r="V432" s="2" t="s">
        <v>236</v>
      </c>
      <c r="W432" s="2" t="s">
        <v>237</v>
      </c>
      <c r="X432" s="2" t="s">
        <v>233</v>
      </c>
      <c r="Y432" s="2" t="s">
        <v>238</v>
      </c>
      <c r="Z432" s="4">
        <v>237</v>
      </c>
      <c r="AA432" s="4">
        <f>=ROUNDDOWN(39.5,0)</f>
      </c>
      <c r="AB432" s="5">
        <v>6</v>
      </c>
      <c r="AC432" s="2" t="s">
        <v>139</v>
      </c>
      <c r="AD432" s="4">
        <v>112</v>
      </c>
      <c r="AE432" s="4">
        <v>112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233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233</v>
      </c>
      <c r="AW432" s="8" t="s">
        <v>233</v>
      </c>
      <c r="AX432" s="4" t="s">
        <v>233</v>
      </c>
      <c r="AY432" s="8" t="s">
        <v>233</v>
      </c>
      <c r="AZ432" s="7" t="s">
        <v>233</v>
      </c>
      <c r="BA432" s="7" t="s">
        <v>233</v>
      </c>
      <c r="BB432" s="7"/>
      <c r="BC432" s="4" t="s">
        <v>233</v>
      </c>
      <c r="BD432" s="8" t="s">
        <v>233</v>
      </c>
      <c r="BE432" s="4" t="s">
        <v>233</v>
      </c>
      <c r="BF432" s="8" t="s">
        <v>233</v>
      </c>
      <c r="BG432" s="7" t="s">
        <v>233</v>
      </c>
      <c r="BH432" s="7" t="s">
        <v>233</v>
      </c>
      <c r="BI432" s="7"/>
      <c r="BJ432" s="4">
        <v>17</v>
      </c>
      <c r="BK432" s="8">
        <v>493.75</v>
      </c>
      <c r="BL432" s="2" t="s">
        <v>1549</v>
      </c>
      <c r="BM432" s="7"/>
      <c r="BN432" s="7"/>
      <c r="BO432" s="4"/>
      <c r="BP432" s="8"/>
      <c r="BQ432" s="4"/>
      <c r="BR432" s="8"/>
      <c r="BS432" s="7"/>
      <c r="BT432" s="7"/>
      <c r="BU432" s="2" t="s">
        <v>2387</v>
      </c>
      <c r="BV432" s="2" t="s">
        <v>233</v>
      </c>
      <c r="BW432" s="2" t="s">
        <v>233</v>
      </c>
      <c r="BX432" s="2" t="s">
        <v>241</v>
      </c>
      <c r="BY432" s="2" t="s">
        <v>242</v>
      </c>
      <c r="BZ432" s="2" t="s">
        <v>230</v>
      </c>
      <c r="CA432" s="2" t="s">
        <v>2512</v>
      </c>
      <c r="CB432" s="2" t="s">
        <v>2575</v>
      </c>
      <c r="CC432" s="2" t="s">
        <v>245</v>
      </c>
      <c r="CD432" s="2" t="s">
        <v>233</v>
      </c>
      <c r="CE432" s="4">
        <v>93</v>
      </c>
      <c r="CF432" s="4">
        <v>144</v>
      </c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>
        <v>112</v>
      </c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>
        <v>246</v>
      </c>
      <c r="GD432" s="4">
        <v>204</v>
      </c>
      <c r="GE432" s="4">
        <v>305</v>
      </c>
      <c r="GF432" s="4">
        <v>293</v>
      </c>
      <c r="GG432" s="4">
        <v>272</v>
      </c>
      <c r="GH432" s="4">
        <v>261</v>
      </c>
      <c r="GI432" s="4">
        <v>251</v>
      </c>
      <c r="GJ432" s="4">
        <v>244</v>
      </c>
      <c r="GK432" s="4">
        <v>238</v>
      </c>
      <c r="GL432" s="4">
        <v>231</v>
      </c>
      <c r="GM432" s="4">
        <v>226</v>
      </c>
      <c r="GN432" s="4">
        <v>222</v>
      </c>
      <c r="GO432" s="4">
        <v>218</v>
      </c>
      <c r="GP432" s="4">
        <v>214</v>
      </c>
      <c r="GQ432" s="4">
        <v>210</v>
      </c>
      <c r="GR432" s="4">
        <v>206</v>
      </c>
      <c r="GS432" s="4">
        <v>202</v>
      </c>
      <c r="GT432" s="4">
        <v>198</v>
      </c>
      <c r="GU432" s="4">
        <v>194</v>
      </c>
      <c r="GV432" s="4">
        <v>190</v>
      </c>
      <c r="GW432" s="4">
        <v>187</v>
      </c>
      <c r="GX432" s="4">
        <v>184</v>
      </c>
      <c r="GY432" s="4">
        <v>181</v>
      </c>
      <c r="GZ432" s="4">
        <v>178</v>
      </c>
      <c r="HA432" s="4">
        <v>175</v>
      </c>
      <c r="HB432" s="4">
        <v>172</v>
      </c>
      <c r="HC432" s="19">
        <v>11.2</v>
      </c>
      <c r="HD432" s="19">
        <v>14.6</v>
      </c>
      <c r="HE432" s="19">
        <v>21.8</v>
      </c>
      <c r="HF432" s="19">
        <v>24.4</v>
      </c>
      <c r="HG432" s="19">
        <v>34</v>
      </c>
      <c r="HH432" s="19">
        <v>32.6</v>
      </c>
      <c r="HI432" s="19">
        <v>41.8</v>
      </c>
      <c r="HJ432" s="19">
        <v>40.7</v>
      </c>
      <c r="HK432" s="19">
        <v>47.6</v>
      </c>
      <c r="HL432" s="19">
        <v>57.8</v>
      </c>
      <c r="HM432" s="19">
        <v>56.5</v>
      </c>
      <c r="HN432" s="19">
        <v>55.5</v>
      </c>
      <c r="HO432" s="19">
        <v>54.5</v>
      </c>
      <c r="HP432" s="19">
        <v>53.5</v>
      </c>
      <c r="HQ432" s="19">
        <v>52.5</v>
      </c>
      <c r="HR432" s="19">
        <v>51.5</v>
      </c>
      <c r="HS432" s="19">
        <v>50.5</v>
      </c>
      <c r="HT432" s="19">
        <v>49.5</v>
      </c>
      <c r="HU432" s="19">
        <v>64.7</v>
      </c>
      <c r="HV432" s="19">
        <v>63.3</v>
      </c>
      <c r="HW432" s="19">
        <v>62.3</v>
      </c>
      <c r="HX432" s="19">
        <v>61.3</v>
      </c>
      <c r="HY432" s="19">
        <v>60.3</v>
      </c>
      <c r="HZ432" s="19">
        <v>59.3</v>
      </c>
      <c r="IA432" s="19">
        <v>87.5</v>
      </c>
      <c r="IB432" s="19">
        <v>86</v>
      </c>
    </row>
    <row r="433">
      <c r="A433" s="2" t="s">
        <v>2576</v>
      </c>
      <c r="B433" s="2" t="s">
        <v>279</v>
      </c>
      <c r="C433" s="2" t="s">
        <v>2381</v>
      </c>
      <c r="D433" s="2" t="s">
        <v>281</v>
      </c>
      <c r="E433" s="2" t="s">
        <v>282</v>
      </c>
      <c r="F433" s="2" t="s">
        <v>2382</v>
      </c>
      <c r="G433" s="2" t="s">
        <v>2382</v>
      </c>
      <c r="H433" s="2" t="s">
        <v>2382</v>
      </c>
      <c r="I433" s="2" t="s">
        <v>2383</v>
      </c>
      <c r="J433" s="2" t="s">
        <v>228</v>
      </c>
      <c r="K433" s="2" t="s">
        <v>2577</v>
      </c>
      <c r="L433" s="3">
        <v>14.89</v>
      </c>
      <c r="M433" s="3">
        <v>15.63</v>
      </c>
      <c r="N433" s="3">
        <v>31.99</v>
      </c>
      <c r="O433" s="2" t="s">
        <v>230</v>
      </c>
      <c r="P433" s="2" t="s">
        <v>231</v>
      </c>
      <c r="Q433" s="2" t="s">
        <v>232</v>
      </c>
      <c r="R433" s="2" t="s">
        <v>233</v>
      </c>
      <c r="S433" s="2" t="s">
        <v>2578</v>
      </c>
      <c r="T433" s="2" t="s">
        <v>2310</v>
      </c>
      <c r="U433" s="2" t="s">
        <v>233</v>
      </c>
      <c r="V433" s="2" t="s">
        <v>2311</v>
      </c>
      <c r="W433" s="2" t="s">
        <v>237</v>
      </c>
      <c r="X433" s="2" t="s">
        <v>233</v>
      </c>
      <c r="Y433" s="2" t="s">
        <v>238</v>
      </c>
      <c r="Z433" s="4">
        <v>1105</v>
      </c>
      <c r="AA433" s="4">
        <f>=ROUNDDOWN(58.1578947368421,0)</f>
      </c>
      <c r="AB433" s="5">
        <v>19</v>
      </c>
      <c r="AC433" s="2" t="s">
        <v>140</v>
      </c>
      <c r="AD433" s="4">
        <v>503</v>
      </c>
      <c r="AE433" s="4">
        <v>575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233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233</v>
      </c>
      <c r="AW433" s="8" t="s">
        <v>233</v>
      </c>
      <c r="AX433" s="4" t="s">
        <v>233</v>
      </c>
      <c r="AY433" s="8" t="s">
        <v>233</v>
      </c>
      <c r="AZ433" s="7" t="s">
        <v>233</v>
      </c>
      <c r="BA433" s="7" t="s">
        <v>233</v>
      </c>
      <c r="BB433" s="7"/>
      <c r="BC433" s="4" t="s">
        <v>233</v>
      </c>
      <c r="BD433" s="8" t="s">
        <v>233</v>
      </c>
      <c r="BE433" s="4" t="s">
        <v>233</v>
      </c>
      <c r="BF433" s="8" t="s">
        <v>233</v>
      </c>
      <c r="BG433" s="7" t="s">
        <v>233</v>
      </c>
      <c r="BH433" s="7" t="s">
        <v>233</v>
      </c>
      <c r="BI433" s="7"/>
      <c r="BJ433" s="4">
        <v>200</v>
      </c>
      <c r="BK433" s="8">
        <v>3202.63</v>
      </c>
      <c r="BL433" s="2" t="s">
        <v>2579</v>
      </c>
      <c r="BM433" s="7"/>
      <c r="BN433" s="7"/>
      <c r="BO433" s="4"/>
      <c r="BP433" s="8"/>
      <c r="BQ433" s="4"/>
      <c r="BR433" s="8"/>
      <c r="BS433" s="7"/>
      <c r="BT433" s="7"/>
      <c r="BU433" s="2" t="s">
        <v>2387</v>
      </c>
      <c r="BV433" s="2" t="s">
        <v>233</v>
      </c>
      <c r="BW433" s="2" t="s">
        <v>233</v>
      </c>
      <c r="BX433" s="2" t="s">
        <v>241</v>
      </c>
      <c r="BY433" s="2" t="s">
        <v>242</v>
      </c>
      <c r="BZ433" s="2" t="s">
        <v>230</v>
      </c>
      <c r="CA433" s="2" t="s">
        <v>516</v>
      </c>
      <c r="CB433" s="2" t="s">
        <v>476</v>
      </c>
      <c r="CC433" s="2" t="s">
        <v>245</v>
      </c>
      <c r="CD433" s="2" t="s">
        <v>233</v>
      </c>
      <c r="CE433" s="4">
        <v>1105</v>
      </c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>
        <v>503</v>
      </c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>
        <v>72</v>
      </c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>
        <v>1121</v>
      </c>
      <c r="GD433" s="4">
        <v>1087</v>
      </c>
      <c r="GE433" s="4">
        <v>1556</v>
      </c>
      <c r="GF433" s="4">
        <v>1515</v>
      </c>
      <c r="GG433" s="4">
        <v>1446</v>
      </c>
      <c r="GH433" s="4">
        <v>1412</v>
      </c>
      <c r="GI433" s="4">
        <v>1379</v>
      </c>
      <c r="GJ433" s="4">
        <v>1355</v>
      </c>
      <c r="GK433" s="4">
        <v>1408</v>
      </c>
      <c r="GL433" s="4">
        <v>1387</v>
      </c>
      <c r="GM433" s="4">
        <v>1370</v>
      </c>
      <c r="GN433" s="4">
        <v>1357</v>
      </c>
      <c r="GO433" s="4">
        <v>1346</v>
      </c>
      <c r="GP433" s="4">
        <v>1335</v>
      </c>
      <c r="GQ433" s="4">
        <v>1323</v>
      </c>
      <c r="GR433" s="4">
        <v>1311</v>
      </c>
      <c r="GS433" s="4">
        <v>1299</v>
      </c>
      <c r="GT433" s="4">
        <v>1287</v>
      </c>
      <c r="GU433" s="4">
        <v>1277</v>
      </c>
      <c r="GV433" s="4">
        <v>1267</v>
      </c>
      <c r="GW433" s="4">
        <v>1258</v>
      </c>
      <c r="GX433" s="4">
        <v>1249</v>
      </c>
      <c r="GY433" s="4">
        <v>1240</v>
      </c>
      <c r="GZ433" s="4">
        <v>1231</v>
      </c>
      <c r="HA433" s="4">
        <v>1222</v>
      </c>
      <c r="HB433" s="4">
        <v>1213</v>
      </c>
      <c r="HC433" s="19">
        <v>25.5</v>
      </c>
      <c r="HD433" s="19">
        <v>24.7</v>
      </c>
      <c r="HE433" s="19">
        <v>35.4</v>
      </c>
      <c r="HF433" s="19">
        <v>37.9</v>
      </c>
      <c r="HG433" s="19">
        <v>51.6</v>
      </c>
      <c r="HH433" s="19">
        <v>58.8</v>
      </c>
      <c r="HI433" s="19">
        <v>69</v>
      </c>
      <c r="HJ433" s="19">
        <v>75.3</v>
      </c>
      <c r="HK433" s="19">
        <v>88</v>
      </c>
      <c r="HL433" s="19">
        <v>106.7</v>
      </c>
      <c r="HM433" s="19">
        <v>114.2</v>
      </c>
      <c r="HN433" s="19">
        <v>113.1</v>
      </c>
      <c r="HO433" s="19">
        <v>112.2</v>
      </c>
      <c r="HP433" s="19">
        <v>111.3</v>
      </c>
      <c r="HQ433" s="19">
        <v>110.3</v>
      </c>
      <c r="HR433" s="19">
        <v>119.2</v>
      </c>
      <c r="HS433" s="19">
        <v>129.9</v>
      </c>
      <c r="HT433" s="19">
        <v>128.7</v>
      </c>
      <c r="HU433" s="19">
        <v>141.9</v>
      </c>
      <c r="HV433" s="19">
        <v>140.8</v>
      </c>
      <c r="HW433" s="19">
        <v>139.8</v>
      </c>
      <c r="HX433" s="19">
        <v>138.8</v>
      </c>
      <c r="HY433" s="19">
        <v>137.8</v>
      </c>
      <c r="HZ433" s="19">
        <v>136.8</v>
      </c>
      <c r="IA433" s="19">
        <v>152.8</v>
      </c>
      <c r="IB433" s="19">
        <v>151.6</v>
      </c>
    </row>
    <row r="434">
      <c r="A434" s="2" t="s">
        <v>2580</v>
      </c>
      <c r="B434" s="2" t="s">
        <v>279</v>
      </c>
      <c r="C434" s="2" t="s">
        <v>2381</v>
      </c>
      <c r="D434" s="2" t="s">
        <v>281</v>
      </c>
      <c r="E434" s="2" t="s">
        <v>282</v>
      </c>
      <c r="F434" s="2" t="s">
        <v>2382</v>
      </c>
      <c r="G434" s="2" t="s">
        <v>2382</v>
      </c>
      <c r="H434" s="2" t="s">
        <v>2382</v>
      </c>
      <c r="I434" s="2" t="s">
        <v>2383</v>
      </c>
      <c r="J434" s="2" t="s">
        <v>252</v>
      </c>
      <c r="K434" s="2" t="s">
        <v>2577</v>
      </c>
      <c r="L434" s="3">
        <v>19.57</v>
      </c>
      <c r="M434" s="3">
        <v>20.55</v>
      </c>
      <c r="N434" s="3">
        <v>42.99</v>
      </c>
      <c r="O434" s="2" t="s">
        <v>230</v>
      </c>
      <c r="P434" s="2" t="s">
        <v>586</v>
      </c>
      <c r="Q434" s="2" t="s">
        <v>232</v>
      </c>
      <c r="R434" s="2" t="s">
        <v>233</v>
      </c>
      <c r="S434" s="2" t="s">
        <v>2578</v>
      </c>
      <c r="T434" s="2" t="s">
        <v>2310</v>
      </c>
      <c r="U434" s="2" t="s">
        <v>233</v>
      </c>
      <c r="V434" s="2" t="s">
        <v>2311</v>
      </c>
      <c r="W434" s="2" t="s">
        <v>237</v>
      </c>
      <c r="X434" s="2" t="s">
        <v>233</v>
      </c>
      <c r="Y434" s="2" t="s">
        <v>2432</v>
      </c>
      <c r="Z434" s="4">
        <v>784</v>
      </c>
      <c r="AA434" s="4">
        <f>=ROUNDDOWN(41.2631578947368,0)</f>
      </c>
      <c r="AB434" s="5">
        <v>19</v>
      </c>
      <c r="AC434" s="2" t="s">
        <v>140</v>
      </c>
      <c r="AD434" s="4">
        <v>420</v>
      </c>
      <c r="AE434" s="4">
        <v>487</v>
      </c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233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233</v>
      </c>
      <c r="AW434" s="8" t="s">
        <v>233</v>
      </c>
      <c r="AX434" s="4" t="s">
        <v>233</v>
      </c>
      <c r="AY434" s="8" t="s">
        <v>233</v>
      </c>
      <c r="AZ434" s="7" t="s">
        <v>233</v>
      </c>
      <c r="BA434" s="7" t="s">
        <v>233</v>
      </c>
      <c r="BB434" s="7"/>
      <c r="BC434" s="4" t="s">
        <v>233</v>
      </c>
      <c r="BD434" s="8" t="s">
        <v>233</v>
      </c>
      <c r="BE434" s="4" t="s">
        <v>233</v>
      </c>
      <c r="BF434" s="8" t="s">
        <v>233</v>
      </c>
      <c r="BG434" s="7" t="s">
        <v>233</v>
      </c>
      <c r="BH434" s="7" t="s">
        <v>233</v>
      </c>
      <c r="BI434" s="7"/>
      <c r="BJ434" s="4">
        <v>145</v>
      </c>
      <c r="BK434" s="8">
        <v>3068.62</v>
      </c>
      <c r="BL434" s="2" t="s">
        <v>726</v>
      </c>
      <c r="BM434" s="7"/>
      <c r="BN434" s="7"/>
      <c r="BO434" s="4"/>
      <c r="BP434" s="8"/>
      <c r="BQ434" s="4"/>
      <c r="BR434" s="8"/>
      <c r="BS434" s="7"/>
      <c r="BT434" s="7"/>
      <c r="BU434" s="2" t="s">
        <v>2387</v>
      </c>
      <c r="BV434" s="2" t="s">
        <v>233</v>
      </c>
      <c r="BW434" s="2" t="s">
        <v>233</v>
      </c>
      <c r="BX434" s="2" t="s">
        <v>241</v>
      </c>
      <c r="BY434" s="2" t="s">
        <v>242</v>
      </c>
      <c r="BZ434" s="2" t="s">
        <v>230</v>
      </c>
      <c r="CA434" s="2" t="s">
        <v>516</v>
      </c>
      <c r="CB434" s="2" t="s">
        <v>2581</v>
      </c>
      <c r="CC434" s="2" t="s">
        <v>245</v>
      </c>
      <c r="CD434" s="2" t="s">
        <v>233</v>
      </c>
      <c r="CE434" s="4">
        <v>784</v>
      </c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>
        <v>420</v>
      </c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>
        <v>67</v>
      </c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>
        <v>802</v>
      </c>
      <c r="GD434" s="4">
        <v>725</v>
      </c>
      <c r="GE434" s="4">
        <v>1112</v>
      </c>
      <c r="GF434" s="4">
        <v>1073</v>
      </c>
      <c r="GG434" s="4">
        <v>1009</v>
      </c>
      <c r="GH434" s="4">
        <v>977</v>
      </c>
      <c r="GI434" s="4">
        <v>946</v>
      </c>
      <c r="GJ434" s="4">
        <v>923</v>
      </c>
      <c r="GK434" s="4">
        <v>971</v>
      </c>
      <c r="GL434" s="4">
        <v>950</v>
      </c>
      <c r="GM434" s="4">
        <v>933</v>
      </c>
      <c r="GN434" s="4">
        <v>921</v>
      </c>
      <c r="GO434" s="4">
        <v>911</v>
      </c>
      <c r="GP434" s="4">
        <v>901</v>
      </c>
      <c r="GQ434" s="4">
        <v>890</v>
      </c>
      <c r="GR434" s="4">
        <v>879</v>
      </c>
      <c r="GS434" s="4">
        <v>868</v>
      </c>
      <c r="GT434" s="4">
        <v>857</v>
      </c>
      <c r="GU434" s="4">
        <v>847</v>
      </c>
      <c r="GV434" s="4">
        <v>837</v>
      </c>
      <c r="GW434" s="4">
        <v>828</v>
      </c>
      <c r="GX434" s="4">
        <v>819</v>
      </c>
      <c r="GY434" s="4">
        <v>810</v>
      </c>
      <c r="GZ434" s="4">
        <v>801</v>
      </c>
      <c r="HA434" s="4">
        <v>792</v>
      </c>
      <c r="HB434" s="4">
        <v>783</v>
      </c>
      <c r="HC434" s="19">
        <v>15.1</v>
      </c>
      <c r="HD434" s="19">
        <v>17.3</v>
      </c>
      <c r="HE434" s="19">
        <v>26.5</v>
      </c>
      <c r="HF434" s="19">
        <v>28.2</v>
      </c>
      <c r="HG434" s="19">
        <v>38.8</v>
      </c>
      <c r="HH434" s="19">
        <v>40.7</v>
      </c>
      <c r="HI434" s="19">
        <v>47.3</v>
      </c>
      <c r="HJ434" s="19">
        <v>54.3</v>
      </c>
      <c r="HK434" s="19">
        <v>64.7</v>
      </c>
      <c r="HL434" s="19">
        <v>79.2</v>
      </c>
      <c r="HM434" s="19">
        <v>84.8</v>
      </c>
      <c r="HN434" s="19">
        <v>92.1</v>
      </c>
      <c r="HO434" s="19">
        <v>82.8</v>
      </c>
      <c r="HP434" s="19">
        <v>81.9</v>
      </c>
      <c r="HQ434" s="19">
        <v>80.9</v>
      </c>
      <c r="HR434" s="19">
        <v>87.9</v>
      </c>
      <c r="HS434" s="19">
        <v>86.8</v>
      </c>
      <c r="HT434" s="19">
        <v>85.7</v>
      </c>
      <c r="HU434" s="19">
        <v>94.1</v>
      </c>
      <c r="HV434" s="19">
        <v>93</v>
      </c>
      <c r="HW434" s="19">
        <v>92</v>
      </c>
      <c r="HX434" s="19">
        <v>91</v>
      </c>
      <c r="HY434" s="19">
        <v>90</v>
      </c>
      <c r="HZ434" s="19">
        <v>89</v>
      </c>
      <c r="IA434" s="19">
        <v>99</v>
      </c>
      <c r="IB434" s="19">
        <v>97.9</v>
      </c>
    </row>
    <row r="435">
      <c r="A435" s="2" t="s">
        <v>2582</v>
      </c>
      <c r="B435" s="2" t="s">
        <v>279</v>
      </c>
      <c r="C435" s="2" t="s">
        <v>1411</v>
      </c>
      <c r="D435" s="2" t="s">
        <v>281</v>
      </c>
      <c r="E435" s="2" t="s">
        <v>282</v>
      </c>
      <c r="F435" s="2" t="s">
        <v>2583</v>
      </c>
      <c r="G435" s="2" t="s">
        <v>2583</v>
      </c>
      <c r="H435" s="2" t="s">
        <v>2583</v>
      </c>
      <c r="I435" s="2" t="s">
        <v>2584</v>
      </c>
      <c r="J435" s="2" t="s">
        <v>247</v>
      </c>
      <c r="K435" s="2" t="s">
        <v>2585</v>
      </c>
      <c r="L435" s="3">
        <v>15.22</v>
      </c>
      <c r="M435" s="3">
        <v>15.98</v>
      </c>
      <c r="N435" s="3">
        <v>32.99</v>
      </c>
      <c r="O435" s="2" t="s">
        <v>230</v>
      </c>
      <c r="P435" s="2" t="s">
        <v>231</v>
      </c>
      <c r="Q435" s="2" t="s">
        <v>232</v>
      </c>
      <c r="R435" s="2" t="s">
        <v>233</v>
      </c>
      <c r="S435" s="2" t="s">
        <v>2586</v>
      </c>
      <c r="T435" s="2" t="s">
        <v>2310</v>
      </c>
      <c r="U435" s="2" t="s">
        <v>781</v>
      </c>
      <c r="V435" s="2" t="s">
        <v>2311</v>
      </c>
      <c r="W435" s="2" t="s">
        <v>237</v>
      </c>
      <c r="X435" s="2" t="s">
        <v>712</v>
      </c>
      <c r="Y435" s="2" t="s">
        <v>2587</v>
      </c>
      <c r="Z435" s="4">
        <v>94</v>
      </c>
      <c r="AA435" s="4">
        <f>=ROUNDDOWN(7.23076923076923,0)</f>
      </c>
      <c r="AB435" s="5">
        <v>13</v>
      </c>
      <c r="AC435" s="2" t="s">
        <v>133</v>
      </c>
      <c r="AD435" s="4">
        <v>3384</v>
      </c>
      <c r="AE435" s="4">
        <v>3454</v>
      </c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233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 t="s">
        <v>233</v>
      </c>
      <c r="BD435" s="8" t="s">
        <v>233</v>
      </c>
      <c r="BE435" s="4" t="s">
        <v>233</v>
      </c>
      <c r="BF435" s="8" t="s">
        <v>233</v>
      </c>
      <c r="BG435" s="7" t="s">
        <v>233</v>
      </c>
      <c r="BH435" s="7" t="s">
        <v>233</v>
      </c>
      <c r="BI435" s="7"/>
      <c r="BJ435" s="4">
        <v>78</v>
      </c>
      <c r="BK435" s="8">
        <v>1392.74</v>
      </c>
      <c r="BL435" s="2" t="s">
        <v>2588</v>
      </c>
      <c r="BM435" s="7"/>
      <c r="BN435" s="7"/>
      <c r="BO435" s="4"/>
      <c r="BP435" s="8"/>
      <c r="BQ435" s="4"/>
      <c r="BR435" s="8"/>
      <c r="BS435" s="7"/>
      <c r="BT435" s="7"/>
      <c r="BU435" s="2" t="s">
        <v>2589</v>
      </c>
      <c r="BV435" s="2" t="s">
        <v>233</v>
      </c>
      <c r="BW435" s="2" t="s">
        <v>233</v>
      </c>
      <c r="BX435" s="2" t="s">
        <v>241</v>
      </c>
      <c r="BY435" s="2" t="s">
        <v>242</v>
      </c>
      <c r="BZ435" s="2" t="s">
        <v>230</v>
      </c>
      <c r="CA435" s="2" t="s">
        <v>2590</v>
      </c>
      <c r="CB435" s="2" t="s">
        <v>2591</v>
      </c>
      <c r="CC435" s="2" t="s">
        <v>245</v>
      </c>
      <c r="CD435" s="2" t="s">
        <v>233</v>
      </c>
      <c r="CE435" s="4"/>
      <c r="CF435" s="4"/>
      <c r="CG435" s="4"/>
      <c r="CH435" s="4"/>
      <c r="CI435" s="4"/>
      <c r="CJ435" s="4"/>
      <c r="CK435" s="4">
        <v>94</v>
      </c>
      <c r="CL435" s="4"/>
      <c r="CM435" s="4"/>
      <c r="CN435" s="4"/>
      <c r="CO435" s="4"/>
      <c r="CP435" s="4"/>
      <c r="CQ435" s="4"/>
      <c r="CR435" s="4"/>
      <c r="CS435" s="4">
        <v>3384</v>
      </c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>
        <v>70</v>
      </c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>
        <v>42</v>
      </c>
      <c r="GD435" s="4">
        <v>94</v>
      </c>
      <c r="GE435" s="4">
        <v>21</v>
      </c>
      <c r="GF435" s="4"/>
      <c r="GG435" s="4"/>
      <c r="GH435" s="4">
        <v>70</v>
      </c>
      <c r="GI435" s="4">
        <v>33</v>
      </c>
      <c r="GJ435" s="4">
        <v>17</v>
      </c>
      <c r="GK435" s="4">
        <v>4</v>
      </c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>
        <v>162</v>
      </c>
      <c r="GW435" s="4">
        <v>128</v>
      </c>
      <c r="GX435" s="4">
        <v>122</v>
      </c>
      <c r="GY435" s="4">
        <v>116</v>
      </c>
      <c r="GZ435" s="4">
        <v>110</v>
      </c>
      <c r="HA435" s="4">
        <v>104</v>
      </c>
      <c r="HB435" s="4">
        <v>98</v>
      </c>
      <c r="HC435" s="19">
        <v>1</v>
      </c>
      <c r="HD435" s="19">
        <v>2.5</v>
      </c>
      <c r="HE435" s="19">
        <v>0.8</v>
      </c>
      <c r="HF435" s="20">
        <v>0</v>
      </c>
      <c r="HG435" s="20">
        <v>0</v>
      </c>
      <c r="HH435" s="19">
        <v>3.7</v>
      </c>
      <c r="HI435" s="19">
        <v>3</v>
      </c>
      <c r="HJ435" s="19">
        <v>2.1</v>
      </c>
      <c r="HK435" s="19">
        <v>0.7</v>
      </c>
      <c r="HL435" s="20">
        <v>0</v>
      </c>
      <c r="HM435" s="20">
        <v>0</v>
      </c>
      <c r="HN435" s="20">
        <v>0</v>
      </c>
      <c r="HO435" s="20">
        <v>0</v>
      </c>
      <c r="HP435" s="20">
        <v>0</v>
      </c>
      <c r="HQ435" s="20">
        <v>0</v>
      </c>
      <c r="HR435" s="20">
        <v>0</v>
      </c>
      <c r="HS435" s="20">
        <v>0</v>
      </c>
      <c r="HT435" s="20">
        <v>0</v>
      </c>
      <c r="HU435" s="20">
        <v>0</v>
      </c>
      <c r="HV435" s="19">
        <v>12.5</v>
      </c>
      <c r="HW435" s="19">
        <v>21.3</v>
      </c>
      <c r="HX435" s="19">
        <v>20.3</v>
      </c>
      <c r="HY435" s="19">
        <v>19.3</v>
      </c>
      <c r="HZ435" s="19">
        <v>18.3</v>
      </c>
      <c r="IA435" s="19">
        <v>17.3</v>
      </c>
      <c r="IB435" s="19">
        <v>19.6</v>
      </c>
    </row>
    <row r="436">
      <c r="A436" s="2" t="s">
        <v>2592</v>
      </c>
      <c r="B436" s="2" t="s">
        <v>279</v>
      </c>
      <c r="C436" s="2" t="s">
        <v>1411</v>
      </c>
      <c r="D436" s="2" t="s">
        <v>281</v>
      </c>
      <c r="E436" s="2" t="s">
        <v>282</v>
      </c>
      <c r="F436" s="2" t="s">
        <v>2583</v>
      </c>
      <c r="G436" s="2" t="s">
        <v>2583</v>
      </c>
      <c r="H436" s="2" t="s">
        <v>2583</v>
      </c>
      <c r="I436" s="2" t="s">
        <v>2584</v>
      </c>
      <c r="J436" s="2" t="s">
        <v>252</v>
      </c>
      <c r="K436" s="2" t="s">
        <v>2593</v>
      </c>
      <c r="L436" s="3">
        <v>19.13</v>
      </c>
      <c r="M436" s="3">
        <v>20.09</v>
      </c>
      <c r="N436" s="3">
        <v>42.99</v>
      </c>
      <c r="O436" s="2" t="s">
        <v>230</v>
      </c>
      <c r="P436" s="2" t="s">
        <v>231</v>
      </c>
      <c r="Q436" s="2" t="s">
        <v>232</v>
      </c>
      <c r="R436" s="2" t="s">
        <v>233</v>
      </c>
      <c r="S436" s="2" t="s">
        <v>2594</v>
      </c>
      <c r="T436" s="2" t="s">
        <v>2310</v>
      </c>
      <c r="U436" s="2" t="s">
        <v>287</v>
      </c>
      <c r="V436" s="2" t="s">
        <v>2311</v>
      </c>
      <c r="W436" s="2" t="s">
        <v>237</v>
      </c>
      <c r="X436" s="2" t="s">
        <v>712</v>
      </c>
      <c r="Y436" s="2" t="s">
        <v>2587</v>
      </c>
      <c r="Z436" s="4">
        <v>102</v>
      </c>
      <c r="AA436" s="4">
        <f>=ROUNDDOWN(6.8,0)</f>
      </c>
      <c r="AB436" s="5">
        <v>15</v>
      </c>
      <c r="AC436" s="2" t="s">
        <v>133</v>
      </c>
      <c r="AD436" s="4">
        <v>3672</v>
      </c>
      <c r="AE436" s="4">
        <v>3804</v>
      </c>
      <c r="AF436" s="6">
        <v>65</v>
      </c>
      <c r="AG436" s="6"/>
      <c r="AH436" s="7">
        <v>0.0968</v>
      </c>
      <c r="AI436" s="4"/>
      <c r="AJ436" s="4">
        <f>=ROUNDDOWN({0},0)</f>
      </c>
      <c r="AK436" s="5"/>
      <c r="AL436" s="2" t="s">
        <v>233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 t="s">
        <v>233</v>
      </c>
      <c r="BD436" s="8" t="s">
        <v>233</v>
      </c>
      <c r="BE436" s="4" t="s">
        <v>233</v>
      </c>
      <c r="BF436" s="8" t="s">
        <v>233</v>
      </c>
      <c r="BG436" s="7" t="s">
        <v>233</v>
      </c>
      <c r="BH436" s="7" t="s">
        <v>233</v>
      </c>
      <c r="BI436" s="7"/>
      <c r="BJ436" s="4">
        <v>135</v>
      </c>
      <c r="BK436" s="8">
        <v>2999.7</v>
      </c>
      <c r="BL436" s="2" t="s">
        <v>351</v>
      </c>
      <c r="BM436" s="7"/>
      <c r="BN436" s="7"/>
      <c r="BO436" s="4"/>
      <c r="BP436" s="8"/>
      <c r="BQ436" s="4"/>
      <c r="BR436" s="8"/>
      <c r="BS436" s="7"/>
      <c r="BT436" s="7"/>
      <c r="BU436" s="2" t="s">
        <v>2589</v>
      </c>
      <c r="BV436" s="2" t="s">
        <v>233</v>
      </c>
      <c r="BW436" s="2" t="s">
        <v>233</v>
      </c>
      <c r="BX436" s="2" t="s">
        <v>241</v>
      </c>
      <c r="BY436" s="2" t="s">
        <v>242</v>
      </c>
      <c r="BZ436" s="2" t="s">
        <v>230</v>
      </c>
      <c r="CA436" s="2" t="s">
        <v>2590</v>
      </c>
      <c r="CB436" s="2" t="s">
        <v>2595</v>
      </c>
      <c r="CC436" s="2" t="s">
        <v>245</v>
      </c>
      <c r="CD436" s="2" t="s">
        <v>233</v>
      </c>
      <c r="CE436" s="4"/>
      <c r="CF436" s="4"/>
      <c r="CG436" s="4"/>
      <c r="CH436" s="4"/>
      <c r="CI436" s="4"/>
      <c r="CJ436" s="4"/>
      <c r="CK436" s="4">
        <v>102</v>
      </c>
      <c r="CL436" s="4"/>
      <c r="CM436" s="4"/>
      <c r="CN436" s="4"/>
      <c r="CO436" s="4"/>
      <c r="CP436" s="4"/>
      <c r="CQ436" s="4"/>
      <c r="CR436" s="4"/>
      <c r="CS436" s="4">
        <v>3672</v>
      </c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>
        <v>132</v>
      </c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>
        <v>102</v>
      </c>
      <c r="GE436" s="4"/>
      <c r="GF436" s="4"/>
      <c r="GG436" s="4"/>
      <c r="GH436" s="4">
        <v>132</v>
      </c>
      <c r="GI436" s="4">
        <v>60</v>
      </c>
      <c r="GJ436" s="4">
        <v>43</v>
      </c>
      <c r="GK436" s="4">
        <v>29</v>
      </c>
      <c r="GL436" s="4">
        <v>14</v>
      </c>
      <c r="GM436" s="4">
        <v>1</v>
      </c>
      <c r="GN436" s="4"/>
      <c r="GO436" s="4"/>
      <c r="GP436" s="4"/>
      <c r="GQ436" s="4"/>
      <c r="GR436" s="4"/>
      <c r="GS436" s="4"/>
      <c r="GT436" s="4"/>
      <c r="GU436" s="4"/>
      <c r="GV436" s="4">
        <v>150</v>
      </c>
      <c r="GW436" s="4">
        <v>108</v>
      </c>
      <c r="GX436" s="4">
        <v>101</v>
      </c>
      <c r="GY436" s="4">
        <v>94</v>
      </c>
      <c r="GZ436" s="4">
        <v>87</v>
      </c>
      <c r="HA436" s="4">
        <v>80</v>
      </c>
      <c r="HB436" s="4">
        <v>73</v>
      </c>
      <c r="HC436" s="20">
        <v>0</v>
      </c>
      <c r="HD436" s="19">
        <v>2.3</v>
      </c>
      <c r="HE436" s="20">
        <v>0</v>
      </c>
      <c r="HF436" s="20">
        <v>0</v>
      </c>
      <c r="HG436" s="20">
        <v>0</v>
      </c>
      <c r="HH436" s="19">
        <v>4.4</v>
      </c>
      <c r="HI436" s="19">
        <v>4</v>
      </c>
      <c r="HJ436" s="19">
        <v>3.6</v>
      </c>
      <c r="HK436" s="19">
        <v>3.2</v>
      </c>
      <c r="HL436" s="19">
        <v>2.3</v>
      </c>
      <c r="HM436" s="19">
        <v>0.3</v>
      </c>
      <c r="HN436" s="20">
        <v>0</v>
      </c>
      <c r="HO436" s="20">
        <v>0</v>
      </c>
      <c r="HP436" s="20">
        <v>0</v>
      </c>
      <c r="HQ436" s="20">
        <v>0</v>
      </c>
      <c r="HR436" s="20">
        <v>0</v>
      </c>
      <c r="HS436" s="20">
        <v>0</v>
      </c>
      <c r="HT436" s="20">
        <v>0</v>
      </c>
      <c r="HU436" s="20">
        <v>0</v>
      </c>
      <c r="HV436" s="19">
        <v>9.4</v>
      </c>
      <c r="HW436" s="19">
        <v>15.4</v>
      </c>
      <c r="HX436" s="19">
        <v>14.4</v>
      </c>
      <c r="HY436" s="19">
        <v>13.4</v>
      </c>
      <c r="HZ436" s="19">
        <v>12.4</v>
      </c>
      <c r="IA436" s="19">
        <v>13.3</v>
      </c>
      <c r="IB436" s="19">
        <v>12.2</v>
      </c>
    </row>
    <row r="437">
      <c r="A437" s="2" t="s">
        <v>2596</v>
      </c>
      <c r="B437" s="2" t="s">
        <v>279</v>
      </c>
      <c r="C437" s="2" t="s">
        <v>1411</v>
      </c>
      <c r="D437" s="2" t="s">
        <v>281</v>
      </c>
      <c r="E437" s="2" t="s">
        <v>282</v>
      </c>
      <c r="F437" s="2" t="s">
        <v>2583</v>
      </c>
      <c r="G437" s="2" t="s">
        <v>2583</v>
      </c>
      <c r="H437" s="2" t="s">
        <v>2583</v>
      </c>
      <c r="I437" s="2" t="s">
        <v>2584</v>
      </c>
      <c r="J437" s="2" t="s">
        <v>247</v>
      </c>
      <c r="K437" s="2" t="s">
        <v>2597</v>
      </c>
      <c r="L437" s="3">
        <v>15.22</v>
      </c>
      <c r="M437" s="3">
        <v>15.98</v>
      </c>
      <c r="N437" s="3">
        <v>32.99</v>
      </c>
      <c r="O437" s="2" t="s">
        <v>230</v>
      </c>
      <c r="P437" s="2" t="s">
        <v>231</v>
      </c>
      <c r="Q437" s="2" t="s">
        <v>232</v>
      </c>
      <c r="R437" s="2" t="s">
        <v>233</v>
      </c>
      <c r="S437" s="2" t="s">
        <v>2598</v>
      </c>
      <c r="T437" s="2" t="s">
        <v>2310</v>
      </c>
      <c r="U437" s="2" t="s">
        <v>781</v>
      </c>
      <c r="V437" s="2" t="s">
        <v>1431</v>
      </c>
      <c r="W437" s="2" t="s">
        <v>237</v>
      </c>
      <c r="X437" s="2" t="s">
        <v>712</v>
      </c>
      <c r="Y437" s="2" t="s">
        <v>2395</v>
      </c>
      <c r="Z437" s="4">
        <v>114</v>
      </c>
      <c r="AA437" s="4">
        <f>=ROUNDDOWN(7.125,0)</f>
      </c>
      <c r="AB437" s="5">
        <v>16</v>
      </c>
      <c r="AC437" s="2" t="s">
        <v>133</v>
      </c>
      <c r="AD437" s="4">
        <v>4032</v>
      </c>
      <c r="AE437" s="4">
        <v>4195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233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 t="s">
        <v>233</v>
      </c>
      <c r="BD437" s="8" t="s">
        <v>233</v>
      </c>
      <c r="BE437" s="4" t="s">
        <v>233</v>
      </c>
      <c r="BF437" s="8" t="s">
        <v>233</v>
      </c>
      <c r="BG437" s="7" t="s">
        <v>233</v>
      </c>
      <c r="BH437" s="7" t="s">
        <v>233</v>
      </c>
      <c r="BI437" s="7"/>
      <c r="BJ437" s="4">
        <v>173</v>
      </c>
      <c r="BK437" s="8">
        <v>3120.44</v>
      </c>
      <c r="BL437" s="2" t="s">
        <v>2554</v>
      </c>
      <c r="BM437" s="7"/>
      <c r="BN437" s="7"/>
      <c r="BO437" s="4"/>
      <c r="BP437" s="8"/>
      <c r="BQ437" s="4"/>
      <c r="BR437" s="8"/>
      <c r="BS437" s="7"/>
      <c r="BT437" s="7"/>
      <c r="BU437" s="2" t="s">
        <v>2589</v>
      </c>
      <c r="BV437" s="2" t="s">
        <v>233</v>
      </c>
      <c r="BW437" s="2" t="s">
        <v>233</v>
      </c>
      <c r="BX437" s="2" t="s">
        <v>241</v>
      </c>
      <c r="BY437" s="2" t="s">
        <v>242</v>
      </c>
      <c r="BZ437" s="2" t="s">
        <v>230</v>
      </c>
      <c r="CA437" s="2" t="s">
        <v>2396</v>
      </c>
      <c r="CB437" s="2" t="s">
        <v>1130</v>
      </c>
      <c r="CC437" s="2" t="s">
        <v>245</v>
      </c>
      <c r="CD437" s="2" t="s">
        <v>233</v>
      </c>
      <c r="CE437" s="4">
        <v>2</v>
      </c>
      <c r="CF437" s="4"/>
      <c r="CG437" s="4"/>
      <c r="CH437" s="4"/>
      <c r="CI437" s="4"/>
      <c r="CJ437" s="4"/>
      <c r="CK437" s="4">
        <v>112</v>
      </c>
      <c r="CL437" s="4"/>
      <c r="CM437" s="4"/>
      <c r="CN437" s="4"/>
      <c r="CO437" s="4"/>
      <c r="CP437" s="4"/>
      <c r="CQ437" s="4"/>
      <c r="CR437" s="4"/>
      <c r="CS437" s="4">
        <v>4032</v>
      </c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>
        <v>163</v>
      </c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>
        <v>59</v>
      </c>
      <c r="GD437" s="4">
        <v>112</v>
      </c>
      <c r="GE437" s="4">
        <v>40</v>
      </c>
      <c r="GF437" s="4">
        <v>6</v>
      </c>
      <c r="GG437" s="4"/>
      <c r="GH437" s="4">
        <v>163</v>
      </c>
      <c r="GI437" s="4">
        <v>125</v>
      </c>
      <c r="GJ437" s="4">
        <v>105</v>
      </c>
      <c r="GK437" s="4">
        <v>89</v>
      </c>
      <c r="GL437" s="4">
        <v>71</v>
      </c>
      <c r="GM437" s="4">
        <v>56</v>
      </c>
      <c r="GN437" s="4">
        <v>46</v>
      </c>
      <c r="GO437" s="4">
        <v>37</v>
      </c>
      <c r="GP437" s="4">
        <v>28</v>
      </c>
      <c r="GQ437" s="4">
        <v>18</v>
      </c>
      <c r="GR437" s="4">
        <v>8</v>
      </c>
      <c r="GS437" s="4"/>
      <c r="GT437" s="4"/>
      <c r="GU437" s="4"/>
      <c r="GV437" s="4">
        <v>84</v>
      </c>
      <c r="GW437" s="4">
        <v>63</v>
      </c>
      <c r="GX437" s="4">
        <v>56</v>
      </c>
      <c r="GY437" s="4">
        <v>49</v>
      </c>
      <c r="GZ437" s="4">
        <v>42</v>
      </c>
      <c r="HA437" s="4">
        <v>56</v>
      </c>
      <c r="HB437" s="4">
        <v>49</v>
      </c>
      <c r="HC437" s="19">
        <v>1.1</v>
      </c>
      <c r="HD437" s="19">
        <v>2.5</v>
      </c>
      <c r="HE437" s="19">
        <v>1.1</v>
      </c>
      <c r="HF437" s="19">
        <v>0.2</v>
      </c>
      <c r="HG437" s="20">
        <v>0</v>
      </c>
      <c r="HH437" s="19">
        <v>7.1</v>
      </c>
      <c r="HI437" s="19">
        <v>7.4</v>
      </c>
      <c r="HJ437" s="19">
        <v>7</v>
      </c>
      <c r="HK437" s="19">
        <v>6.8</v>
      </c>
      <c r="HL437" s="19">
        <v>6.5</v>
      </c>
      <c r="HM437" s="19">
        <v>5.6</v>
      </c>
      <c r="HN437" s="19">
        <v>4.6</v>
      </c>
      <c r="HO437" s="19">
        <v>4.1</v>
      </c>
      <c r="HP437" s="19">
        <v>3.5</v>
      </c>
      <c r="HQ437" s="19">
        <v>2.6</v>
      </c>
      <c r="HR437" s="19">
        <v>1.3</v>
      </c>
      <c r="HS437" s="20">
        <v>0</v>
      </c>
      <c r="HT437" s="20">
        <v>0</v>
      </c>
      <c r="HU437" s="20">
        <v>0</v>
      </c>
      <c r="HV437" s="19">
        <v>8.4</v>
      </c>
      <c r="HW437" s="19">
        <v>9</v>
      </c>
      <c r="HX437" s="19">
        <v>8</v>
      </c>
      <c r="HY437" s="19">
        <v>7</v>
      </c>
      <c r="HZ437" s="19">
        <v>6</v>
      </c>
      <c r="IA437" s="19">
        <v>9.3</v>
      </c>
      <c r="IB437" s="19">
        <v>8.2</v>
      </c>
    </row>
    <row r="438">
      <c r="A438" s="2" t="s">
        <v>2599</v>
      </c>
      <c r="B438" s="2" t="s">
        <v>761</v>
      </c>
      <c r="C438" s="2" t="s">
        <v>762</v>
      </c>
      <c r="D438" s="2" t="s">
        <v>1531</v>
      </c>
      <c r="E438" s="2" t="s">
        <v>1532</v>
      </c>
      <c r="F438" s="2" t="s">
        <v>2600</v>
      </c>
      <c r="G438" s="2" t="s">
        <v>2600</v>
      </c>
      <c r="H438" s="2" t="s">
        <v>2600</v>
      </c>
      <c r="I438" s="2" t="s">
        <v>1536</v>
      </c>
      <c r="J438" s="2" t="s">
        <v>741</v>
      </c>
      <c r="K438" s="2" t="s">
        <v>642</v>
      </c>
      <c r="L438" s="3">
        <v>261</v>
      </c>
      <c r="M438" s="3">
        <v>274.05</v>
      </c>
      <c r="N438" s="3">
        <v>549</v>
      </c>
      <c r="O438" s="2" t="s">
        <v>230</v>
      </c>
      <c r="P438" s="2" t="s">
        <v>231</v>
      </c>
      <c r="Q438" s="2" t="s">
        <v>232</v>
      </c>
      <c r="R438" s="2" t="s">
        <v>233</v>
      </c>
      <c r="S438" s="2" t="s">
        <v>2601</v>
      </c>
      <c r="T438" s="2" t="s">
        <v>233</v>
      </c>
      <c r="U438" s="2" t="s">
        <v>233</v>
      </c>
      <c r="V438" s="2" t="s">
        <v>236</v>
      </c>
      <c r="W438" s="2" t="s">
        <v>877</v>
      </c>
      <c r="X438" s="2" t="s">
        <v>233</v>
      </c>
      <c r="Y438" s="2" t="s">
        <v>238</v>
      </c>
      <c r="Z438" s="4">
        <v>200</v>
      </c>
      <c r="AA438" s="4">
        <f>=ROUNDDOWN(100,0)</f>
      </c>
      <c r="AB438" s="5">
        <v>2</v>
      </c>
      <c r="AC438" s="2" t="s">
        <v>1975</v>
      </c>
      <c r="AD438" s="4">
        <v>58</v>
      </c>
      <c r="AE438" s="4">
        <v>58</v>
      </c>
      <c r="AF438" s="6">
        <v>66</v>
      </c>
      <c r="AG438" s="6">
        <v>49</v>
      </c>
      <c r="AH438" s="7">
        <v>1</v>
      </c>
      <c r="AI438" s="4"/>
      <c r="AJ438" s="4">
        <f>=ROUNDDOWN({0},0)</f>
      </c>
      <c r="AK438" s="5"/>
      <c r="AL438" s="2" t="s">
        <v>233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233</v>
      </c>
      <c r="AW438" s="8" t="s">
        <v>233</v>
      </c>
      <c r="AX438" s="4" t="s">
        <v>233</v>
      </c>
      <c r="AY438" s="8" t="s">
        <v>233</v>
      </c>
      <c r="AZ438" s="7" t="s">
        <v>233</v>
      </c>
      <c r="BA438" s="7" t="s">
        <v>233</v>
      </c>
      <c r="BB438" s="7" t="s">
        <v>233</v>
      </c>
      <c r="BC438" s="4" t="s">
        <v>233</v>
      </c>
      <c r="BD438" s="8" t="s">
        <v>233</v>
      </c>
      <c r="BE438" s="4" t="s">
        <v>233</v>
      </c>
      <c r="BF438" s="8" t="s">
        <v>233</v>
      </c>
      <c r="BG438" s="7" t="s">
        <v>233</v>
      </c>
      <c r="BH438" s="7" t="s">
        <v>233</v>
      </c>
      <c r="BI438" s="7"/>
      <c r="BJ438" s="4">
        <v>8</v>
      </c>
      <c r="BK438" s="8">
        <v>2264.37</v>
      </c>
      <c r="BL438" s="2" t="s">
        <v>2602</v>
      </c>
      <c r="BM438" s="7"/>
      <c r="BN438" s="7"/>
      <c r="BO438" s="4"/>
      <c r="BP438" s="8"/>
      <c r="BQ438" s="4"/>
      <c r="BR438" s="8"/>
      <c r="BS438" s="7"/>
      <c r="BT438" s="7"/>
      <c r="BU438" s="2" t="s">
        <v>2603</v>
      </c>
      <c r="BV438" s="2" t="s">
        <v>233</v>
      </c>
      <c r="BW438" s="2" t="s">
        <v>233</v>
      </c>
      <c r="BX438" s="2" t="s">
        <v>293</v>
      </c>
      <c r="BY438" s="2" t="s">
        <v>242</v>
      </c>
      <c r="BZ438" s="2" t="s">
        <v>230</v>
      </c>
      <c r="CA438" s="2" t="s">
        <v>243</v>
      </c>
      <c r="CB438" s="2" t="s">
        <v>2604</v>
      </c>
      <c r="CC438" s="2" t="s">
        <v>245</v>
      </c>
      <c r="CD438" s="2" t="s">
        <v>233</v>
      </c>
      <c r="CE438" s="4"/>
      <c r="CF438" s="4">
        <v>142</v>
      </c>
      <c r="CG438" s="4"/>
      <c r="CH438" s="4">
        <v>58</v>
      </c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>
        <v>58</v>
      </c>
      <c r="FT438" s="4"/>
      <c r="FU438" s="4"/>
      <c r="FV438" s="4"/>
      <c r="FW438" s="4"/>
      <c r="FX438" s="4"/>
      <c r="FY438" s="4"/>
      <c r="FZ438" s="4"/>
      <c r="GA438" s="4"/>
      <c r="GB438" s="4"/>
      <c r="GC438" s="4">
        <v>200</v>
      </c>
      <c r="GD438" s="4">
        <v>198</v>
      </c>
      <c r="GE438" s="4">
        <v>196</v>
      </c>
      <c r="GF438" s="4">
        <v>194</v>
      </c>
      <c r="GG438" s="4">
        <v>190</v>
      </c>
      <c r="GH438" s="4">
        <v>188</v>
      </c>
      <c r="GI438" s="4">
        <v>186</v>
      </c>
      <c r="GJ438" s="4">
        <v>184</v>
      </c>
      <c r="GK438" s="4">
        <v>182</v>
      </c>
      <c r="GL438" s="4">
        <v>180</v>
      </c>
      <c r="GM438" s="4">
        <v>178</v>
      </c>
      <c r="GN438" s="4">
        <v>176</v>
      </c>
      <c r="GO438" s="4">
        <v>174</v>
      </c>
      <c r="GP438" s="4">
        <v>172</v>
      </c>
      <c r="GQ438" s="4">
        <v>170</v>
      </c>
      <c r="GR438" s="4">
        <v>168</v>
      </c>
      <c r="GS438" s="4">
        <v>166</v>
      </c>
      <c r="GT438" s="4">
        <v>222</v>
      </c>
      <c r="GU438" s="4">
        <v>220</v>
      </c>
      <c r="GV438" s="4">
        <v>218</v>
      </c>
      <c r="GW438" s="4">
        <v>216</v>
      </c>
      <c r="GX438" s="4">
        <v>214</v>
      </c>
      <c r="GY438" s="4">
        <v>212</v>
      </c>
      <c r="GZ438" s="4">
        <v>210</v>
      </c>
      <c r="HA438" s="4">
        <v>208</v>
      </c>
      <c r="HB438" s="4">
        <v>206</v>
      </c>
      <c r="HC438" s="19">
        <v>100</v>
      </c>
      <c r="HD438" s="19">
        <v>99</v>
      </c>
      <c r="HE438" s="19">
        <v>98</v>
      </c>
      <c r="HF438" s="19">
        <v>97</v>
      </c>
      <c r="HG438" s="19">
        <v>95</v>
      </c>
      <c r="HH438" s="19">
        <v>94</v>
      </c>
      <c r="HI438" s="19">
        <v>93</v>
      </c>
      <c r="HJ438" s="19">
        <v>92</v>
      </c>
      <c r="HK438" s="19">
        <v>91</v>
      </c>
      <c r="HL438" s="19">
        <v>90</v>
      </c>
      <c r="HM438" s="19">
        <v>89</v>
      </c>
      <c r="HN438" s="19">
        <v>88</v>
      </c>
      <c r="HO438" s="19">
        <v>87</v>
      </c>
      <c r="HP438" s="19">
        <v>86</v>
      </c>
      <c r="HQ438" s="19">
        <v>85</v>
      </c>
      <c r="HR438" s="19">
        <v>84</v>
      </c>
      <c r="HS438" s="19">
        <v>83</v>
      </c>
      <c r="HT438" s="19">
        <v>111</v>
      </c>
      <c r="HU438" s="19">
        <v>110</v>
      </c>
      <c r="HV438" s="19">
        <v>109</v>
      </c>
      <c r="HW438" s="19">
        <v>108</v>
      </c>
      <c r="HX438" s="19">
        <v>107</v>
      </c>
      <c r="HY438" s="19">
        <v>106</v>
      </c>
      <c r="HZ438" s="19">
        <v>105</v>
      </c>
      <c r="IA438" s="19">
        <v>104</v>
      </c>
      <c r="IB438" s="19">
        <v>103</v>
      </c>
    </row>
    <row r="439">
      <c r="A439" s="2" t="s">
        <v>2605</v>
      </c>
      <c r="B439" s="2" t="s">
        <v>761</v>
      </c>
      <c r="C439" s="2" t="s">
        <v>762</v>
      </c>
      <c r="D439" s="2" t="s">
        <v>763</v>
      </c>
      <c r="E439" s="2" t="s">
        <v>2109</v>
      </c>
      <c r="F439" s="2" t="s">
        <v>2600</v>
      </c>
      <c r="G439" s="2" t="s">
        <v>2600</v>
      </c>
      <c r="H439" s="2" t="s">
        <v>2600</v>
      </c>
      <c r="I439" s="2" t="s">
        <v>2109</v>
      </c>
      <c r="J439" s="2" t="s">
        <v>741</v>
      </c>
      <c r="K439" s="2" t="s">
        <v>642</v>
      </c>
      <c r="L439" s="3">
        <v>133</v>
      </c>
      <c r="M439" s="3">
        <v>139.65</v>
      </c>
      <c r="N439" s="3">
        <v>279</v>
      </c>
      <c r="O439" s="2" t="s">
        <v>230</v>
      </c>
      <c r="P439" s="2" t="s">
        <v>231</v>
      </c>
      <c r="Q439" s="2" t="s">
        <v>232</v>
      </c>
      <c r="R439" s="2" t="s">
        <v>233</v>
      </c>
      <c r="S439" s="2" t="s">
        <v>2606</v>
      </c>
      <c r="T439" s="2" t="s">
        <v>233</v>
      </c>
      <c r="U439" s="2" t="s">
        <v>233</v>
      </c>
      <c r="V439" s="2" t="s">
        <v>236</v>
      </c>
      <c r="W439" s="2" t="s">
        <v>712</v>
      </c>
      <c r="X439" s="2" t="s">
        <v>233</v>
      </c>
      <c r="Y439" s="2" t="s">
        <v>238</v>
      </c>
      <c r="Z439" s="4">
        <v>354</v>
      </c>
      <c r="AA439" s="4">
        <f>=ROUNDDOWN(27.2307692307692,0)</f>
      </c>
      <c r="AB439" s="5">
        <v>13</v>
      </c>
      <c r="AC439" s="2" t="s">
        <v>2607</v>
      </c>
      <c r="AD439" s="4">
        <v>160</v>
      </c>
      <c r="AE439" s="4">
        <v>160</v>
      </c>
      <c r="AF439" s="6">
        <v>66</v>
      </c>
      <c r="AG439" s="6">
        <v>49</v>
      </c>
      <c r="AH439" s="7">
        <v>1</v>
      </c>
      <c r="AI439" s="4"/>
      <c r="AJ439" s="4">
        <f>=ROUNDDOWN({0},0)</f>
      </c>
      <c r="AK439" s="5"/>
      <c r="AL439" s="2" t="s">
        <v>233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233</v>
      </c>
      <c r="AW439" s="8" t="s">
        <v>233</v>
      </c>
      <c r="AX439" s="4" t="s">
        <v>233</v>
      </c>
      <c r="AY439" s="8" t="s">
        <v>233</v>
      </c>
      <c r="AZ439" s="7" t="s">
        <v>233</v>
      </c>
      <c r="BA439" s="7" t="s">
        <v>233</v>
      </c>
      <c r="BB439" s="7" t="s">
        <v>233</v>
      </c>
      <c r="BC439" s="4" t="s">
        <v>233</v>
      </c>
      <c r="BD439" s="8" t="s">
        <v>233</v>
      </c>
      <c r="BE439" s="4" t="s">
        <v>233</v>
      </c>
      <c r="BF439" s="8" t="s">
        <v>233</v>
      </c>
      <c r="BG439" s="7" t="s">
        <v>233</v>
      </c>
      <c r="BH439" s="7" t="s">
        <v>233</v>
      </c>
      <c r="BI439" s="7"/>
      <c r="BJ439" s="4">
        <v>42</v>
      </c>
      <c r="BK439" s="8">
        <v>5486.77</v>
      </c>
      <c r="BL439" s="2" t="s">
        <v>2608</v>
      </c>
      <c r="BM439" s="7"/>
      <c r="BN439" s="7"/>
      <c r="BO439" s="4"/>
      <c r="BP439" s="8"/>
      <c r="BQ439" s="4"/>
      <c r="BR439" s="8"/>
      <c r="BS439" s="7"/>
      <c r="BT439" s="7"/>
      <c r="BU439" s="2" t="s">
        <v>2609</v>
      </c>
      <c r="BV439" s="2" t="s">
        <v>233</v>
      </c>
      <c r="BW439" s="2" t="s">
        <v>233</v>
      </c>
      <c r="BX439" s="2" t="s">
        <v>293</v>
      </c>
      <c r="BY439" s="2" t="s">
        <v>242</v>
      </c>
      <c r="BZ439" s="2" t="s">
        <v>230</v>
      </c>
      <c r="CA439" s="2" t="s">
        <v>243</v>
      </c>
      <c r="CB439" s="2" t="s">
        <v>2610</v>
      </c>
      <c r="CC439" s="2" t="s">
        <v>245</v>
      </c>
      <c r="CD439" s="2" t="s">
        <v>233</v>
      </c>
      <c r="CE439" s="4"/>
      <c r="CF439" s="4">
        <v>354</v>
      </c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>
        <v>160</v>
      </c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>
        <v>354</v>
      </c>
      <c r="GD439" s="4">
        <v>340</v>
      </c>
      <c r="GE439" s="4">
        <v>320</v>
      </c>
      <c r="GF439" s="4">
        <v>307</v>
      </c>
      <c r="GG439" s="4">
        <v>280</v>
      </c>
      <c r="GH439" s="4">
        <v>249</v>
      </c>
      <c r="GI439" s="4">
        <v>396</v>
      </c>
      <c r="GJ439" s="4">
        <v>387</v>
      </c>
      <c r="GK439" s="4">
        <v>377</v>
      </c>
      <c r="GL439" s="4">
        <v>365</v>
      </c>
      <c r="GM439" s="4">
        <v>356</v>
      </c>
      <c r="GN439" s="4">
        <v>344</v>
      </c>
      <c r="GO439" s="4">
        <v>335</v>
      </c>
      <c r="GP439" s="4">
        <v>326</v>
      </c>
      <c r="GQ439" s="4">
        <v>316</v>
      </c>
      <c r="GR439" s="4">
        <v>306</v>
      </c>
      <c r="GS439" s="4">
        <v>296</v>
      </c>
      <c r="GT439" s="4">
        <v>284</v>
      </c>
      <c r="GU439" s="4">
        <v>274</v>
      </c>
      <c r="GV439" s="4">
        <v>262</v>
      </c>
      <c r="GW439" s="4">
        <v>250</v>
      </c>
      <c r="GX439" s="4">
        <v>238</v>
      </c>
      <c r="GY439" s="4">
        <v>226</v>
      </c>
      <c r="GZ439" s="4">
        <v>213</v>
      </c>
      <c r="HA439" s="4">
        <v>200</v>
      </c>
      <c r="HB439" s="4">
        <v>187</v>
      </c>
      <c r="HC439" s="19">
        <v>9.9</v>
      </c>
      <c r="HD439" s="19">
        <v>7.4</v>
      </c>
      <c r="HE439" s="19">
        <v>7.6</v>
      </c>
      <c r="HF439" s="19">
        <v>7.7</v>
      </c>
      <c r="HG439" s="19">
        <v>8.8</v>
      </c>
      <c r="HH439" s="19">
        <v>11.3</v>
      </c>
      <c r="HI439" s="19">
        <v>19.8</v>
      </c>
      <c r="HJ439" s="19">
        <v>17.6</v>
      </c>
      <c r="HK439" s="19">
        <v>18.9</v>
      </c>
      <c r="HL439" s="19">
        <v>18.3</v>
      </c>
      <c r="HM439" s="19">
        <v>17.8</v>
      </c>
      <c r="HN439" s="19">
        <v>17.2</v>
      </c>
      <c r="HO439" s="19">
        <v>16.8</v>
      </c>
      <c r="HP439" s="19">
        <v>16.3</v>
      </c>
      <c r="HQ439" s="19">
        <v>15.8</v>
      </c>
      <c r="HR439" s="19">
        <v>13.9</v>
      </c>
      <c r="HS439" s="19">
        <v>12.4</v>
      </c>
      <c r="HT439" s="19">
        <v>11.9</v>
      </c>
      <c r="HU439" s="19">
        <v>11.4</v>
      </c>
      <c r="HV439" s="19">
        <v>10.9</v>
      </c>
      <c r="HW439" s="19">
        <v>10.4</v>
      </c>
      <c r="HX439" s="19">
        <v>9.2</v>
      </c>
      <c r="HY439" s="19">
        <v>8.7</v>
      </c>
      <c r="HZ439" s="19">
        <v>8.2</v>
      </c>
      <c r="IA439" s="19">
        <v>7.7</v>
      </c>
      <c r="IB439" s="19">
        <v>7.2</v>
      </c>
    </row>
    <row r="440">
      <c r="A440" s="2" t="s">
        <v>2611</v>
      </c>
      <c r="B440" s="2" t="s">
        <v>736</v>
      </c>
      <c r="C440" s="2" t="s">
        <v>280</v>
      </c>
      <c r="D440" s="2" t="s">
        <v>1185</v>
      </c>
      <c r="E440" s="2" t="s">
        <v>2612</v>
      </c>
      <c r="F440" s="2" t="s">
        <v>2613</v>
      </c>
      <c r="G440" s="2" t="s">
        <v>2613</v>
      </c>
      <c r="H440" s="2" t="s">
        <v>2613</v>
      </c>
      <c r="I440" s="2" t="s">
        <v>2614</v>
      </c>
      <c r="J440" s="2" t="s">
        <v>741</v>
      </c>
      <c r="K440" s="2" t="s">
        <v>2615</v>
      </c>
      <c r="L440" s="3">
        <v>28.22</v>
      </c>
      <c r="M440" s="3">
        <v>29.63</v>
      </c>
      <c r="N440" s="3">
        <v>59.49</v>
      </c>
      <c r="O440" s="2" t="s">
        <v>230</v>
      </c>
      <c r="P440" s="2" t="s">
        <v>231</v>
      </c>
      <c r="Q440" s="2" t="s">
        <v>232</v>
      </c>
      <c r="R440" s="2" t="s">
        <v>233</v>
      </c>
      <c r="S440" s="2" t="s">
        <v>2616</v>
      </c>
      <c r="T440" s="2" t="s">
        <v>233</v>
      </c>
      <c r="U440" s="2" t="s">
        <v>329</v>
      </c>
      <c r="V440" s="2" t="s">
        <v>2617</v>
      </c>
      <c r="W440" s="2" t="s">
        <v>1141</v>
      </c>
      <c r="X440" s="2" t="s">
        <v>233</v>
      </c>
      <c r="Y440" s="2" t="s">
        <v>2618</v>
      </c>
      <c r="Z440" s="4">
        <v>127</v>
      </c>
      <c r="AA440" s="4">
        <f>=ROUNDDOWN(12.7,0)</f>
      </c>
      <c r="AB440" s="5">
        <v>10</v>
      </c>
      <c r="AC440" s="2" t="s">
        <v>140</v>
      </c>
      <c r="AD440" s="4">
        <v>50</v>
      </c>
      <c r="AE440" s="4">
        <v>150</v>
      </c>
      <c r="AF440" s="6">
        <v>65</v>
      </c>
      <c r="AG440" s="6">
        <v>48</v>
      </c>
      <c r="AH440" s="7">
        <v>1</v>
      </c>
      <c r="AI440" s="4"/>
      <c r="AJ440" s="4">
        <f>=ROUNDDOWN({0},0)</f>
      </c>
      <c r="AK440" s="5"/>
      <c r="AL440" s="2" t="s">
        <v>233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/>
      <c r="BD440" s="8"/>
      <c r="BE440" s="4"/>
      <c r="BF440" s="8"/>
      <c r="BG440" s="7"/>
      <c r="BH440" s="7"/>
      <c r="BI440" s="7"/>
      <c r="BJ440" s="4">
        <v>47</v>
      </c>
      <c r="BK440" s="8">
        <v>1619.47</v>
      </c>
      <c r="BL440" s="2" t="s">
        <v>2619</v>
      </c>
      <c r="BM440" s="7"/>
      <c r="BN440" s="7"/>
      <c r="BO440" s="4"/>
      <c r="BP440" s="8"/>
      <c r="BQ440" s="4"/>
      <c r="BR440" s="8"/>
      <c r="BS440" s="7"/>
      <c r="BT440" s="7"/>
      <c r="BU440" s="2" t="s">
        <v>2620</v>
      </c>
      <c r="BV440" s="2" t="s">
        <v>233</v>
      </c>
      <c r="BW440" s="2" t="s">
        <v>233</v>
      </c>
      <c r="BX440" s="2" t="s">
        <v>241</v>
      </c>
      <c r="BY440" s="2" t="s">
        <v>242</v>
      </c>
      <c r="BZ440" s="2" t="s">
        <v>230</v>
      </c>
      <c r="CA440" s="2" t="s">
        <v>2621</v>
      </c>
      <c r="CB440" s="2" t="s">
        <v>2622</v>
      </c>
      <c r="CC440" s="2" t="s">
        <v>245</v>
      </c>
      <c r="CD440" s="2" t="s">
        <v>233</v>
      </c>
      <c r="CE440" s="4"/>
      <c r="CF440" s="4">
        <v>77</v>
      </c>
      <c r="CG440" s="4"/>
      <c r="CH440" s="4"/>
      <c r="CI440" s="4"/>
      <c r="CJ440" s="4"/>
      <c r="CK440" s="4"/>
      <c r="CL440" s="4"/>
      <c r="CM440" s="4"/>
      <c r="CN440" s="4"/>
      <c r="CO440" s="4">
        <v>50</v>
      </c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>
        <v>50</v>
      </c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>
        <v>100</v>
      </c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>
        <v>134</v>
      </c>
      <c r="GD440" s="4">
        <v>107</v>
      </c>
      <c r="GE440" s="4">
        <v>145</v>
      </c>
      <c r="GF440" s="4">
        <v>133</v>
      </c>
      <c r="GG440" s="4">
        <v>118</v>
      </c>
      <c r="GH440" s="4">
        <v>106</v>
      </c>
      <c r="GI440" s="4">
        <v>91</v>
      </c>
      <c r="GJ440" s="4">
        <v>81</v>
      </c>
      <c r="GK440" s="4">
        <v>71</v>
      </c>
      <c r="GL440" s="4">
        <v>61</v>
      </c>
      <c r="GM440" s="4">
        <v>51</v>
      </c>
      <c r="GN440" s="4">
        <v>41</v>
      </c>
      <c r="GO440" s="4">
        <v>31</v>
      </c>
      <c r="GP440" s="4">
        <v>21</v>
      </c>
      <c r="GQ440" s="4">
        <v>111</v>
      </c>
      <c r="GR440" s="4">
        <v>101</v>
      </c>
      <c r="GS440" s="4">
        <v>91</v>
      </c>
      <c r="GT440" s="4">
        <v>79</v>
      </c>
      <c r="GU440" s="4">
        <v>69</v>
      </c>
      <c r="GV440" s="4">
        <v>59</v>
      </c>
      <c r="GW440" s="4">
        <v>49</v>
      </c>
      <c r="GX440" s="4">
        <v>39</v>
      </c>
      <c r="GY440" s="4">
        <v>29</v>
      </c>
      <c r="GZ440" s="4">
        <v>121</v>
      </c>
      <c r="HA440" s="4">
        <v>111</v>
      </c>
      <c r="HB440" s="4">
        <v>101</v>
      </c>
      <c r="HC440" s="19">
        <v>2.7</v>
      </c>
      <c r="HD440" s="19">
        <v>2.3</v>
      </c>
      <c r="HE440" s="19">
        <v>3.5</v>
      </c>
      <c r="HF440" s="19">
        <v>3.3</v>
      </c>
      <c r="HG440" s="19">
        <v>2.9</v>
      </c>
      <c r="HH440" s="19">
        <v>2.6</v>
      </c>
      <c r="HI440" s="19">
        <v>2.1</v>
      </c>
      <c r="HJ440" s="19">
        <v>14.3</v>
      </c>
      <c r="HK440" s="19">
        <v>8</v>
      </c>
      <c r="HL440" s="19">
        <v>5.5</v>
      </c>
      <c r="HM440" s="19">
        <v>2.5</v>
      </c>
      <c r="HN440" s="19">
        <v>2.6</v>
      </c>
      <c r="HO440" s="19">
        <v>3.1</v>
      </c>
      <c r="HP440" s="19">
        <v>5.3</v>
      </c>
      <c r="HQ440" s="19">
        <v>5</v>
      </c>
      <c r="HR440" s="19">
        <v>4.5</v>
      </c>
      <c r="HS440" s="19">
        <v>4</v>
      </c>
      <c r="HT440" s="19">
        <v>3.4</v>
      </c>
      <c r="HU440" s="19">
        <v>2.9</v>
      </c>
      <c r="HV440" s="19">
        <v>2.4</v>
      </c>
      <c r="HW440" s="19">
        <v>1.9</v>
      </c>
      <c r="HX440" s="19">
        <v>1.4</v>
      </c>
      <c r="HY440" s="19">
        <v>0.9</v>
      </c>
      <c r="HZ440" s="19">
        <v>5.5</v>
      </c>
      <c r="IA440" s="19">
        <v>5</v>
      </c>
      <c r="IB440" s="19">
        <v>4.5</v>
      </c>
    </row>
    <row r="441">
      <c r="A441" s="2" t="s">
        <v>2623</v>
      </c>
      <c r="B441" s="2" t="s">
        <v>825</v>
      </c>
      <c r="C441" s="2" t="s">
        <v>1411</v>
      </c>
      <c r="D441" s="2" t="s">
        <v>261</v>
      </c>
      <c r="E441" s="2" t="s">
        <v>603</v>
      </c>
      <c r="F441" s="2" t="s">
        <v>2624</v>
      </c>
      <c r="G441" s="2" t="s">
        <v>2091</v>
      </c>
      <c r="H441" s="2" t="s">
        <v>2625</v>
      </c>
      <c r="I441" s="2" t="s">
        <v>1051</v>
      </c>
      <c r="J441" s="2" t="s">
        <v>1052</v>
      </c>
      <c r="K441" s="2" t="s">
        <v>300</v>
      </c>
      <c r="L441" s="3">
        <v>31.5</v>
      </c>
      <c r="M441" s="3">
        <v>33.08</v>
      </c>
      <c r="N441" s="3">
        <v>69.99</v>
      </c>
      <c r="O441" s="2" t="s">
        <v>230</v>
      </c>
      <c r="P441" s="2" t="s">
        <v>721</v>
      </c>
      <c r="Q441" s="2" t="s">
        <v>232</v>
      </c>
      <c r="R441" s="2" t="s">
        <v>233</v>
      </c>
      <c r="S441" s="2" t="s">
        <v>2626</v>
      </c>
      <c r="T441" s="2" t="s">
        <v>469</v>
      </c>
      <c r="U441" s="2" t="s">
        <v>287</v>
      </c>
      <c r="V441" s="2" t="s">
        <v>914</v>
      </c>
      <c r="W441" s="2" t="s">
        <v>237</v>
      </c>
      <c r="X441" s="2" t="s">
        <v>915</v>
      </c>
      <c r="Y441" s="2" t="s">
        <v>238</v>
      </c>
      <c r="Z441" s="4">
        <v>733</v>
      </c>
      <c r="AA441" s="4">
        <f>=ROUNDDOWN(366.5,0)</f>
      </c>
      <c r="AB441" s="5">
        <v>2</v>
      </c>
      <c r="AC441" s="2" t="s">
        <v>233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233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233</v>
      </c>
      <c r="AW441" s="8" t="s">
        <v>233</v>
      </c>
      <c r="AX441" s="4" t="s">
        <v>233</v>
      </c>
      <c r="AY441" s="8" t="s">
        <v>233</v>
      </c>
      <c r="AZ441" s="7" t="s">
        <v>233</v>
      </c>
      <c r="BA441" s="7" t="s">
        <v>233</v>
      </c>
      <c r="BB441" s="7"/>
      <c r="BC441" s="4" t="s">
        <v>233</v>
      </c>
      <c r="BD441" s="8" t="s">
        <v>233</v>
      </c>
      <c r="BE441" s="4" t="s">
        <v>233</v>
      </c>
      <c r="BF441" s="8" t="s">
        <v>233</v>
      </c>
      <c r="BG441" s="7" t="s">
        <v>233</v>
      </c>
      <c r="BH441" s="7" t="s">
        <v>233</v>
      </c>
      <c r="BI441" s="7"/>
      <c r="BJ441" s="4">
        <v>13</v>
      </c>
      <c r="BK441" s="8">
        <v>430.85</v>
      </c>
      <c r="BL441" s="2" t="s">
        <v>2627</v>
      </c>
      <c r="BM441" s="7"/>
      <c r="BN441" s="7"/>
      <c r="BO441" s="4"/>
      <c r="BP441" s="8"/>
      <c r="BQ441" s="4"/>
      <c r="BR441" s="8"/>
      <c r="BS441" s="7"/>
      <c r="BT441" s="7"/>
      <c r="BU441" s="2" t="s">
        <v>2628</v>
      </c>
      <c r="BV441" s="2" t="s">
        <v>233</v>
      </c>
      <c r="BW441" s="2" t="s">
        <v>233</v>
      </c>
      <c r="BX441" s="2" t="s">
        <v>241</v>
      </c>
      <c r="BY441" s="2" t="s">
        <v>242</v>
      </c>
      <c r="BZ441" s="2" t="s">
        <v>230</v>
      </c>
      <c r="CA441" s="2" t="s">
        <v>243</v>
      </c>
      <c r="CB441" s="2" t="s">
        <v>1057</v>
      </c>
      <c r="CC441" s="2" t="s">
        <v>245</v>
      </c>
      <c r="CD441" s="2" t="s">
        <v>233</v>
      </c>
      <c r="CE441" s="4">
        <v>733</v>
      </c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>
        <v>733</v>
      </c>
      <c r="GD441" s="4">
        <v>728</v>
      </c>
      <c r="GE441" s="4">
        <v>723</v>
      </c>
      <c r="GF441" s="4">
        <v>718</v>
      </c>
      <c r="GG441" s="4">
        <v>713</v>
      </c>
      <c r="GH441" s="4">
        <v>708</v>
      </c>
      <c r="GI441" s="4">
        <v>703</v>
      </c>
      <c r="GJ441" s="4">
        <v>698</v>
      </c>
      <c r="GK441" s="4">
        <v>693</v>
      </c>
      <c r="GL441" s="4">
        <v>688</v>
      </c>
      <c r="GM441" s="4">
        <v>686</v>
      </c>
      <c r="GN441" s="4">
        <v>684</v>
      </c>
      <c r="GO441" s="4">
        <v>682</v>
      </c>
      <c r="GP441" s="4">
        <v>680</v>
      </c>
      <c r="GQ441" s="4">
        <v>678</v>
      </c>
      <c r="GR441" s="4">
        <v>676</v>
      </c>
      <c r="GS441" s="4">
        <v>674</v>
      </c>
      <c r="GT441" s="4">
        <v>672</v>
      </c>
      <c r="GU441" s="4">
        <v>670</v>
      </c>
      <c r="GV441" s="4">
        <v>668</v>
      </c>
      <c r="GW441" s="4">
        <v>666</v>
      </c>
      <c r="GX441" s="4">
        <v>664</v>
      </c>
      <c r="GY441" s="4">
        <v>662</v>
      </c>
      <c r="GZ441" s="4">
        <v>660</v>
      </c>
      <c r="HA441" s="4">
        <v>658</v>
      </c>
      <c r="HB441" s="4">
        <v>656</v>
      </c>
      <c r="HC441" s="19">
        <v>146.6</v>
      </c>
      <c r="HD441" s="19">
        <v>145.6</v>
      </c>
      <c r="HE441" s="19">
        <v>144.6</v>
      </c>
      <c r="HF441" s="19">
        <v>143.6</v>
      </c>
      <c r="HG441" s="19">
        <v>142.6</v>
      </c>
      <c r="HH441" s="19">
        <v>141.6</v>
      </c>
      <c r="HI441" s="19">
        <v>175.8</v>
      </c>
      <c r="HJ441" s="19">
        <v>174.5</v>
      </c>
      <c r="HK441" s="19">
        <v>231</v>
      </c>
      <c r="HL441" s="19">
        <v>344</v>
      </c>
      <c r="HM441" s="19">
        <v>343</v>
      </c>
      <c r="HN441" s="19">
        <v>342</v>
      </c>
      <c r="HO441" s="19">
        <v>341</v>
      </c>
      <c r="HP441" s="19">
        <v>340</v>
      </c>
      <c r="HQ441" s="19">
        <v>339</v>
      </c>
      <c r="HR441" s="19">
        <v>338</v>
      </c>
      <c r="HS441" s="19">
        <v>337</v>
      </c>
      <c r="HT441" s="19">
        <v>336</v>
      </c>
      <c r="HU441" s="19">
        <v>335</v>
      </c>
      <c r="HV441" s="19">
        <v>334</v>
      </c>
      <c r="HW441" s="19">
        <v>333</v>
      </c>
      <c r="HX441" s="19">
        <v>332</v>
      </c>
      <c r="HY441" s="19">
        <v>331</v>
      </c>
      <c r="HZ441" s="19">
        <v>330</v>
      </c>
      <c r="IA441" s="19">
        <v>164.5</v>
      </c>
      <c r="IB441" s="19">
        <v>109.3</v>
      </c>
    </row>
    <row r="442">
      <c r="A442" s="2" t="s">
        <v>2629</v>
      </c>
      <c r="B442" s="2" t="s">
        <v>825</v>
      </c>
      <c r="C442" s="2" t="s">
        <v>1411</v>
      </c>
      <c r="D442" s="2" t="s">
        <v>261</v>
      </c>
      <c r="E442" s="2" t="s">
        <v>603</v>
      </c>
      <c r="F442" s="2" t="s">
        <v>2624</v>
      </c>
      <c r="G442" s="2" t="s">
        <v>2091</v>
      </c>
      <c r="H442" s="2" t="s">
        <v>2625</v>
      </c>
      <c r="I442" s="2" t="s">
        <v>1051</v>
      </c>
      <c r="J442" s="2" t="s">
        <v>265</v>
      </c>
      <c r="K442" s="2" t="s">
        <v>300</v>
      </c>
      <c r="L442" s="3">
        <v>37.6</v>
      </c>
      <c r="M442" s="3">
        <v>39.48</v>
      </c>
      <c r="N442" s="3">
        <v>79.99</v>
      </c>
      <c r="O442" s="2" t="s">
        <v>230</v>
      </c>
      <c r="P442" s="2" t="s">
        <v>721</v>
      </c>
      <c r="Q442" s="2" t="s">
        <v>232</v>
      </c>
      <c r="R442" s="2" t="s">
        <v>233</v>
      </c>
      <c r="S442" s="2" t="s">
        <v>2626</v>
      </c>
      <c r="T442" s="2" t="s">
        <v>469</v>
      </c>
      <c r="U442" s="2" t="s">
        <v>608</v>
      </c>
      <c r="V442" s="2" t="s">
        <v>914</v>
      </c>
      <c r="W442" s="2" t="s">
        <v>237</v>
      </c>
      <c r="X442" s="2" t="s">
        <v>915</v>
      </c>
      <c r="Y442" s="2" t="s">
        <v>238</v>
      </c>
      <c r="Z442" s="4">
        <v>515</v>
      </c>
      <c r="AA442" s="4">
        <f>=ROUNDDOWN(87.2881355932203,0)</f>
      </c>
      <c r="AB442" s="5">
        <v>5.9</v>
      </c>
      <c r="AC442" s="2" t="s">
        <v>233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233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233</v>
      </c>
      <c r="AW442" s="8" t="s">
        <v>233</v>
      </c>
      <c r="AX442" s="4" t="s">
        <v>233</v>
      </c>
      <c r="AY442" s="8" t="s">
        <v>233</v>
      </c>
      <c r="AZ442" s="7" t="s">
        <v>233</v>
      </c>
      <c r="BA442" s="7" t="s">
        <v>233</v>
      </c>
      <c r="BB442" s="7"/>
      <c r="BC442" s="4" t="s">
        <v>233</v>
      </c>
      <c r="BD442" s="8" t="s">
        <v>233</v>
      </c>
      <c r="BE442" s="4" t="s">
        <v>233</v>
      </c>
      <c r="BF442" s="8" t="s">
        <v>233</v>
      </c>
      <c r="BG442" s="7" t="s">
        <v>233</v>
      </c>
      <c r="BH442" s="7" t="s">
        <v>233</v>
      </c>
      <c r="BI442" s="7"/>
      <c r="BJ442" s="4">
        <v>29</v>
      </c>
      <c r="BK442" s="8">
        <v>1124.23</v>
      </c>
      <c r="BL442" s="2" t="s">
        <v>2630</v>
      </c>
      <c r="BM442" s="7"/>
      <c r="BN442" s="7"/>
      <c r="BO442" s="4"/>
      <c r="BP442" s="8"/>
      <c r="BQ442" s="4"/>
      <c r="BR442" s="8"/>
      <c r="BS442" s="7"/>
      <c r="BT442" s="7"/>
      <c r="BU442" s="2" t="s">
        <v>2628</v>
      </c>
      <c r="BV442" s="2" t="s">
        <v>233</v>
      </c>
      <c r="BW442" s="2" t="s">
        <v>233</v>
      </c>
      <c r="BX442" s="2" t="s">
        <v>241</v>
      </c>
      <c r="BY442" s="2" t="s">
        <v>242</v>
      </c>
      <c r="BZ442" s="2" t="s">
        <v>230</v>
      </c>
      <c r="CA442" s="2" t="s">
        <v>243</v>
      </c>
      <c r="CB442" s="2" t="s">
        <v>2631</v>
      </c>
      <c r="CC442" s="2" t="s">
        <v>245</v>
      </c>
      <c r="CD442" s="2" t="s">
        <v>233</v>
      </c>
      <c r="CE442" s="4">
        <v>515</v>
      </c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>
        <v>519</v>
      </c>
      <c r="GD442" s="4">
        <v>501</v>
      </c>
      <c r="GE442" s="4">
        <v>486</v>
      </c>
      <c r="GF442" s="4">
        <v>471</v>
      </c>
      <c r="GG442" s="4">
        <v>456</v>
      </c>
      <c r="GH442" s="4">
        <v>441</v>
      </c>
      <c r="GI442" s="4">
        <v>426</v>
      </c>
      <c r="GJ442" s="4">
        <v>411</v>
      </c>
      <c r="GK442" s="4">
        <v>396</v>
      </c>
      <c r="GL442" s="4">
        <v>381</v>
      </c>
      <c r="GM442" s="4">
        <v>375</v>
      </c>
      <c r="GN442" s="4">
        <v>369</v>
      </c>
      <c r="GO442" s="4">
        <v>363</v>
      </c>
      <c r="GP442" s="4">
        <v>357</v>
      </c>
      <c r="GQ442" s="4">
        <v>351</v>
      </c>
      <c r="GR442" s="4">
        <v>345</v>
      </c>
      <c r="GS442" s="4">
        <v>339</v>
      </c>
      <c r="GT442" s="4">
        <v>332</v>
      </c>
      <c r="GU442" s="4">
        <v>326</v>
      </c>
      <c r="GV442" s="4">
        <v>320</v>
      </c>
      <c r="GW442" s="4">
        <v>314</v>
      </c>
      <c r="GX442" s="4">
        <v>308</v>
      </c>
      <c r="GY442" s="4">
        <v>302</v>
      </c>
      <c r="GZ442" s="4">
        <v>296</v>
      </c>
      <c r="HA442" s="4">
        <v>290</v>
      </c>
      <c r="HB442" s="4">
        <v>284</v>
      </c>
      <c r="HC442" s="19">
        <v>32.4</v>
      </c>
      <c r="HD442" s="19">
        <v>33.4</v>
      </c>
      <c r="HE442" s="19">
        <v>32.4</v>
      </c>
      <c r="HF442" s="19">
        <v>31.4</v>
      </c>
      <c r="HG442" s="19">
        <v>30.4</v>
      </c>
      <c r="HH442" s="19">
        <v>29.4</v>
      </c>
      <c r="HI442" s="19">
        <v>32.8</v>
      </c>
      <c r="HJ442" s="19">
        <v>41.1</v>
      </c>
      <c r="HK442" s="19">
        <v>49.5</v>
      </c>
      <c r="HL442" s="19">
        <v>63.5</v>
      </c>
      <c r="HM442" s="19">
        <v>62.5</v>
      </c>
      <c r="HN442" s="19">
        <v>61.5</v>
      </c>
      <c r="HO442" s="19">
        <v>60.5</v>
      </c>
      <c r="HP442" s="19">
        <v>59.5</v>
      </c>
      <c r="HQ442" s="19">
        <v>58.5</v>
      </c>
      <c r="HR442" s="19">
        <v>57.5</v>
      </c>
      <c r="HS442" s="19">
        <v>56.5</v>
      </c>
      <c r="HT442" s="19">
        <v>55.3</v>
      </c>
      <c r="HU442" s="19">
        <v>54.3</v>
      </c>
      <c r="HV442" s="19">
        <v>53.3</v>
      </c>
      <c r="HW442" s="19">
        <v>52.3</v>
      </c>
      <c r="HX442" s="19">
        <v>51.3</v>
      </c>
      <c r="HY442" s="19">
        <v>50.3</v>
      </c>
      <c r="HZ442" s="19">
        <v>49.3</v>
      </c>
      <c r="IA442" s="19">
        <v>48.3</v>
      </c>
      <c r="IB442" s="19">
        <v>47.3</v>
      </c>
    </row>
    <row r="443">
      <c r="A443" s="2" t="s">
        <v>2632</v>
      </c>
      <c r="B443" s="2" t="s">
        <v>825</v>
      </c>
      <c r="C443" s="2" t="s">
        <v>1411</v>
      </c>
      <c r="D443" s="2" t="s">
        <v>261</v>
      </c>
      <c r="E443" s="2" t="s">
        <v>603</v>
      </c>
      <c r="F443" s="2" t="s">
        <v>2624</v>
      </c>
      <c r="G443" s="2" t="s">
        <v>2091</v>
      </c>
      <c r="H443" s="2" t="s">
        <v>2625</v>
      </c>
      <c r="I443" s="2" t="s">
        <v>1051</v>
      </c>
      <c r="J443" s="2" t="s">
        <v>275</v>
      </c>
      <c r="K443" s="2" t="s">
        <v>300</v>
      </c>
      <c r="L443" s="3">
        <v>42.3</v>
      </c>
      <c r="M443" s="3">
        <v>44.42</v>
      </c>
      <c r="N443" s="3">
        <v>89.99</v>
      </c>
      <c r="O443" s="2" t="s">
        <v>230</v>
      </c>
      <c r="P443" s="2" t="s">
        <v>721</v>
      </c>
      <c r="Q443" s="2" t="s">
        <v>232</v>
      </c>
      <c r="R443" s="2" t="s">
        <v>233</v>
      </c>
      <c r="S443" s="2" t="s">
        <v>2626</v>
      </c>
      <c r="T443" s="2" t="s">
        <v>469</v>
      </c>
      <c r="U443" s="2" t="s">
        <v>608</v>
      </c>
      <c r="V443" s="2" t="s">
        <v>914</v>
      </c>
      <c r="W443" s="2" t="s">
        <v>237</v>
      </c>
      <c r="X443" s="2" t="s">
        <v>915</v>
      </c>
      <c r="Y443" s="2" t="s">
        <v>238</v>
      </c>
      <c r="Z443" s="4">
        <v>218</v>
      </c>
      <c r="AA443" s="4">
        <f>=ROUNDDOWN(80.7407407407407,0)</f>
      </c>
      <c r="AB443" s="5">
        <v>2.7</v>
      </c>
      <c r="AC443" s="2" t="s">
        <v>233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233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233</v>
      </c>
      <c r="AW443" s="8" t="s">
        <v>233</v>
      </c>
      <c r="AX443" s="4" t="s">
        <v>233</v>
      </c>
      <c r="AY443" s="8" t="s">
        <v>233</v>
      </c>
      <c r="AZ443" s="7" t="s">
        <v>233</v>
      </c>
      <c r="BA443" s="7" t="s">
        <v>233</v>
      </c>
      <c r="BB443" s="7"/>
      <c r="BC443" s="4" t="s">
        <v>233</v>
      </c>
      <c r="BD443" s="8" t="s">
        <v>233</v>
      </c>
      <c r="BE443" s="4" t="s">
        <v>233</v>
      </c>
      <c r="BF443" s="8" t="s">
        <v>233</v>
      </c>
      <c r="BG443" s="7" t="s">
        <v>233</v>
      </c>
      <c r="BH443" s="7" t="s">
        <v>233</v>
      </c>
      <c r="BI443" s="7"/>
      <c r="BJ443" s="4">
        <v>19</v>
      </c>
      <c r="BK443" s="8">
        <v>872.36</v>
      </c>
      <c r="BL443" s="2" t="s">
        <v>2633</v>
      </c>
      <c r="BM443" s="7"/>
      <c r="BN443" s="7"/>
      <c r="BO443" s="4"/>
      <c r="BP443" s="8"/>
      <c r="BQ443" s="4"/>
      <c r="BR443" s="8"/>
      <c r="BS443" s="7"/>
      <c r="BT443" s="7"/>
      <c r="BU443" s="2" t="s">
        <v>2628</v>
      </c>
      <c r="BV443" s="2" t="s">
        <v>233</v>
      </c>
      <c r="BW443" s="2" t="s">
        <v>233</v>
      </c>
      <c r="BX443" s="2" t="s">
        <v>241</v>
      </c>
      <c r="BY443" s="2" t="s">
        <v>242</v>
      </c>
      <c r="BZ443" s="2" t="s">
        <v>230</v>
      </c>
      <c r="CA443" s="2" t="s">
        <v>243</v>
      </c>
      <c r="CB443" s="2" t="s">
        <v>2634</v>
      </c>
      <c r="CC443" s="2" t="s">
        <v>245</v>
      </c>
      <c r="CD443" s="2" t="s">
        <v>233</v>
      </c>
      <c r="CE443" s="4">
        <v>218</v>
      </c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>
        <v>218</v>
      </c>
      <c r="GD443" s="4">
        <v>210</v>
      </c>
      <c r="GE443" s="4">
        <v>202</v>
      </c>
      <c r="GF443" s="4">
        <v>194</v>
      </c>
      <c r="GG443" s="4">
        <v>186</v>
      </c>
      <c r="GH443" s="4">
        <v>178</v>
      </c>
      <c r="GI443" s="4">
        <v>170</v>
      </c>
      <c r="GJ443" s="4">
        <v>162</v>
      </c>
      <c r="GK443" s="4">
        <v>154</v>
      </c>
      <c r="GL443" s="4">
        <v>146</v>
      </c>
      <c r="GM443" s="4">
        <v>143</v>
      </c>
      <c r="GN443" s="4">
        <v>140</v>
      </c>
      <c r="GO443" s="4">
        <v>137</v>
      </c>
      <c r="GP443" s="4">
        <v>134</v>
      </c>
      <c r="GQ443" s="4">
        <v>131</v>
      </c>
      <c r="GR443" s="4">
        <v>128</v>
      </c>
      <c r="GS443" s="4">
        <v>125</v>
      </c>
      <c r="GT443" s="4">
        <v>121</v>
      </c>
      <c r="GU443" s="4">
        <v>118</v>
      </c>
      <c r="GV443" s="4">
        <v>115</v>
      </c>
      <c r="GW443" s="4">
        <v>112</v>
      </c>
      <c r="GX443" s="4">
        <v>109</v>
      </c>
      <c r="GY443" s="4">
        <v>106</v>
      </c>
      <c r="GZ443" s="4">
        <v>103</v>
      </c>
      <c r="HA443" s="4">
        <v>100</v>
      </c>
      <c r="HB443" s="4">
        <v>97</v>
      </c>
      <c r="HC443" s="19">
        <v>27.3</v>
      </c>
      <c r="HD443" s="19">
        <v>26.3</v>
      </c>
      <c r="HE443" s="19">
        <v>25.3</v>
      </c>
      <c r="HF443" s="19">
        <v>24.3</v>
      </c>
      <c r="HG443" s="19">
        <v>23.3</v>
      </c>
      <c r="HH443" s="19">
        <v>22.3</v>
      </c>
      <c r="HI443" s="19">
        <v>24.3</v>
      </c>
      <c r="HJ443" s="19">
        <v>27</v>
      </c>
      <c r="HK443" s="19">
        <v>38.5</v>
      </c>
      <c r="HL443" s="19">
        <v>48.7</v>
      </c>
      <c r="HM443" s="19">
        <v>47.7</v>
      </c>
      <c r="HN443" s="19">
        <v>46.7</v>
      </c>
      <c r="HO443" s="19">
        <v>45.7</v>
      </c>
      <c r="HP443" s="19">
        <v>44.7</v>
      </c>
      <c r="HQ443" s="19">
        <v>43.7</v>
      </c>
      <c r="HR443" s="19">
        <v>42.7</v>
      </c>
      <c r="HS443" s="19">
        <v>41.7</v>
      </c>
      <c r="HT443" s="19">
        <v>40.3</v>
      </c>
      <c r="HU443" s="19">
        <v>39.3</v>
      </c>
      <c r="HV443" s="19">
        <v>38.3</v>
      </c>
      <c r="HW443" s="19">
        <v>37.3</v>
      </c>
      <c r="HX443" s="19">
        <v>36.3</v>
      </c>
      <c r="HY443" s="19">
        <v>35.3</v>
      </c>
      <c r="HZ443" s="19">
        <v>34.3</v>
      </c>
      <c r="IA443" s="19">
        <v>33.3</v>
      </c>
      <c r="IB443" s="19">
        <v>32.3</v>
      </c>
    </row>
    <row r="444">
      <c r="A444" s="2" t="s">
        <v>2635</v>
      </c>
      <c r="B444" s="2" t="s">
        <v>872</v>
      </c>
      <c r="C444" s="2" t="s">
        <v>280</v>
      </c>
      <c r="D444" s="2" t="s">
        <v>261</v>
      </c>
      <c r="E444" s="2" t="s">
        <v>603</v>
      </c>
      <c r="F444" s="2" t="s">
        <v>2636</v>
      </c>
      <c r="G444" s="2" t="s">
        <v>2637</v>
      </c>
      <c r="H444" s="2" t="s">
        <v>2638</v>
      </c>
      <c r="I444" s="2" t="s">
        <v>2639</v>
      </c>
      <c r="J444" s="2" t="s">
        <v>285</v>
      </c>
      <c r="K444" s="2" t="s">
        <v>484</v>
      </c>
      <c r="L444" s="3">
        <v>95.51</v>
      </c>
      <c r="M444" s="3">
        <v>100.29</v>
      </c>
      <c r="N444" s="3">
        <v>169.99</v>
      </c>
      <c r="O444" s="2" t="s">
        <v>230</v>
      </c>
      <c r="P444" s="2" t="s">
        <v>586</v>
      </c>
      <c r="Q444" s="2" t="s">
        <v>232</v>
      </c>
      <c r="R444" s="2" t="s">
        <v>233</v>
      </c>
      <c r="S444" s="2" t="s">
        <v>2640</v>
      </c>
      <c r="T444" s="2" t="s">
        <v>233</v>
      </c>
      <c r="U444" s="2" t="s">
        <v>2641</v>
      </c>
      <c r="V444" s="2" t="s">
        <v>945</v>
      </c>
      <c r="W444" s="2" t="s">
        <v>916</v>
      </c>
      <c r="X444" s="2" t="s">
        <v>2642</v>
      </c>
      <c r="Y444" s="2" t="s">
        <v>675</v>
      </c>
      <c r="Z444" s="4">
        <v>235</v>
      </c>
      <c r="AA444" s="4">
        <f>=ROUNDDOWN(58.75,0)</f>
      </c>
      <c r="AB444" s="5">
        <v>4</v>
      </c>
      <c r="AC444" s="2" t="s">
        <v>233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233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/>
      <c r="BD444" s="8"/>
      <c r="BE444" s="4"/>
      <c r="BF444" s="8"/>
      <c r="BG444" s="7"/>
      <c r="BH444" s="7"/>
      <c r="BI444" s="7"/>
      <c r="BJ444" s="4">
        <v>14</v>
      </c>
      <c r="BK444" s="8">
        <v>1411.98</v>
      </c>
      <c r="BL444" s="2" t="s">
        <v>2643</v>
      </c>
      <c r="BM444" s="7"/>
      <c r="BN444" s="7"/>
      <c r="BO444" s="4"/>
      <c r="BP444" s="8"/>
      <c r="BQ444" s="4"/>
      <c r="BR444" s="8"/>
      <c r="BS444" s="7"/>
      <c r="BT444" s="7"/>
      <c r="BU444" s="2" t="s">
        <v>2644</v>
      </c>
      <c r="BV444" s="2" t="s">
        <v>233</v>
      </c>
      <c r="BW444" s="2" t="s">
        <v>233</v>
      </c>
      <c r="BX444" s="2" t="s">
        <v>293</v>
      </c>
      <c r="BY444" s="2" t="s">
        <v>242</v>
      </c>
      <c r="BZ444" s="2" t="s">
        <v>230</v>
      </c>
      <c r="CA444" s="2" t="s">
        <v>2645</v>
      </c>
      <c r="CB444" s="2" t="s">
        <v>2646</v>
      </c>
      <c r="CC444" s="2" t="s">
        <v>245</v>
      </c>
      <c r="CD444" s="2" t="s">
        <v>233</v>
      </c>
      <c r="CE444" s="4">
        <v>177</v>
      </c>
      <c r="CF444" s="4">
        <v>58</v>
      </c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>
        <v>235</v>
      </c>
      <c r="GD444" s="4">
        <v>230</v>
      </c>
      <c r="GE444" s="4">
        <v>224</v>
      </c>
      <c r="GF444" s="4">
        <v>217</v>
      </c>
      <c r="GG444" s="4">
        <v>204</v>
      </c>
      <c r="GH444" s="4">
        <v>197</v>
      </c>
      <c r="GI444" s="4">
        <v>191</v>
      </c>
      <c r="GJ444" s="4">
        <v>187</v>
      </c>
      <c r="GK444" s="4">
        <v>184</v>
      </c>
      <c r="GL444" s="4">
        <v>180</v>
      </c>
      <c r="GM444" s="4">
        <v>176</v>
      </c>
      <c r="GN444" s="4">
        <v>172</v>
      </c>
      <c r="GO444" s="4">
        <v>168</v>
      </c>
      <c r="GP444" s="4">
        <v>164</v>
      </c>
      <c r="GQ444" s="4">
        <v>160</v>
      </c>
      <c r="GR444" s="4">
        <v>156</v>
      </c>
      <c r="GS444" s="4">
        <v>152</v>
      </c>
      <c r="GT444" s="4">
        <v>148</v>
      </c>
      <c r="GU444" s="4">
        <v>144</v>
      </c>
      <c r="GV444" s="4">
        <v>140</v>
      </c>
      <c r="GW444" s="4">
        <v>136</v>
      </c>
      <c r="GX444" s="4">
        <v>132</v>
      </c>
      <c r="GY444" s="4">
        <v>128</v>
      </c>
      <c r="GZ444" s="4">
        <v>124</v>
      </c>
      <c r="HA444" s="4">
        <v>120</v>
      </c>
      <c r="HB444" s="4">
        <v>116</v>
      </c>
      <c r="HC444" s="19">
        <v>29.4</v>
      </c>
      <c r="HD444" s="19">
        <v>28.8</v>
      </c>
      <c r="HE444" s="19">
        <v>28</v>
      </c>
      <c r="HF444" s="19">
        <v>27.1</v>
      </c>
      <c r="HG444" s="19">
        <v>40.8</v>
      </c>
      <c r="HH444" s="19">
        <v>49.3</v>
      </c>
      <c r="HI444" s="19">
        <v>47.8</v>
      </c>
      <c r="HJ444" s="19">
        <v>46.8</v>
      </c>
      <c r="HK444" s="19">
        <v>46</v>
      </c>
      <c r="HL444" s="19">
        <v>45</v>
      </c>
      <c r="HM444" s="19">
        <v>44</v>
      </c>
      <c r="HN444" s="19">
        <v>43</v>
      </c>
      <c r="HO444" s="19">
        <v>42</v>
      </c>
      <c r="HP444" s="19">
        <v>41</v>
      </c>
      <c r="HQ444" s="19">
        <v>40</v>
      </c>
      <c r="HR444" s="19">
        <v>39</v>
      </c>
      <c r="HS444" s="19">
        <v>38</v>
      </c>
      <c r="HT444" s="19">
        <v>37</v>
      </c>
      <c r="HU444" s="19">
        <v>36</v>
      </c>
      <c r="HV444" s="19">
        <v>35</v>
      </c>
      <c r="HW444" s="19">
        <v>34</v>
      </c>
      <c r="HX444" s="19">
        <v>33</v>
      </c>
      <c r="HY444" s="19">
        <v>32</v>
      </c>
      <c r="HZ444" s="19">
        <v>31</v>
      </c>
      <c r="IA444" s="19">
        <v>30</v>
      </c>
      <c r="IB444" s="19">
        <v>29</v>
      </c>
    </row>
    <row r="445">
      <c r="A445" s="2" t="s">
        <v>2647</v>
      </c>
      <c r="B445" s="2" t="s">
        <v>761</v>
      </c>
      <c r="C445" s="2" t="s">
        <v>812</v>
      </c>
      <c r="D445" s="2" t="s">
        <v>763</v>
      </c>
      <c r="E445" s="2" t="s">
        <v>2109</v>
      </c>
      <c r="F445" s="2" t="s">
        <v>2648</v>
      </c>
      <c r="G445" s="2" t="s">
        <v>2648</v>
      </c>
      <c r="H445" s="2" t="s">
        <v>2648</v>
      </c>
      <c r="I445" s="2" t="s">
        <v>2649</v>
      </c>
      <c r="J445" s="2" t="s">
        <v>741</v>
      </c>
      <c r="K445" s="2" t="s">
        <v>229</v>
      </c>
      <c r="L445" s="3">
        <v>132</v>
      </c>
      <c r="M445" s="3">
        <v>138.6</v>
      </c>
      <c r="N445" s="3">
        <v>279</v>
      </c>
      <c r="O445" s="2" t="s">
        <v>230</v>
      </c>
      <c r="P445" s="2" t="s">
        <v>231</v>
      </c>
      <c r="Q445" s="2" t="s">
        <v>232</v>
      </c>
      <c r="R445" s="2" t="s">
        <v>233</v>
      </c>
      <c r="S445" s="2" t="s">
        <v>233</v>
      </c>
      <c r="T445" s="2" t="s">
        <v>233</v>
      </c>
      <c r="U445" s="2" t="s">
        <v>329</v>
      </c>
      <c r="V445" s="2" t="s">
        <v>609</v>
      </c>
      <c r="W445" s="2" t="s">
        <v>233</v>
      </c>
      <c r="X445" s="2" t="s">
        <v>819</v>
      </c>
      <c r="Y445" s="2" t="s">
        <v>2650</v>
      </c>
      <c r="Z445" s="4">
        <v>195</v>
      </c>
      <c r="AA445" s="4">
        <f>=ROUNDDOWN(12.9139072847682,0)</f>
      </c>
      <c r="AB445" s="5">
        <v>15.1</v>
      </c>
      <c r="AC445" s="2" t="s">
        <v>2651</v>
      </c>
      <c r="AD445" s="4">
        <v>110</v>
      </c>
      <c r="AE445" s="4">
        <v>280</v>
      </c>
      <c r="AF445" s="6">
        <v>74</v>
      </c>
      <c r="AG445" s="6">
        <v>60</v>
      </c>
      <c r="AH445" s="7">
        <v>0.0645</v>
      </c>
      <c r="AI445" s="4"/>
      <c r="AJ445" s="4">
        <f>=ROUNDDOWN({0},0)</f>
      </c>
      <c r="AK445" s="5"/>
      <c r="AL445" s="2" t="s">
        <v>233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/>
      <c r="BD445" s="8"/>
      <c r="BE445" s="4"/>
      <c r="BF445" s="8"/>
      <c r="BG445" s="7"/>
      <c r="BH445" s="7"/>
      <c r="BI445" s="7"/>
      <c r="BJ445" s="4">
        <v>2</v>
      </c>
      <c r="BK445" s="8">
        <v>288.29</v>
      </c>
      <c r="BL445" s="2" t="s">
        <v>2652</v>
      </c>
      <c r="BM445" s="7"/>
      <c r="BN445" s="7"/>
      <c r="BO445" s="4"/>
      <c r="BP445" s="8"/>
      <c r="BQ445" s="4"/>
      <c r="BR445" s="8"/>
      <c r="BS445" s="7"/>
      <c r="BT445" s="7"/>
      <c r="BU445" s="2" t="s">
        <v>2653</v>
      </c>
      <c r="BV445" s="2" t="s">
        <v>233</v>
      </c>
      <c r="BW445" s="2" t="s">
        <v>233</v>
      </c>
      <c r="BX445" s="2" t="s">
        <v>241</v>
      </c>
      <c r="BY445" s="2" t="s">
        <v>242</v>
      </c>
      <c r="BZ445" s="2" t="s">
        <v>230</v>
      </c>
      <c r="CA445" s="2" t="s">
        <v>771</v>
      </c>
      <c r="CB445" s="2" t="s">
        <v>2654</v>
      </c>
      <c r="CC445" s="2" t="s">
        <v>245</v>
      </c>
      <c r="CD445" s="2" t="s">
        <v>233</v>
      </c>
      <c r="CE445" s="4"/>
      <c r="CF445" s="4">
        <v>1</v>
      </c>
      <c r="CG445" s="4"/>
      <c r="CH445" s="4">
        <v>194</v>
      </c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>
        <v>110</v>
      </c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>
        <v>170</v>
      </c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>
        <v>199</v>
      </c>
      <c r="GD445" s="4">
        <v>170</v>
      </c>
      <c r="GE445" s="4">
        <v>148</v>
      </c>
      <c r="GF445" s="4">
        <v>133</v>
      </c>
      <c r="GG445" s="4">
        <v>103</v>
      </c>
      <c r="GH445" s="4">
        <v>82</v>
      </c>
      <c r="GI445" s="4">
        <v>67</v>
      </c>
      <c r="GJ445" s="4">
        <v>56</v>
      </c>
      <c r="GK445" s="4">
        <v>44</v>
      </c>
      <c r="GL445" s="4">
        <v>30</v>
      </c>
      <c r="GM445" s="4">
        <v>129</v>
      </c>
      <c r="GN445" s="4">
        <v>115</v>
      </c>
      <c r="GO445" s="4">
        <v>104</v>
      </c>
      <c r="GP445" s="4">
        <v>93</v>
      </c>
      <c r="GQ445" s="4">
        <v>81</v>
      </c>
      <c r="GR445" s="4">
        <v>239</v>
      </c>
      <c r="GS445" s="4">
        <v>227</v>
      </c>
      <c r="GT445" s="4">
        <v>213</v>
      </c>
      <c r="GU445" s="4">
        <v>201</v>
      </c>
      <c r="GV445" s="4">
        <v>187</v>
      </c>
      <c r="GW445" s="4">
        <v>173</v>
      </c>
      <c r="GX445" s="4">
        <v>159</v>
      </c>
      <c r="GY445" s="4">
        <v>145</v>
      </c>
      <c r="GZ445" s="4">
        <v>130</v>
      </c>
      <c r="HA445" s="4">
        <v>115</v>
      </c>
      <c r="HB445" s="4">
        <v>100</v>
      </c>
      <c r="HC445" s="19">
        <v>4.2</v>
      </c>
      <c r="HD445" s="19">
        <v>3.9</v>
      </c>
      <c r="HE445" s="19">
        <v>3.7</v>
      </c>
      <c r="HF445" s="19">
        <v>3.5</v>
      </c>
      <c r="HG445" s="19">
        <v>3.5</v>
      </c>
      <c r="HH445" s="19">
        <v>3.2</v>
      </c>
      <c r="HI445" s="19">
        <v>2.8</v>
      </c>
      <c r="HJ445" s="19">
        <v>3.1</v>
      </c>
      <c r="HK445" s="19">
        <v>3.7</v>
      </c>
      <c r="HL445" s="19">
        <v>5</v>
      </c>
      <c r="HM445" s="19">
        <v>4.6</v>
      </c>
      <c r="HN445" s="19">
        <v>4</v>
      </c>
      <c r="HO445" s="19">
        <v>3.6</v>
      </c>
      <c r="HP445" s="19">
        <v>3.1</v>
      </c>
      <c r="HQ445" s="19">
        <v>2.6</v>
      </c>
      <c r="HR445" s="19">
        <v>8.5</v>
      </c>
      <c r="HS445" s="19">
        <v>7.5</v>
      </c>
      <c r="HT445" s="19">
        <v>7</v>
      </c>
      <c r="HU445" s="19">
        <v>6.5</v>
      </c>
      <c r="HV445" s="19">
        <v>6</v>
      </c>
      <c r="HW445" s="19">
        <v>5.5</v>
      </c>
      <c r="HX445" s="19">
        <v>4.7</v>
      </c>
      <c r="HY445" s="19">
        <v>4.2</v>
      </c>
      <c r="HZ445" s="19">
        <v>3.7</v>
      </c>
      <c r="IA445" s="19">
        <v>3.2</v>
      </c>
      <c r="IB445" s="19">
        <v>2.7</v>
      </c>
    </row>
    <row r="446">
      <c r="A446" s="2" t="s">
        <v>2655</v>
      </c>
      <c r="B446" s="2" t="s">
        <v>736</v>
      </c>
      <c r="C446" s="2" t="s">
        <v>762</v>
      </c>
      <c r="D446" s="2" t="s">
        <v>1197</v>
      </c>
      <c r="E446" s="2" t="s">
        <v>1198</v>
      </c>
      <c r="F446" s="2" t="s">
        <v>2656</v>
      </c>
      <c r="G446" s="2" t="s">
        <v>2656</v>
      </c>
      <c r="H446" s="2" t="s">
        <v>2656</v>
      </c>
      <c r="I446" s="2" t="s">
        <v>2657</v>
      </c>
      <c r="J446" s="2" t="s">
        <v>741</v>
      </c>
      <c r="K446" s="2" t="s">
        <v>452</v>
      </c>
      <c r="L446" s="3">
        <v>72.85</v>
      </c>
      <c r="M446" s="3">
        <v>76.49</v>
      </c>
      <c r="N446" s="3">
        <v>152.99</v>
      </c>
      <c r="O446" s="2" t="s">
        <v>230</v>
      </c>
      <c r="P446" s="2" t="s">
        <v>231</v>
      </c>
      <c r="Q446" s="2" t="s">
        <v>232</v>
      </c>
      <c r="R446" s="2" t="s">
        <v>233</v>
      </c>
      <c r="S446" s="2" t="s">
        <v>2658</v>
      </c>
      <c r="T446" s="2" t="s">
        <v>233</v>
      </c>
      <c r="U446" s="2" t="s">
        <v>711</v>
      </c>
      <c r="V446" s="2" t="s">
        <v>744</v>
      </c>
      <c r="W446" s="2" t="s">
        <v>620</v>
      </c>
      <c r="X446" s="2" t="s">
        <v>1034</v>
      </c>
      <c r="Y446" s="2" t="s">
        <v>2659</v>
      </c>
      <c r="Z446" s="4">
        <v>64</v>
      </c>
      <c r="AA446" s="4">
        <f>=ROUNDDOWN(32,0)</f>
      </c>
      <c r="AB446" s="5">
        <v>2</v>
      </c>
      <c r="AC446" s="2" t="s">
        <v>233</v>
      </c>
      <c r="AD446" s="4"/>
      <c r="AE446" s="4"/>
      <c r="AF446" s="6">
        <v>63</v>
      </c>
      <c r="AG446" s="6"/>
      <c r="AH446" s="7">
        <v>1</v>
      </c>
      <c r="AI446" s="4"/>
      <c r="AJ446" s="4">
        <f>=ROUNDDOWN({0},0)</f>
      </c>
      <c r="AK446" s="5"/>
      <c r="AL446" s="2" t="s">
        <v>233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/>
      <c r="BD446" s="8"/>
      <c r="BE446" s="4"/>
      <c r="BF446" s="8"/>
      <c r="BG446" s="7"/>
      <c r="BH446" s="7"/>
      <c r="BI446" s="7"/>
      <c r="BJ446" s="4">
        <v>6</v>
      </c>
      <c r="BK446" s="8">
        <v>552.05</v>
      </c>
      <c r="BL446" s="2" t="s">
        <v>2660</v>
      </c>
      <c r="BM446" s="7"/>
      <c r="BN446" s="7"/>
      <c r="BO446" s="4"/>
      <c r="BP446" s="8"/>
      <c r="BQ446" s="4"/>
      <c r="BR446" s="8"/>
      <c r="BS446" s="7"/>
      <c r="BT446" s="7"/>
      <c r="BU446" s="2" t="s">
        <v>2661</v>
      </c>
      <c r="BV446" s="2" t="s">
        <v>233</v>
      </c>
      <c r="BW446" s="2" t="s">
        <v>233</v>
      </c>
      <c r="BX446" s="2" t="s">
        <v>241</v>
      </c>
      <c r="BY446" s="2" t="s">
        <v>242</v>
      </c>
      <c r="BZ446" s="2" t="s">
        <v>230</v>
      </c>
      <c r="CA446" s="2" t="s">
        <v>2213</v>
      </c>
      <c r="CB446" s="2" t="s">
        <v>2662</v>
      </c>
      <c r="CC446" s="2" t="s">
        <v>245</v>
      </c>
      <c r="CD446" s="2" t="s">
        <v>233</v>
      </c>
      <c r="CE446" s="4"/>
      <c r="CF446" s="4">
        <v>64</v>
      </c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>
        <v>64</v>
      </c>
      <c r="GD446" s="4">
        <v>62</v>
      </c>
      <c r="GE446" s="4">
        <v>60</v>
      </c>
      <c r="GF446" s="4">
        <v>58</v>
      </c>
      <c r="GG446" s="4">
        <v>55</v>
      </c>
      <c r="GH446" s="4">
        <v>53</v>
      </c>
      <c r="GI446" s="4">
        <v>50</v>
      </c>
      <c r="GJ446" s="4">
        <v>48</v>
      </c>
      <c r="GK446" s="4">
        <v>46</v>
      </c>
      <c r="GL446" s="4">
        <v>44</v>
      </c>
      <c r="GM446" s="4">
        <v>42</v>
      </c>
      <c r="GN446" s="4">
        <v>40</v>
      </c>
      <c r="GO446" s="4">
        <v>38</v>
      </c>
      <c r="GP446" s="4">
        <v>36</v>
      </c>
      <c r="GQ446" s="4">
        <v>34</v>
      </c>
      <c r="GR446" s="4">
        <v>32</v>
      </c>
      <c r="GS446" s="4">
        <v>30</v>
      </c>
      <c r="GT446" s="4">
        <v>28</v>
      </c>
      <c r="GU446" s="4">
        <v>26</v>
      </c>
      <c r="GV446" s="4">
        <v>24</v>
      </c>
      <c r="GW446" s="4">
        <v>22</v>
      </c>
      <c r="GX446" s="4">
        <v>20</v>
      </c>
      <c r="GY446" s="4">
        <v>18</v>
      </c>
      <c r="GZ446" s="4">
        <v>16</v>
      </c>
      <c r="HA446" s="4">
        <v>14</v>
      </c>
      <c r="HB446" s="4">
        <v>12</v>
      </c>
      <c r="HC446" s="19">
        <v>32</v>
      </c>
      <c r="HD446" s="19">
        <v>31</v>
      </c>
      <c r="HE446" s="19">
        <v>30</v>
      </c>
      <c r="HF446" s="19">
        <v>29</v>
      </c>
      <c r="HG446" s="19">
        <v>27.5</v>
      </c>
      <c r="HH446" s="19">
        <v>26.5</v>
      </c>
      <c r="HI446" s="19">
        <v>25</v>
      </c>
      <c r="HJ446" s="19">
        <v>24</v>
      </c>
      <c r="HK446" s="19">
        <v>23</v>
      </c>
      <c r="HL446" s="19">
        <v>22</v>
      </c>
      <c r="HM446" s="19">
        <v>21</v>
      </c>
      <c r="HN446" s="19">
        <v>20</v>
      </c>
      <c r="HO446" s="19">
        <v>19</v>
      </c>
      <c r="HP446" s="19">
        <v>18</v>
      </c>
      <c r="HQ446" s="19">
        <v>17</v>
      </c>
      <c r="HR446" s="19">
        <v>16</v>
      </c>
      <c r="HS446" s="19">
        <v>15</v>
      </c>
      <c r="HT446" s="19">
        <v>14</v>
      </c>
      <c r="HU446" s="19">
        <v>13</v>
      </c>
      <c r="HV446" s="19">
        <v>12</v>
      </c>
      <c r="HW446" s="19">
        <v>11</v>
      </c>
      <c r="HX446" s="19">
        <v>10</v>
      </c>
      <c r="HY446" s="19">
        <v>9</v>
      </c>
      <c r="HZ446" s="19">
        <v>8</v>
      </c>
      <c r="IA446" s="19">
        <v>7</v>
      </c>
      <c r="IB446" s="19">
        <v>6</v>
      </c>
    </row>
    <row r="447">
      <c r="A447" s="2" t="s">
        <v>2663</v>
      </c>
      <c r="B447" s="2" t="s">
        <v>923</v>
      </c>
      <c r="C447" s="2" t="s">
        <v>280</v>
      </c>
      <c r="D447" s="2" t="s">
        <v>951</v>
      </c>
      <c r="E447" s="2" t="s">
        <v>952</v>
      </c>
      <c r="F447" s="2" t="s">
        <v>2664</v>
      </c>
      <c r="G447" s="2" t="s">
        <v>2665</v>
      </c>
      <c r="H447" s="2" t="s">
        <v>2666</v>
      </c>
      <c r="I447" s="2" t="s">
        <v>2667</v>
      </c>
      <c r="J447" s="2" t="s">
        <v>954</v>
      </c>
      <c r="K447" s="2" t="s">
        <v>1511</v>
      </c>
      <c r="L447" s="3">
        <v>18.92</v>
      </c>
      <c r="M447" s="3">
        <v>19.87</v>
      </c>
      <c r="N447" s="3">
        <v>42.99</v>
      </c>
      <c r="O447" s="2" t="s">
        <v>230</v>
      </c>
      <c r="P447" s="2" t="s">
        <v>231</v>
      </c>
      <c r="Q447" s="2" t="s">
        <v>232</v>
      </c>
      <c r="R447" s="2" t="s">
        <v>233</v>
      </c>
      <c r="S447" s="2" t="s">
        <v>2668</v>
      </c>
      <c r="T447" s="2" t="s">
        <v>233</v>
      </c>
      <c r="U447" s="2" t="s">
        <v>329</v>
      </c>
      <c r="V447" s="2" t="s">
        <v>1033</v>
      </c>
      <c r="W447" s="2" t="s">
        <v>818</v>
      </c>
      <c r="X447" s="2" t="s">
        <v>233</v>
      </c>
      <c r="Y447" s="2" t="s">
        <v>2669</v>
      </c>
      <c r="Z447" s="4">
        <v>557</v>
      </c>
      <c r="AA447" s="4">
        <f>=ROUNDDOWN(55.7,0)</f>
      </c>
      <c r="AB447" s="5">
        <v>10</v>
      </c>
      <c r="AC447" s="2" t="s">
        <v>233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233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/>
      <c r="BD447" s="8"/>
      <c r="BE447" s="4"/>
      <c r="BF447" s="8"/>
      <c r="BG447" s="7"/>
      <c r="BH447" s="7"/>
      <c r="BI447" s="7"/>
      <c r="BJ447" s="4">
        <v>60</v>
      </c>
      <c r="BK447" s="8">
        <v>1319.42</v>
      </c>
      <c r="BL447" s="2" t="s">
        <v>2670</v>
      </c>
      <c r="BM447" s="7"/>
      <c r="BN447" s="7"/>
      <c r="BO447" s="4"/>
      <c r="BP447" s="8"/>
      <c r="BQ447" s="4"/>
      <c r="BR447" s="8"/>
      <c r="BS447" s="7"/>
      <c r="BT447" s="7"/>
      <c r="BU447" s="2" t="s">
        <v>2671</v>
      </c>
      <c r="BV447" s="2" t="s">
        <v>233</v>
      </c>
      <c r="BW447" s="2" t="s">
        <v>233</v>
      </c>
      <c r="BX447" s="2" t="s">
        <v>241</v>
      </c>
      <c r="BY447" s="2" t="s">
        <v>242</v>
      </c>
      <c r="BZ447" s="2" t="s">
        <v>230</v>
      </c>
      <c r="CA447" s="2" t="s">
        <v>2669</v>
      </c>
      <c r="CB447" s="2" t="s">
        <v>2672</v>
      </c>
      <c r="CC447" s="2" t="s">
        <v>245</v>
      </c>
      <c r="CD447" s="2" t="s">
        <v>233</v>
      </c>
      <c r="CE447" s="4">
        <v>557</v>
      </c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>
        <v>567</v>
      </c>
      <c r="GD447" s="4">
        <v>555</v>
      </c>
      <c r="GE447" s="4">
        <v>541</v>
      </c>
      <c r="GF447" s="4">
        <v>528</v>
      </c>
      <c r="GG447" s="4">
        <v>507</v>
      </c>
      <c r="GH447" s="4">
        <v>487</v>
      </c>
      <c r="GI447" s="4">
        <v>467</v>
      </c>
      <c r="GJ447" s="4">
        <v>454</v>
      </c>
      <c r="GK447" s="4">
        <v>445</v>
      </c>
      <c r="GL447" s="4">
        <v>434</v>
      </c>
      <c r="GM447" s="4">
        <v>424</v>
      </c>
      <c r="GN447" s="4">
        <v>414</v>
      </c>
      <c r="GO447" s="4">
        <v>404</v>
      </c>
      <c r="GP447" s="4">
        <v>394</v>
      </c>
      <c r="GQ447" s="4">
        <v>384</v>
      </c>
      <c r="GR447" s="4">
        <v>374</v>
      </c>
      <c r="GS447" s="4">
        <v>364</v>
      </c>
      <c r="GT447" s="4">
        <v>353</v>
      </c>
      <c r="GU447" s="4">
        <v>343</v>
      </c>
      <c r="GV447" s="4">
        <v>333</v>
      </c>
      <c r="GW447" s="4">
        <v>323</v>
      </c>
      <c r="GX447" s="4">
        <v>313</v>
      </c>
      <c r="GY447" s="4">
        <v>303</v>
      </c>
      <c r="GZ447" s="4">
        <v>293</v>
      </c>
      <c r="HA447" s="4">
        <v>283</v>
      </c>
      <c r="HB447" s="4">
        <v>273</v>
      </c>
      <c r="HC447" s="19">
        <v>37.8</v>
      </c>
      <c r="HD447" s="19">
        <v>32.6</v>
      </c>
      <c r="HE447" s="19">
        <v>30.1</v>
      </c>
      <c r="HF447" s="19">
        <v>29.3</v>
      </c>
      <c r="HG447" s="19">
        <v>31.7</v>
      </c>
      <c r="HH447" s="19">
        <v>37.5</v>
      </c>
      <c r="HI447" s="19">
        <v>42.5</v>
      </c>
      <c r="HJ447" s="19">
        <v>45.4</v>
      </c>
      <c r="HK447" s="19">
        <v>44.5</v>
      </c>
      <c r="HL447" s="19">
        <v>43.4</v>
      </c>
      <c r="HM447" s="19">
        <v>42.4</v>
      </c>
      <c r="HN447" s="19">
        <v>41.4</v>
      </c>
      <c r="HO447" s="19">
        <v>40.4</v>
      </c>
      <c r="HP447" s="19">
        <v>39.4</v>
      </c>
      <c r="HQ447" s="19">
        <v>38.4</v>
      </c>
      <c r="HR447" s="19">
        <v>37.4</v>
      </c>
      <c r="HS447" s="19">
        <v>36.4</v>
      </c>
      <c r="HT447" s="19">
        <v>35.3</v>
      </c>
      <c r="HU447" s="19">
        <v>34.3</v>
      </c>
      <c r="HV447" s="19">
        <v>33.3</v>
      </c>
      <c r="HW447" s="19">
        <v>32.3</v>
      </c>
      <c r="HX447" s="19">
        <v>31.3</v>
      </c>
      <c r="HY447" s="19">
        <v>30.3</v>
      </c>
      <c r="HZ447" s="19">
        <v>29.3</v>
      </c>
      <c r="IA447" s="19">
        <v>28.3</v>
      </c>
      <c r="IB447" s="19">
        <v>27.3</v>
      </c>
    </row>
    <row r="448">
      <c r="A448" s="2" t="s">
        <v>2673</v>
      </c>
      <c r="B448" s="2" t="s">
        <v>825</v>
      </c>
      <c r="C448" s="2" t="s">
        <v>1411</v>
      </c>
      <c r="D448" s="2" t="s">
        <v>261</v>
      </c>
      <c r="E448" s="2" t="s">
        <v>603</v>
      </c>
      <c r="F448" s="2" t="s">
        <v>2674</v>
      </c>
      <c r="G448" s="2" t="s">
        <v>2675</v>
      </c>
      <c r="H448" s="2" t="s">
        <v>2676</v>
      </c>
      <c r="I448" s="2" t="s">
        <v>2677</v>
      </c>
      <c r="J448" s="2" t="s">
        <v>1052</v>
      </c>
      <c r="K448" s="2" t="s">
        <v>2678</v>
      </c>
      <c r="L448" s="3">
        <v>28.98</v>
      </c>
      <c r="M448" s="3">
        <v>30.43</v>
      </c>
      <c r="N448" s="3">
        <v>64.99</v>
      </c>
      <c r="O448" s="2" t="s">
        <v>230</v>
      </c>
      <c r="P448" s="2" t="s">
        <v>586</v>
      </c>
      <c r="Q448" s="2" t="s">
        <v>232</v>
      </c>
      <c r="R448" s="2" t="s">
        <v>233</v>
      </c>
      <c r="S448" s="2" t="s">
        <v>2679</v>
      </c>
      <c r="T448" s="2" t="s">
        <v>469</v>
      </c>
      <c r="U448" s="2" t="s">
        <v>287</v>
      </c>
      <c r="V448" s="2" t="s">
        <v>834</v>
      </c>
      <c r="W448" s="2" t="s">
        <v>712</v>
      </c>
      <c r="X448" s="2" t="s">
        <v>878</v>
      </c>
      <c r="Y448" s="2" t="s">
        <v>2680</v>
      </c>
      <c r="Z448" s="4">
        <v>214</v>
      </c>
      <c r="AA448" s="4">
        <f>=ROUNDDOWN(76.4285714285714,0)</f>
      </c>
      <c r="AB448" s="5">
        <v>2.8</v>
      </c>
      <c r="AC448" s="2" t="s">
        <v>233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233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233</v>
      </c>
      <c r="AW448" s="8" t="s">
        <v>233</v>
      </c>
      <c r="AX448" s="4" t="s">
        <v>233</v>
      </c>
      <c r="AY448" s="8" t="s">
        <v>233</v>
      </c>
      <c r="AZ448" s="7" t="s">
        <v>233</v>
      </c>
      <c r="BA448" s="7" t="s">
        <v>233</v>
      </c>
      <c r="BB448" s="7"/>
      <c r="BC448" s="4" t="s">
        <v>233</v>
      </c>
      <c r="BD448" s="8" t="s">
        <v>233</v>
      </c>
      <c r="BE448" s="4" t="s">
        <v>233</v>
      </c>
      <c r="BF448" s="8" t="s">
        <v>233</v>
      </c>
      <c r="BG448" s="7" t="s">
        <v>233</v>
      </c>
      <c r="BH448" s="7" t="s">
        <v>233</v>
      </c>
      <c r="BI448" s="7"/>
      <c r="BJ448" s="4">
        <v>21</v>
      </c>
      <c r="BK448" s="8">
        <v>732.92</v>
      </c>
      <c r="BL448" s="2" t="s">
        <v>2681</v>
      </c>
      <c r="BM448" s="7"/>
      <c r="BN448" s="7"/>
      <c r="BO448" s="4"/>
      <c r="BP448" s="8"/>
      <c r="BQ448" s="4"/>
      <c r="BR448" s="8"/>
      <c r="BS448" s="7"/>
      <c r="BT448" s="7"/>
      <c r="BU448" s="2" t="s">
        <v>2682</v>
      </c>
      <c r="BV448" s="2" t="s">
        <v>233</v>
      </c>
      <c r="BW448" s="2" t="s">
        <v>233</v>
      </c>
      <c r="BX448" s="2" t="s">
        <v>293</v>
      </c>
      <c r="BY448" s="2" t="s">
        <v>242</v>
      </c>
      <c r="BZ448" s="2" t="s">
        <v>230</v>
      </c>
      <c r="CA448" s="2" t="s">
        <v>1219</v>
      </c>
      <c r="CB448" s="2" t="s">
        <v>2683</v>
      </c>
      <c r="CC448" s="2" t="s">
        <v>245</v>
      </c>
      <c r="CD448" s="2" t="s">
        <v>233</v>
      </c>
      <c r="CE448" s="4">
        <v>214</v>
      </c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>
        <v>232</v>
      </c>
      <c r="GD448" s="4">
        <v>221</v>
      </c>
      <c r="GE448" s="4">
        <v>219</v>
      </c>
      <c r="GF448" s="4">
        <v>217</v>
      </c>
      <c r="GG448" s="4">
        <v>211</v>
      </c>
      <c r="GH448" s="4">
        <v>207</v>
      </c>
      <c r="GI448" s="4">
        <v>203</v>
      </c>
      <c r="GJ448" s="4">
        <v>200</v>
      </c>
      <c r="GK448" s="4">
        <v>198</v>
      </c>
      <c r="GL448" s="4">
        <v>196</v>
      </c>
      <c r="GM448" s="4">
        <v>194</v>
      </c>
      <c r="GN448" s="4">
        <v>192</v>
      </c>
      <c r="GO448" s="4">
        <v>190</v>
      </c>
      <c r="GP448" s="4">
        <v>187</v>
      </c>
      <c r="GQ448" s="4">
        <v>184</v>
      </c>
      <c r="GR448" s="4">
        <v>181</v>
      </c>
      <c r="GS448" s="4">
        <v>178</v>
      </c>
      <c r="GT448" s="4">
        <v>175</v>
      </c>
      <c r="GU448" s="4">
        <v>172</v>
      </c>
      <c r="GV448" s="4">
        <v>169</v>
      </c>
      <c r="GW448" s="4">
        <v>166</v>
      </c>
      <c r="GX448" s="4">
        <v>163</v>
      </c>
      <c r="GY448" s="4">
        <v>160</v>
      </c>
      <c r="GZ448" s="4">
        <v>157</v>
      </c>
      <c r="HA448" s="4">
        <v>154</v>
      </c>
      <c r="HB448" s="4">
        <v>151</v>
      </c>
      <c r="HC448" s="19">
        <v>46.4</v>
      </c>
      <c r="HD448" s="19">
        <v>55.3</v>
      </c>
      <c r="HE448" s="19">
        <v>54.8</v>
      </c>
      <c r="HF448" s="19">
        <v>54.3</v>
      </c>
      <c r="HG448" s="19">
        <v>70.3</v>
      </c>
      <c r="HH448" s="19">
        <v>69</v>
      </c>
      <c r="HI448" s="19">
        <v>101.5</v>
      </c>
      <c r="HJ448" s="19">
        <v>100</v>
      </c>
      <c r="HK448" s="19">
        <v>99</v>
      </c>
      <c r="HL448" s="19">
        <v>98</v>
      </c>
      <c r="HM448" s="19">
        <v>97</v>
      </c>
      <c r="HN448" s="19">
        <v>64</v>
      </c>
      <c r="HO448" s="19">
        <v>63.3</v>
      </c>
      <c r="HP448" s="19">
        <v>62.3</v>
      </c>
      <c r="HQ448" s="19">
        <v>61.3</v>
      </c>
      <c r="HR448" s="19">
        <v>60.3</v>
      </c>
      <c r="HS448" s="19">
        <v>59.3</v>
      </c>
      <c r="HT448" s="19">
        <v>58.3</v>
      </c>
      <c r="HU448" s="19">
        <v>57.3</v>
      </c>
      <c r="HV448" s="19">
        <v>56.3</v>
      </c>
      <c r="HW448" s="19">
        <v>55.3</v>
      </c>
      <c r="HX448" s="19">
        <v>54.3</v>
      </c>
      <c r="HY448" s="19">
        <v>53.3</v>
      </c>
      <c r="HZ448" s="19">
        <v>52.3</v>
      </c>
      <c r="IA448" s="19">
        <v>51.3</v>
      </c>
      <c r="IB448" s="19">
        <v>50.3</v>
      </c>
    </row>
    <row r="449">
      <c r="A449" s="2" t="s">
        <v>2684</v>
      </c>
      <c r="B449" s="2" t="s">
        <v>825</v>
      </c>
      <c r="C449" s="2" t="s">
        <v>1411</v>
      </c>
      <c r="D449" s="2" t="s">
        <v>774</v>
      </c>
      <c r="E449" s="2" t="s">
        <v>827</v>
      </c>
      <c r="F449" s="2" t="s">
        <v>2674</v>
      </c>
      <c r="G449" s="2" t="s">
        <v>2675</v>
      </c>
      <c r="H449" s="2" t="s">
        <v>2676</v>
      </c>
      <c r="I449" s="2" t="s">
        <v>2685</v>
      </c>
      <c r="J449" s="2" t="s">
        <v>265</v>
      </c>
      <c r="K449" s="2" t="s">
        <v>2678</v>
      </c>
      <c r="L449" s="3">
        <v>29.9</v>
      </c>
      <c r="M449" s="3">
        <v>31.4</v>
      </c>
      <c r="N449" s="3">
        <v>64.99</v>
      </c>
      <c r="O449" s="2" t="s">
        <v>2686</v>
      </c>
      <c r="P449" s="2" t="s">
        <v>721</v>
      </c>
      <c r="Q449" s="2" t="s">
        <v>232</v>
      </c>
      <c r="R449" s="2" t="s">
        <v>233</v>
      </c>
      <c r="S449" s="2" t="s">
        <v>2687</v>
      </c>
      <c r="T449" s="2" t="s">
        <v>469</v>
      </c>
      <c r="U449" s="2" t="s">
        <v>608</v>
      </c>
      <c r="V449" s="2" t="s">
        <v>834</v>
      </c>
      <c r="W449" s="2" t="s">
        <v>712</v>
      </c>
      <c r="X449" s="2" t="s">
        <v>878</v>
      </c>
      <c r="Y449" s="2" t="s">
        <v>2680</v>
      </c>
      <c r="Z449" s="4">
        <v>278</v>
      </c>
      <c r="AA449" s="4">
        <f>=ROUNDDOWN(154.444444444444,0)</f>
      </c>
      <c r="AB449" s="5">
        <v>1.8</v>
      </c>
      <c r="AC449" s="2" t="s">
        <v>233</v>
      </c>
      <c r="AD449" s="4"/>
      <c r="AE449" s="4"/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233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233</v>
      </c>
      <c r="AW449" s="8" t="s">
        <v>233</v>
      </c>
      <c r="AX449" s="4" t="s">
        <v>233</v>
      </c>
      <c r="AY449" s="8" t="s">
        <v>233</v>
      </c>
      <c r="AZ449" s="7" t="s">
        <v>233</v>
      </c>
      <c r="BA449" s="7" t="s">
        <v>233</v>
      </c>
      <c r="BB449" s="7"/>
      <c r="BC449" s="4" t="s">
        <v>233</v>
      </c>
      <c r="BD449" s="8" t="s">
        <v>233</v>
      </c>
      <c r="BE449" s="4" t="s">
        <v>233</v>
      </c>
      <c r="BF449" s="8" t="s">
        <v>233</v>
      </c>
      <c r="BG449" s="7" t="s">
        <v>233</v>
      </c>
      <c r="BH449" s="7" t="s">
        <v>233</v>
      </c>
      <c r="BI449" s="7"/>
      <c r="BJ449" s="4">
        <v>9</v>
      </c>
      <c r="BK449" s="8">
        <v>290.87</v>
      </c>
      <c r="BL449" s="2" t="s">
        <v>726</v>
      </c>
      <c r="BM449" s="7"/>
      <c r="BN449" s="7"/>
      <c r="BO449" s="4"/>
      <c r="BP449" s="8"/>
      <c r="BQ449" s="4"/>
      <c r="BR449" s="8"/>
      <c r="BS449" s="7"/>
      <c r="BT449" s="7"/>
      <c r="BU449" s="2" t="s">
        <v>2688</v>
      </c>
      <c r="BV449" s="2" t="s">
        <v>233</v>
      </c>
      <c r="BW449" s="2" t="s">
        <v>233</v>
      </c>
      <c r="BX449" s="2" t="s">
        <v>241</v>
      </c>
      <c r="BY449" s="2" t="s">
        <v>242</v>
      </c>
      <c r="BZ449" s="2" t="s">
        <v>230</v>
      </c>
      <c r="CA449" s="2" t="s">
        <v>1219</v>
      </c>
      <c r="CB449" s="2" t="s">
        <v>2507</v>
      </c>
      <c r="CC449" s="2" t="s">
        <v>245</v>
      </c>
      <c r="CD449" s="2" t="s">
        <v>233</v>
      </c>
      <c r="CE449" s="4">
        <v>278</v>
      </c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>
        <v>282</v>
      </c>
      <c r="GD449" s="4">
        <v>268</v>
      </c>
      <c r="GE449" s="4">
        <v>265</v>
      </c>
      <c r="GF449" s="4">
        <v>262</v>
      </c>
      <c r="GG449" s="4">
        <v>257</v>
      </c>
      <c r="GH449" s="4">
        <v>253</v>
      </c>
      <c r="GI449" s="4">
        <v>249</v>
      </c>
      <c r="GJ449" s="4">
        <v>246</v>
      </c>
      <c r="GK449" s="4">
        <v>244</v>
      </c>
      <c r="GL449" s="4">
        <v>242</v>
      </c>
      <c r="GM449" s="4">
        <v>240</v>
      </c>
      <c r="GN449" s="4">
        <v>238</v>
      </c>
      <c r="GO449" s="4">
        <v>236</v>
      </c>
      <c r="GP449" s="4">
        <v>234</v>
      </c>
      <c r="GQ449" s="4">
        <v>232</v>
      </c>
      <c r="GR449" s="4">
        <v>230</v>
      </c>
      <c r="GS449" s="4">
        <v>228</v>
      </c>
      <c r="GT449" s="4">
        <v>226</v>
      </c>
      <c r="GU449" s="4">
        <v>224</v>
      </c>
      <c r="GV449" s="4">
        <v>222</v>
      </c>
      <c r="GW449" s="4">
        <v>220</v>
      </c>
      <c r="GX449" s="4">
        <v>218</v>
      </c>
      <c r="GY449" s="4">
        <v>216</v>
      </c>
      <c r="GZ449" s="4">
        <v>214</v>
      </c>
      <c r="HA449" s="4">
        <v>212</v>
      </c>
      <c r="HB449" s="4">
        <v>210</v>
      </c>
      <c r="HC449" s="19">
        <v>47</v>
      </c>
      <c r="HD449" s="19">
        <v>67</v>
      </c>
      <c r="HE449" s="19">
        <v>66.3</v>
      </c>
      <c r="HF449" s="19">
        <v>65.5</v>
      </c>
      <c r="HG449" s="19">
        <v>85.7</v>
      </c>
      <c r="HH449" s="19">
        <v>84.3</v>
      </c>
      <c r="HI449" s="19">
        <v>124.5</v>
      </c>
      <c r="HJ449" s="19">
        <v>123</v>
      </c>
      <c r="HK449" s="19">
        <v>122</v>
      </c>
      <c r="HL449" s="19">
        <v>121</v>
      </c>
      <c r="HM449" s="19">
        <v>120</v>
      </c>
      <c r="HN449" s="19">
        <v>119</v>
      </c>
      <c r="HO449" s="19">
        <v>118</v>
      </c>
      <c r="HP449" s="19">
        <v>117</v>
      </c>
      <c r="HQ449" s="19">
        <v>116</v>
      </c>
      <c r="HR449" s="19">
        <v>115</v>
      </c>
      <c r="HS449" s="19">
        <v>114</v>
      </c>
      <c r="HT449" s="19">
        <v>113</v>
      </c>
      <c r="HU449" s="19">
        <v>112</v>
      </c>
      <c r="HV449" s="19">
        <v>111</v>
      </c>
      <c r="HW449" s="19">
        <v>110</v>
      </c>
      <c r="HX449" s="19">
        <v>109</v>
      </c>
      <c r="HY449" s="19">
        <v>108</v>
      </c>
      <c r="HZ449" s="19">
        <v>107</v>
      </c>
      <c r="IA449" s="19">
        <v>106</v>
      </c>
      <c r="IB449" s="19">
        <v>105</v>
      </c>
    </row>
    <row r="450">
      <c r="A450" s="2" t="s">
        <v>2689</v>
      </c>
      <c r="B450" s="2" t="s">
        <v>773</v>
      </c>
      <c r="C450" s="2" t="s">
        <v>616</v>
      </c>
      <c r="D450" s="2" t="s">
        <v>1573</v>
      </c>
      <c r="E450" s="2" t="s">
        <v>1574</v>
      </c>
      <c r="F450" s="2" t="s">
        <v>2690</v>
      </c>
      <c r="G450" s="2" t="s">
        <v>2690</v>
      </c>
      <c r="H450" s="2" t="s">
        <v>2690</v>
      </c>
      <c r="I450" s="2" t="s">
        <v>1574</v>
      </c>
      <c r="J450" s="2" t="s">
        <v>265</v>
      </c>
      <c r="K450" s="2" t="s">
        <v>300</v>
      </c>
      <c r="L450" s="3">
        <v>19.6</v>
      </c>
      <c r="M450" s="3">
        <v>20.58</v>
      </c>
      <c r="N450" s="3">
        <v>41.99</v>
      </c>
      <c r="O450" s="2" t="s">
        <v>230</v>
      </c>
      <c r="P450" s="2" t="s">
        <v>231</v>
      </c>
      <c r="Q450" s="2" t="s">
        <v>232</v>
      </c>
      <c r="R450" s="2" t="s">
        <v>233</v>
      </c>
      <c r="S450" s="2" t="s">
        <v>2691</v>
      </c>
      <c r="T450" s="2" t="s">
        <v>1546</v>
      </c>
      <c r="U450" s="2" t="s">
        <v>329</v>
      </c>
      <c r="V450" s="2" t="s">
        <v>236</v>
      </c>
      <c r="W450" s="2" t="s">
        <v>237</v>
      </c>
      <c r="X450" s="2" t="s">
        <v>233</v>
      </c>
      <c r="Y450" s="2" t="s">
        <v>2692</v>
      </c>
      <c r="Z450" s="4">
        <v>276</v>
      </c>
      <c r="AA450" s="4">
        <f>=ROUNDDOWN(19.7142857142857,0)</f>
      </c>
      <c r="AB450" s="5">
        <v>14</v>
      </c>
      <c r="AC450" s="2" t="s">
        <v>731</v>
      </c>
      <c r="AD450" s="4">
        <v>1680</v>
      </c>
      <c r="AE450" s="4">
        <v>1680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233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233</v>
      </c>
      <c r="AW450" s="8" t="s">
        <v>233</v>
      </c>
      <c r="AX450" s="4" t="s">
        <v>233</v>
      </c>
      <c r="AY450" s="8" t="s">
        <v>233</v>
      </c>
      <c r="AZ450" s="7" t="s">
        <v>233</v>
      </c>
      <c r="BA450" s="7" t="s">
        <v>233</v>
      </c>
      <c r="BB450" s="7"/>
      <c r="BC450" s="4" t="s">
        <v>233</v>
      </c>
      <c r="BD450" s="8" t="s">
        <v>233</v>
      </c>
      <c r="BE450" s="4" t="s">
        <v>233</v>
      </c>
      <c r="BF450" s="8" t="s">
        <v>233</v>
      </c>
      <c r="BG450" s="7" t="s">
        <v>233</v>
      </c>
      <c r="BH450" s="7" t="s">
        <v>233</v>
      </c>
      <c r="BI450" s="7"/>
      <c r="BJ450" s="4">
        <v>92</v>
      </c>
      <c r="BK450" s="8">
        <v>2041.75</v>
      </c>
      <c r="BL450" s="2" t="s">
        <v>1358</v>
      </c>
      <c r="BM450" s="7"/>
      <c r="BN450" s="7"/>
      <c r="BO450" s="4"/>
      <c r="BP450" s="8"/>
      <c r="BQ450" s="4"/>
      <c r="BR450" s="8"/>
      <c r="BS450" s="7"/>
      <c r="BT450" s="7"/>
      <c r="BU450" s="2" t="s">
        <v>2693</v>
      </c>
      <c r="BV450" s="2" t="s">
        <v>233</v>
      </c>
      <c r="BW450" s="2" t="s">
        <v>233</v>
      </c>
      <c r="BX450" s="2" t="s">
        <v>241</v>
      </c>
      <c r="BY450" s="2" t="s">
        <v>242</v>
      </c>
      <c r="BZ450" s="2" t="s">
        <v>230</v>
      </c>
      <c r="CA450" s="2" t="s">
        <v>1409</v>
      </c>
      <c r="CB450" s="2" t="s">
        <v>1920</v>
      </c>
      <c r="CC450" s="2" t="s">
        <v>245</v>
      </c>
      <c r="CD450" s="2" t="s">
        <v>233</v>
      </c>
      <c r="CE450" s="4">
        <v>276</v>
      </c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>
        <v>1680</v>
      </c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>
        <v>286</v>
      </c>
      <c r="GD450" s="4">
        <v>491</v>
      </c>
      <c r="GE450" s="4">
        <v>448</v>
      </c>
      <c r="GF450" s="4">
        <v>415</v>
      </c>
      <c r="GG450" s="4">
        <v>335</v>
      </c>
      <c r="GH450" s="4">
        <v>300</v>
      </c>
      <c r="GI450" s="4">
        <v>250</v>
      </c>
      <c r="GJ450" s="4">
        <v>227</v>
      </c>
      <c r="GK450" s="4">
        <v>219</v>
      </c>
      <c r="GL450" s="4">
        <v>205</v>
      </c>
      <c r="GM450" s="4">
        <v>192</v>
      </c>
      <c r="GN450" s="4">
        <v>179</v>
      </c>
      <c r="GO450" s="4">
        <v>166</v>
      </c>
      <c r="GP450" s="4">
        <v>153</v>
      </c>
      <c r="GQ450" s="4">
        <v>140</v>
      </c>
      <c r="GR450" s="4">
        <v>129</v>
      </c>
      <c r="GS450" s="4">
        <v>118</v>
      </c>
      <c r="GT450" s="4">
        <v>105</v>
      </c>
      <c r="GU450" s="4">
        <v>94</v>
      </c>
      <c r="GV450" s="4">
        <v>79</v>
      </c>
      <c r="GW450" s="4">
        <v>64</v>
      </c>
      <c r="GX450" s="4">
        <v>49</v>
      </c>
      <c r="GY450" s="4">
        <v>34</v>
      </c>
      <c r="GZ450" s="4">
        <v>16</v>
      </c>
      <c r="HA450" s="4"/>
      <c r="HB450" s="4">
        <v>179</v>
      </c>
      <c r="HC450" s="19">
        <v>6</v>
      </c>
      <c r="HD450" s="19">
        <v>10.2</v>
      </c>
      <c r="HE450" s="19">
        <v>9</v>
      </c>
      <c r="HF450" s="19">
        <v>8.8</v>
      </c>
      <c r="HG450" s="19">
        <v>11.6</v>
      </c>
      <c r="HH450" s="19">
        <v>12.5</v>
      </c>
      <c r="HI450" s="19">
        <v>17.9</v>
      </c>
      <c r="HJ450" s="19">
        <v>18.9</v>
      </c>
      <c r="HK450" s="19">
        <v>16.8</v>
      </c>
      <c r="HL450" s="19">
        <v>15.8</v>
      </c>
      <c r="HM450" s="19">
        <v>14.8</v>
      </c>
      <c r="HN450" s="19">
        <v>14.9</v>
      </c>
      <c r="HO450" s="19">
        <v>13.8</v>
      </c>
      <c r="HP450" s="19">
        <v>12.8</v>
      </c>
      <c r="HQ450" s="19">
        <v>11.7</v>
      </c>
      <c r="HR450" s="19">
        <v>10.8</v>
      </c>
      <c r="HS450" s="19">
        <v>8.4</v>
      </c>
      <c r="HT450" s="19">
        <v>7.5</v>
      </c>
      <c r="HU450" s="19">
        <v>6.3</v>
      </c>
      <c r="HV450" s="19">
        <v>4.9</v>
      </c>
      <c r="HW450" s="19">
        <v>4</v>
      </c>
      <c r="HX450" s="19">
        <v>2.9</v>
      </c>
      <c r="HY450" s="19">
        <v>1.9</v>
      </c>
      <c r="HZ450" s="19">
        <v>0.9</v>
      </c>
      <c r="IA450" s="20">
        <v>0</v>
      </c>
      <c r="IB450" s="19">
        <v>11.2</v>
      </c>
    </row>
    <row r="451">
      <c r="A451" s="2" t="s">
        <v>2694</v>
      </c>
      <c r="B451" s="2" t="s">
        <v>773</v>
      </c>
      <c r="C451" s="2" t="s">
        <v>616</v>
      </c>
      <c r="D451" s="2" t="s">
        <v>1573</v>
      </c>
      <c r="E451" s="2" t="s">
        <v>1574</v>
      </c>
      <c r="F451" s="2" t="s">
        <v>2690</v>
      </c>
      <c r="G451" s="2" t="s">
        <v>2690</v>
      </c>
      <c r="H451" s="2" t="s">
        <v>2690</v>
      </c>
      <c r="I451" s="2" t="s">
        <v>1574</v>
      </c>
      <c r="J451" s="2" t="s">
        <v>256</v>
      </c>
      <c r="K451" s="2" t="s">
        <v>300</v>
      </c>
      <c r="L451" s="3">
        <v>22.38</v>
      </c>
      <c r="M451" s="3">
        <v>23.5</v>
      </c>
      <c r="N451" s="3">
        <v>46.99</v>
      </c>
      <c r="O451" s="2" t="s">
        <v>230</v>
      </c>
      <c r="P451" s="2" t="s">
        <v>231</v>
      </c>
      <c r="Q451" s="2" t="s">
        <v>232</v>
      </c>
      <c r="R451" s="2" t="s">
        <v>233</v>
      </c>
      <c r="S451" s="2" t="s">
        <v>2691</v>
      </c>
      <c r="T451" s="2" t="s">
        <v>1546</v>
      </c>
      <c r="U451" s="2" t="s">
        <v>329</v>
      </c>
      <c r="V451" s="2" t="s">
        <v>236</v>
      </c>
      <c r="W451" s="2" t="s">
        <v>237</v>
      </c>
      <c r="X451" s="2" t="s">
        <v>233</v>
      </c>
      <c r="Y451" s="2" t="s">
        <v>2692</v>
      </c>
      <c r="Z451" s="4">
        <v>266</v>
      </c>
      <c r="AA451" s="4">
        <f>=ROUNDDOWN(24.1818181818182,0)</f>
      </c>
      <c r="AB451" s="5">
        <v>11</v>
      </c>
      <c r="AC451" s="2" t="s">
        <v>731</v>
      </c>
      <c r="AD451" s="4">
        <v>980</v>
      </c>
      <c r="AE451" s="4">
        <v>980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233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233</v>
      </c>
      <c r="AW451" s="8" t="s">
        <v>233</v>
      </c>
      <c r="AX451" s="4" t="s">
        <v>233</v>
      </c>
      <c r="AY451" s="8" t="s">
        <v>233</v>
      </c>
      <c r="AZ451" s="7" t="s">
        <v>233</v>
      </c>
      <c r="BA451" s="7" t="s">
        <v>233</v>
      </c>
      <c r="BB451" s="7"/>
      <c r="BC451" s="4" t="s">
        <v>233</v>
      </c>
      <c r="BD451" s="8" t="s">
        <v>233</v>
      </c>
      <c r="BE451" s="4" t="s">
        <v>233</v>
      </c>
      <c r="BF451" s="8" t="s">
        <v>233</v>
      </c>
      <c r="BG451" s="7" t="s">
        <v>233</v>
      </c>
      <c r="BH451" s="7" t="s">
        <v>233</v>
      </c>
      <c r="BI451" s="7"/>
      <c r="BJ451" s="4">
        <v>66</v>
      </c>
      <c r="BK451" s="8">
        <v>1673.33</v>
      </c>
      <c r="BL451" s="2" t="s">
        <v>1874</v>
      </c>
      <c r="BM451" s="7"/>
      <c r="BN451" s="7"/>
      <c r="BO451" s="4"/>
      <c r="BP451" s="8"/>
      <c r="BQ451" s="4"/>
      <c r="BR451" s="8"/>
      <c r="BS451" s="7"/>
      <c r="BT451" s="7"/>
      <c r="BU451" s="2" t="s">
        <v>2693</v>
      </c>
      <c r="BV451" s="2" t="s">
        <v>233</v>
      </c>
      <c r="BW451" s="2" t="s">
        <v>233</v>
      </c>
      <c r="BX451" s="2" t="s">
        <v>241</v>
      </c>
      <c r="BY451" s="2" t="s">
        <v>242</v>
      </c>
      <c r="BZ451" s="2" t="s">
        <v>230</v>
      </c>
      <c r="CA451" s="2" t="s">
        <v>1409</v>
      </c>
      <c r="CB451" s="2" t="s">
        <v>2695</v>
      </c>
      <c r="CC451" s="2" t="s">
        <v>245</v>
      </c>
      <c r="CD451" s="2" t="s">
        <v>233</v>
      </c>
      <c r="CE451" s="4">
        <v>266</v>
      </c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>
        <v>980</v>
      </c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>
        <v>275</v>
      </c>
      <c r="GD451" s="4">
        <v>390</v>
      </c>
      <c r="GE451" s="4">
        <v>363</v>
      </c>
      <c r="GF451" s="4">
        <v>335</v>
      </c>
      <c r="GG451" s="4">
        <v>283</v>
      </c>
      <c r="GH451" s="4">
        <v>256</v>
      </c>
      <c r="GI451" s="4">
        <v>225</v>
      </c>
      <c r="GJ451" s="4">
        <v>214</v>
      </c>
      <c r="GK451" s="4">
        <v>210</v>
      </c>
      <c r="GL451" s="4">
        <v>200</v>
      </c>
      <c r="GM451" s="4">
        <v>191</v>
      </c>
      <c r="GN451" s="4">
        <v>182</v>
      </c>
      <c r="GO451" s="4">
        <v>173</v>
      </c>
      <c r="GP451" s="4">
        <v>164</v>
      </c>
      <c r="GQ451" s="4">
        <v>155</v>
      </c>
      <c r="GR451" s="4">
        <v>145</v>
      </c>
      <c r="GS451" s="4">
        <v>135</v>
      </c>
      <c r="GT451" s="4">
        <v>124</v>
      </c>
      <c r="GU451" s="4">
        <v>114</v>
      </c>
      <c r="GV451" s="4">
        <v>102</v>
      </c>
      <c r="GW451" s="4">
        <v>90</v>
      </c>
      <c r="GX451" s="4">
        <v>78</v>
      </c>
      <c r="GY451" s="4">
        <v>66</v>
      </c>
      <c r="GZ451" s="4">
        <v>52</v>
      </c>
      <c r="HA451" s="4">
        <v>38</v>
      </c>
      <c r="HB451" s="4">
        <v>137</v>
      </c>
      <c r="HC451" s="19">
        <v>8.3</v>
      </c>
      <c r="HD451" s="19">
        <v>11.5</v>
      </c>
      <c r="HE451" s="19">
        <v>10.7</v>
      </c>
      <c r="HF451" s="19">
        <v>11.2</v>
      </c>
      <c r="HG451" s="19">
        <v>15.7</v>
      </c>
      <c r="HH451" s="19">
        <v>18.3</v>
      </c>
      <c r="HI451" s="19">
        <v>28.1</v>
      </c>
      <c r="HJ451" s="19">
        <v>26.8</v>
      </c>
      <c r="HK451" s="19">
        <v>23.3</v>
      </c>
      <c r="HL451" s="19">
        <v>22.2</v>
      </c>
      <c r="HM451" s="19">
        <v>21.2</v>
      </c>
      <c r="HN451" s="19">
        <v>20.2</v>
      </c>
      <c r="HO451" s="19">
        <v>17.3</v>
      </c>
      <c r="HP451" s="19">
        <v>16.4</v>
      </c>
      <c r="HQ451" s="19">
        <v>15.5</v>
      </c>
      <c r="HR451" s="19">
        <v>13.2</v>
      </c>
      <c r="HS451" s="19">
        <v>12.3</v>
      </c>
      <c r="HT451" s="19">
        <v>10.3</v>
      </c>
      <c r="HU451" s="19">
        <v>9.5</v>
      </c>
      <c r="HV451" s="19">
        <v>8.5</v>
      </c>
      <c r="HW451" s="19">
        <v>6.9</v>
      </c>
      <c r="HX451" s="19">
        <v>5.6</v>
      </c>
      <c r="HY451" s="19">
        <v>4.7</v>
      </c>
      <c r="HZ451" s="19">
        <v>3.7</v>
      </c>
      <c r="IA451" s="19">
        <v>2.9</v>
      </c>
      <c r="IB451" s="19">
        <v>10.5</v>
      </c>
    </row>
    <row r="452">
      <c r="A452" s="2" t="s">
        <v>2696</v>
      </c>
      <c r="B452" s="2" t="s">
        <v>773</v>
      </c>
      <c r="C452" s="2" t="s">
        <v>616</v>
      </c>
      <c r="D452" s="2" t="s">
        <v>1573</v>
      </c>
      <c r="E452" s="2" t="s">
        <v>1574</v>
      </c>
      <c r="F452" s="2" t="s">
        <v>2690</v>
      </c>
      <c r="G452" s="2" t="s">
        <v>2690</v>
      </c>
      <c r="H452" s="2" t="s">
        <v>2690</v>
      </c>
      <c r="I452" s="2" t="s">
        <v>1574</v>
      </c>
      <c r="J452" s="2" t="s">
        <v>228</v>
      </c>
      <c r="K452" s="2" t="s">
        <v>2697</v>
      </c>
      <c r="L452" s="3">
        <v>16.56</v>
      </c>
      <c r="M452" s="3">
        <v>17.39</v>
      </c>
      <c r="N452" s="3">
        <v>36.99</v>
      </c>
      <c r="O452" s="2" t="s">
        <v>230</v>
      </c>
      <c r="P452" s="2" t="s">
        <v>231</v>
      </c>
      <c r="Q452" s="2" t="s">
        <v>232</v>
      </c>
      <c r="R452" s="2" t="s">
        <v>233</v>
      </c>
      <c r="S452" s="2" t="s">
        <v>2698</v>
      </c>
      <c r="T452" s="2" t="s">
        <v>1546</v>
      </c>
      <c r="U452" s="2" t="s">
        <v>329</v>
      </c>
      <c r="V452" s="2" t="s">
        <v>236</v>
      </c>
      <c r="W452" s="2" t="s">
        <v>237</v>
      </c>
      <c r="X452" s="2" t="s">
        <v>233</v>
      </c>
      <c r="Y452" s="2" t="s">
        <v>2692</v>
      </c>
      <c r="Z452" s="4">
        <v>217</v>
      </c>
      <c r="AA452" s="4">
        <f>=ROUNDDOWN(27.125,0)</f>
      </c>
      <c r="AB452" s="5">
        <v>8</v>
      </c>
      <c r="AC452" s="2" t="s">
        <v>731</v>
      </c>
      <c r="AD452" s="4">
        <v>490</v>
      </c>
      <c r="AE452" s="4">
        <v>620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233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 t="s">
        <v>233</v>
      </c>
      <c r="BD452" s="8" t="s">
        <v>233</v>
      </c>
      <c r="BE452" s="4" t="s">
        <v>233</v>
      </c>
      <c r="BF452" s="8" t="s">
        <v>233</v>
      </c>
      <c r="BG452" s="7" t="s">
        <v>233</v>
      </c>
      <c r="BH452" s="7" t="s">
        <v>233</v>
      </c>
      <c r="BI452" s="7"/>
      <c r="BJ452" s="4">
        <v>22</v>
      </c>
      <c r="BK452" s="8">
        <v>412.64</v>
      </c>
      <c r="BL452" s="2" t="s">
        <v>2699</v>
      </c>
      <c r="BM452" s="7"/>
      <c r="BN452" s="7"/>
      <c r="BO452" s="4"/>
      <c r="BP452" s="8"/>
      <c r="BQ452" s="4"/>
      <c r="BR452" s="8"/>
      <c r="BS452" s="7"/>
      <c r="BT452" s="7"/>
      <c r="BU452" s="2" t="s">
        <v>2693</v>
      </c>
      <c r="BV452" s="2" t="s">
        <v>233</v>
      </c>
      <c r="BW452" s="2" t="s">
        <v>233</v>
      </c>
      <c r="BX452" s="2" t="s">
        <v>241</v>
      </c>
      <c r="BY452" s="2" t="s">
        <v>242</v>
      </c>
      <c r="BZ452" s="2" t="s">
        <v>230</v>
      </c>
      <c r="CA452" s="2" t="s">
        <v>1409</v>
      </c>
      <c r="CB452" s="2" t="s">
        <v>233</v>
      </c>
      <c r="CC452" s="2" t="s">
        <v>245</v>
      </c>
      <c r="CD452" s="2" t="s">
        <v>233</v>
      </c>
      <c r="CE452" s="4">
        <v>217</v>
      </c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>
        <v>490</v>
      </c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>
        <v>50</v>
      </c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>
        <v>80</v>
      </c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>
        <v>218</v>
      </c>
      <c r="GD452" s="4">
        <v>271</v>
      </c>
      <c r="GE452" s="4">
        <v>252</v>
      </c>
      <c r="GF452" s="4">
        <v>237</v>
      </c>
      <c r="GG452" s="4">
        <v>207</v>
      </c>
      <c r="GH452" s="4">
        <v>191</v>
      </c>
      <c r="GI452" s="4">
        <v>222</v>
      </c>
      <c r="GJ452" s="4">
        <v>215</v>
      </c>
      <c r="GK452" s="4">
        <v>210</v>
      </c>
      <c r="GL452" s="4">
        <v>203</v>
      </c>
      <c r="GM452" s="4">
        <v>196</v>
      </c>
      <c r="GN452" s="4">
        <v>189</v>
      </c>
      <c r="GO452" s="4">
        <v>182</v>
      </c>
      <c r="GP452" s="4">
        <v>175</v>
      </c>
      <c r="GQ452" s="4">
        <v>168</v>
      </c>
      <c r="GR452" s="4">
        <v>161</v>
      </c>
      <c r="GS452" s="4">
        <v>234</v>
      </c>
      <c r="GT452" s="4">
        <v>226</v>
      </c>
      <c r="GU452" s="4">
        <v>219</v>
      </c>
      <c r="GV452" s="4">
        <v>211</v>
      </c>
      <c r="GW452" s="4">
        <v>203</v>
      </c>
      <c r="GX452" s="4">
        <v>195</v>
      </c>
      <c r="GY452" s="4">
        <v>187</v>
      </c>
      <c r="GZ452" s="4">
        <v>177</v>
      </c>
      <c r="HA452" s="4">
        <v>167</v>
      </c>
      <c r="HB452" s="4">
        <v>157</v>
      </c>
      <c r="HC452" s="19">
        <v>10.9</v>
      </c>
      <c r="HD452" s="19">
        <v>13.6</v>
      </c>
      <c r="HE452" s="19">
        <v>12.6</v>
      </c>
      <c r="HF452" s="19">
        <v>13.2</v>
      </c>
      <c r="HG452" s="19">
        <v>17.3</v>
      </c>
      <c r="HH452" s="19">
        <v>19.1</v>
      </c>
      <c r="HI452" s="19">
        <v>37</v>
      </c>
      <c r="HJ452" s="19">
        <v>35.8</v>
      </c>
      <c r="HK452" s="19">
        <v>30</v>
      </c>
      <c r="HL452" s="19">
        <v>29</v>
      </c>
      <c r="HM452" s="19">
        <v>28</v>
      </c>
      <c r="HN452" s="19">
        <v>27</v>
      </c>
      <c r="HO452" s="19">
        <v>26</v>
      </c>
      <c r="HP452" s="19">
        <v>25</v>
      </c>
      <c r="HQ452" s="19">
        <v>24</v>
      </c>
      <c r="HR452" s="19">
        <v>20.1</v>
      </c>
      <c r="HS452" s="19">
        <v>29.3</v>
      </c>
      <c r="HT452" s="19">
        <v>28.3</v>
      </c>
      <c r="HU452" s="19">
        <v>27.4</v>
      </c>
      <c r="HV452" s="19">
        <v>26.4</v>
      </c>
      <c r="HW452" s="19">
        <v>22.6</v>
      </c>
      <c r="HX452" s="19">
        <v>19.5</v>
      </c>
      <c r="HY452" s="19">
        <v>18.7</v>
      </c>
      <c r="HZ452" s="19">
        <v>19.7</v>
      </c>
      <c r="IA452" s="19">
        <v>18.6</v>
      </c>
      <c r="IB452" s="19">
        <v>19.6</v>
      </c>
    </row>
    <row r="453">
      <c r="A453" s="2" t="s">
        <v>2700</v>
      </c>
      <c r="B453" s="2" t="s">
        <v>773</v>
      </c>
      <c r="C453" s="2" t="s">
        <v>616</v>
      </c>
      <c r="D453" s="2" t="s">
        <v>1573</v>
      </c>
      <c r="E453" s="2" t="s">
        <v>1574</v>
      </c>
      <c r="F453" s="2" t="s">
        <v>2690</v>
      </c>
      <c r="G453" s="2" t="s">
        <v>2690</v>
      </c>
      <c r="H453" s="2" t="s">
        <v>2690</v>
      </c>
      <c r="I453" s="2" t="s">
        <v>1574</v>
      </c>
      <c r="J453" s="2" t="s">
        <v>228</v>
      </c>
      <c r="K453" s="2" t="s">
        <v>458</v>
      </c>
      <c r="L453" s="3">
        <v>16.56</v>
      </c>
      <c r="M453" s="3">
        <v>17.39</v>
      </c>
      <c r="N453" s="3">
        <v>36.99</v>
      </c>
      <c r="O453" s="2" t="s">
        <v>230</v>
      </c>
      <c r="P453" s="2" t="s">
        <v>231</v>
      </c>
      <c r="Q453" s="2" t="s">
        <v>232</v>
      </c>
      <c r="R453" s="2" t="s">
        <v>233</v>
      </c>
      <c r="S453" s="2" t="s">
        <v>2701</v>
      </c>
      <c r="T453" s="2" t="s">
        <v>1546</v>
      </c>
      <c r="U453" s="2" t="s">
        <v>329</v>
      </c>
      <c r="V453" s="2" t="s">
        <v>236</v>
      </c>
      <c r="W453" s="2" t="s">
        <v>237</v>
      </c>
      <c r="X453" s="2" t="s">
        <v>233</v>
      </c>
      <c r="Y453" s="2" t="s">
        <v>2702</v>
      </c>
      <c r="Z453" s="4">
        <v>261</v>
      </c>
      <c r="AA453" s="4">
        <f>=ROUNDDOWN(37.2857142857143,0)</f>
      </c>
      <c r="AB453" s="5">
        <v>7</v>
      </c>
      <c r="AC453" s="2" t="s">
        <v>2462</v>
      </c>
      <c r="AD453" s="4">
        <v>80</v>
      </c>
      <c r="AE453" s="4">
        <v>80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233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233</v>
      </c>
      <c r="AW453" s="8" t="s">
        <v>233</v>
      </c>
      <c r="AX453" s="4" t="s">
        <v>233</v>
      </c>
      <c r="AY453" s="8" t="s">
        <v>233</v>
      </c>
      <c r="AZ453" s="7" t="s">
        <v>233</v>
      </c>
      <c r="BA453" s="7" t="s">
        <v>233</v>
      </c>
      <c r="BB453" s="7"/>
      <c r="BC453" s="4" t="s">
        <v>233</v>
      </c>
      <c r="BD453" s="8" t="s">
        <v>233</v>
      </c>
      <c r="BE453" s="4" t="s">
        <v>233</v>
      </c>
      <c r="BF453" s="8" t="s">
        <v>233</v>
      </c>
      <c r="BG453" s="7" t="s">
        <v>233</v>
      </c>
      <c r="BH453" s="7" t="s">
        <v>233</v>
      </c>
      <c r="BI453" s="7"/>
      <c r="BJ453" s="4">
        <v>25</v>
      </c>
      <c r="BK453" s="8">
        <v>468.11</v>
      </c>
      <c r="BL453" s="2" t="s">
        <v>1668</v>
      </c>
      <c r="BM453" s="7"/>
      <c r="BN453" s="7"/>
      <c r="BO453" s="4"/>
      <c r="BP453" s="8"/>
      <c r="BQ453" s="4"/>
      <c r="BR453" s="8"/>
      <c r="BS453" s="7"/>
      <c r="BT453" s="7"/>
      <c r="BU453" s="2" t="s">
        <v>2693</v>
      </c>
      <c r="BV453" s="2" t="s">
        <v>233</v>
      </c>
      <c r="BW453" s="2" t="s">
        <v>233</v>
      </c>
      <c r="BX453" s="2" t="s">
        <v>241</v>
      </c>
      <c r="BY453" s="2" t="s">
        <v>242</v>
      </c>
      <c r="BZ453" s="2" t="s">
        <v>230</v>
      </c>
      <c r="CA453" s="2" t="s">
        <v>1409</v>
      </c>
      <c r="CB453" s="2" t="s">
        <v>2703</v>
      </c>
      <c r="CC453" s="2" t="s">
        <v>245</v>
      </c>
      <c r="CD453" s="2" t="s">
        <v>233</v>
      </c>
      <c r="CE453" s="4">
        <v>261</v>
      </c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>
        <v>80</v>
      </c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>
        <v>269</v>
      </c>
      <c r="GD453" s="4">
        <v>251</v>
      </c>
      <c r="GE453" s="4">
        <v>235</v>
      </c>
      <c r="GF453" s="4">
        <v>222</v>
      </c>
      <c r="GG453" s="4">
        <v>196</v>
      </c>
      <c r="GH453" s="4">
        <v>182</v>
      </c>
      <c r="GI453" s="4">
        <v>165</v>
      </c>
      <c r="GJ453" s="4">
        <v>159</v>
      </c>
      <c r="GK453" s="4">
        <v>155</v>
      </c>
      <c r="GL453" s="4">
        <v>149</v>
      </c>
      <c r="GM453" s="4">
        <v>143</v>
      </c>
      <c r="GN453" s="4">
        <v>137</v>
      </c>
      <c r="GO453" s="4">
        <v>131</v>
      </c>
      <c r="GP453" s="4">
        <v>125</v>
      </c>
      <c r="GQ453" s="4">
        <v>119</v>
      </c>
      <c r="GR453" s="4">
        <v>113</v>
      </c>
      <c r="GS453" s="4">
        <v>187</v>
      </c>
      <c r="GT453" s="4">
        <v>180</v>
      </c>
      <c r="GU453" s="4">
        <v>174</v>
      </c>
      <c r="GV453" s="4">
        <v>167</v>
      </c>
      <c r="GW453" s="4">
        <v>160</v>
      </c>
      <c r="GX453" s="4">
        <v>153</v>
      </c>
      <c r="GY453" s="4">
        <v>146</v>
      </c>
      <c r="GZ453" s="4">
        <v>137</v>
      </c>
      <c r="HA453" s="4">
        <v>128</v>
      </c>
      <c r="HB453" s="4">
        <v>119</v>
      </c>
      <c r="HC453" s="19">
        <v>14.9</v>
      </c>
      <c r="HD453" s="19">
        <v>14.8</v>
      </c>
      <c r="HE453" s="19">
        <v>13.1</v>
      </c>
      <c r="HF453" s="19">
        <v>13.9</v>
      </c>
      <c r="HG453" s="19">
        <v>19.6</v>
      </c>
      <c r="HH453" s="19">
        <v>22.8</v>
      </c>
      <c r="HI453" s="19">
        <v>27.5</v>
      </c>
      <c r="HJ453" s="19">
        <v>26.5</v>
      </c>
      <c r="HK453" s="19">
        <v>25.8</v>
      </c>
      <c r="HL453" s="19">
        <v>24.8</v>
      </c>
      <c r="HM453" s="19">
        <v>23.8</v>
      </c>
      <c r="HN453" s="19">
        <v>22.8</v>
      </c>
      <c r="HO453" s="19">
        <v>21.8</v>
      </c>
      <c r="HP453" s="19">
        <v>20.8</v>
      </c>
      <c r="HQ453" s="19">
        <v>19.8</v>
      </c>
      <c r="HR453" s="19">
        <v>18.8</v>
      </c>
      <c r="HS453" s="19">
        <v>26.7</v>
      </c>
      <c r="HT453" s="19">
        <v>25.7</v>
      </c>
      <c r="HU453" s="19">
        <v>24.9</v>
      </c>
      <c r="HV453" s="19">
        <v>20.9</v>
      </c>
      <c r="HW453" s="19">
        <v>20</v>
      </c>
      <c r="HX453" s="19">
        <v>19.1</v>
      </c>
      <c r="HY453" s="19">
        <v>16.2</v>
      </c>
      <c r="HZ453" s="19">
        <v>17.1</v>
      </c>
      <c r="IA453" s="19">
        <v>16</v>
      </c>
      <c r="IB453" s="19">
        <v>17</v>
      </c>
    </row>
    <row r="454">
      <c r="A454" s="2" t="s">
        <v>2704</v>
      </c>
      <c r="B454" s="2" t="s">
        <v>773</v>
      </c>
      <c r="C454" s="2" t="s">
        <v>616</v>
      </c>
      <c r="D454" s="2" t="s">
        <v>1573</v>
      </c>
      <c r="E454" s="2" t="s">
        <v>1574</v>
      </c>
      <c r="F454" s="2" t="s">
        <v>2690</v>
      </c>
      <c r="G454" s="2" t="s">
        <v>2690</v>
      </c>
      <c r="H454" s="2" t="s">
        <v>2690</v>
      </c>
      <c r="I454" s="2" t="s">
        <v>1574</v>
      </c>
      <c r="J454" s="2" t="s">
        <v>256</v>
      </c>
      <c r="K454" s="2" t="s">
        <v>458</v>
      </c>
      <c r="L454" s="3">
        <v>22.38</v>
      </c>
      <c r="M454" s="3">
        <v>23.5</v>
      </c>
      <c r="N454" s="3">
        <v>46.99</v>
      </c>
      <c r="O454" s="2" t="s">
        <v>230</v>
      </c>
      <c r="P454" s="2" t="s">
        <v>231</v>
      </c>
      <c r="Q454" s="2" t="s">
        <v>232</v>
      </c>
      <c r="R454" s="2" t="s">
        <v>233</v>
      </c>
      <c r="S454" s="2" t="s">
        <v>2701</v>
      </c>
      <c r="T454" s="2" t="s">
        <v>1546</v>
      </c>
      <c r="U454" s="2" t="s">
        <v>329</v>
      </c>
      <c r="V454" s="2" t="s">
        <v>236</v>
      </c>
      <c r="W454" s="2" t="s">
        <v>237</v>
      </c>
      <c r="X454" s="2" t="s">
        <v>233</v>
      </c>
      <c r="Y454" s="2" t="s">
        <v>2692</v>
      </c>
      <c r="Z454" s="4">
        <v>99</v>
      </c>
      <c r="AA454" s="4">
        <f>=ROUNDDOWN(7.61538461538462,0)</f>
      </c>
      <c r="AB454" s="5">
        <v>13</v>
      </c>
      <c r="AC454" s="2" t="s">
        <v>731</v>
      </c>
      <c r="AD454" s="4">
        <v>560</v>
      </c>
      <c r="AE454" s="4">
        <v>1000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233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233</v>
      </c>
      <c r="AW454" s="8" t="s">
        <v>233</v>
      </c>
      <c r="AX454" s="4" t="s">
        <v>233</v>
      </c>
      <c r="AY454" s="8" t="s">
        <v>233</v>
      </c>
      <c r="AZ454" s="7" t="s">
        <v>233</v>
      </c>
      <c r="BA454" s="7" t="s">
        <v>233</v>
      </c>
      <c r="BB454" s="7"/>
      <c r="BC454" s="4" t="s">
        <v>233</v>
      </c>
      <c r="BD454" s="8" t="s">
        <v>233</v>
      </c>
      <c r="BE454" s="4" t="s">
        <v>233</v>
      </c>
      <c r="BF454" s="8" t="s">
        <v>233</v>
      </c>
      <c r="BG454" s="7" t="s">
        <v>233</v>
      </c>
      <c r="BH454" s="7" t="s">
        <v>233</v>
      </c>
      <c r="BI454" s="7"/>
      <c r="BJ454" s="4">
        <v>81</v>
      </c>
      <c r="BK454" s="8">
        <v>2064.07</v>
      </c>
      <c r="BL454" s="2" t="s">
        <v>1652</v>
      </c>
      <c r="BM454" s="7"/>
      <c r="BN454" s="7"/>
      <c r="BO454" s="4"/>
      <c r="BP454" s="8"/>
      <c r="BQ454" s="4"/>
      <c r="BR454" s="8"/>
      <c r="BS454" s="7"/>
      <c r="BT454" s="7"/>
      <c r="BU454" s="2" t="s">
        <v>2693</v>
      </c>
      <c r="BV454" s="2" t="s">
        <v>233</v>
      </c>
      <c r="BW454" s="2" t="s">
        <v>233</v>
      </c>
      <c r="BX454" s="2" t="s">
        <v>241</v>
      </c>
      <c r="BY454" s="2" t="s">
        <v>242</v>
      </c>
      <c r="BZ454" s="2" t="s">
        <v>230</v>
      </c>
      <c r="CA454" s="2" t="s">
        <v>1409</v>
      </c>
      <c r="CB454" s="2" t="s">
        <v>2705</v>
      </c>
      <c r="CC454" s="2" t="s">
        <v>245</v>
      </c>
      <c r="CD454" s="2" t="s">
        <v>233</v>
      </c>
      <c r="CE454" s="4">
        <v>99</v>
      </c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>
        <v>560</v>
      </c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>
        <v>200</v>
      </c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>
        <v>240</v>
      </c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>
        <v>128</v>
      </c>
      <c r="GD454" s="4">
        <v>168</v>
      </c>
      <c r="GE454" s="4">
        <v>144</v>
      </c>
      <c r="GF454" s="4">
        <v>119</v>
      </c>
      <c r="GG454" s="4">
        <v>69</v>
      </c>
      <c r="GH454" s="4">
        <v>42</v>
      </c>
      <c r="GI454" s="4">
        <v>211</v>
      </c>
      <c r="GJ454" s="4">
        <v>198</v>
      </c>
      <c r="GK454" s="4">
        <v>191</v>
      </c>
      <c r="GL454" s="4">
        <v>179</v>
      </c>
      <c r="GM454" s="4">
        <v>168</v>
      </c>
      <c r="GN454" s="4">
        <v>157</v>
      </c>
      <c r="GO454" s="4">
        <v>146</v>
      </c>
      <c r="GP454" s="4">
        <v>135</v>
      </c>
      <c r="GQ454" s="4">
        <v>124</v>
      </c>
      <c r="GR454" s="4">
        <v>112</v>
      </c>
      <c r="GS454" s="4">
        <v>340</v>
      </c>
      <c r="GT454" s="4">
        <v>327</v>
      </c>
      <c r="GU454" s="4">
        <v>315</v>
      </c>
      <c r="GV454" s="4">
        <v>299</v>
      </c>
      <c r="GW454" s="4">
        <v>284</v>
      </c>
      <c r="GX454" s="4">
        <v>269</v>
      </c>
      <c r="GY454" s="4">
        <v>254</v>
      </c>
      <c r="GZ454" s="4">
        <v>235</v>
      </c>
      <c r="HA454" s="4">
        <v>217</v>
      </c>
      <c r="HB454" s="4">
        <v>198</v>
      </c>
      <c r="HC454" s="19">
        <v>3.7</v>
      </c>
      <c r="HD454" s="19">
        <v>5.3</v>
      </c>
      <c r="HE454" s="19">
        <v>4.4</v>
      </c>
      <c r="HF454" s="19">
        <v>4</v>
      </c>
      <c r="HG454" s="19">
        <v>3.5</v>
      </c>
      <c r="HH454" s="19">
        <v>2.6</v>
      </c>
      <c r="HI454" s="19">
        <v>19.2</v>
      </c>
      <c r="HJ454" s="19">
        <v>19.8</v>
      </c>
      <c r="HK454" s="19">
        <v>17.4</v>
      </c>
      <c r="HL454" s="19">
        <v>16.3</v>
      </c>
      <c r="HM454" s="19">
        <v>15.3</v>
      </c>
      <c r="HN454" s="19">
        <v>14.3</v>
      </c>
      <c r="HO454" s="19">
        <v>12.2</v>
      </c>
      <c r="HP454" s="19">
        <v>11.3</v>
      </c>
      <c r="HQ454" s="19">
        <v>10.3</v>
      </c>
      <c r="HR454" s="19">
        <v>8.6</v>
      </c>
      <c r="HS454" s="19">
        <v>24.3</v>
      </c>
      <c r="HT454" s="19">
        <v>23.4</v>
      </c>
      <c r="HU454" s="19">
        <v>21</v>
      </c>
      <c r="HV454" s="19">
        <v>18.7</v>
      </c>
      <c r="HW454" s="19">
        <v>16.7</v>
      </c>
      <c r="HX454" s="19">
        <v>14.9</v>
      </c>
      <c r="HY454" s="19">
        <v>14.1</v>
      </c>
      <c r="HZ454" s="19">
        <v>13.8</v>
      </c>
      <c r="IA454" s="19">
        <v>13.6</v>
      </c>
      <c r="IB454" s="19">
        <v>13.2</v>
      </c>
    </row>
    <row r="455">
      <c r="A455" s="2" t="s">
        <v>2706</v>
      </c>
      <c r="B455" s="2" t="s">
        <v>773</v>
      </c>
      <c r="C455" s="2" t="s">
        <v>616</v>
      </c>
      <c r="D455" s="2" t="s">
        <v>1573</v>
      </c>
      <c r="E455" s="2" t="s">
        <v>1574</v>
      </c>
      <c r="F455" s="2" t="s">
        <v>2690</v>
      </c>
      <c r="G455" s="2" t="s">
        <v>2690</v>
      </c>
      <c r="H455" s="2" t="s">
        <v>2690</v>
      </c>
      <c r="I455" s="2" t="s">
        <v>1574</v>
      </c>
      <c r="J455" s="2" t="s">
        <v>228</v>
      </c>
      <c r="K455" s="2" t="s">
        <v>266</v>
      </c>
      <c r="L455" s="3">
        <v>16.56</v>
      </c>
      <c r="M455" s="3">
        <v>17.39</v>
      </c>
      <c r="N455" s="3">
        <v>36.99</v>
      </c>
      <c r="O455" s="2" t="s">
        <v>230</v>
      </c>
      <c r="P455" s="2" t="s">
        <v>231</v>
      </c>
      <c r="Q455" s="2" t="s">
        <v>232</v>
      </c>
      <c r="R455" s="2" t="s">
        <v>233</v>
      </c>
      <c r="S455" s="2" t="s">
        <v>2707</v>
      </c>
      <c r="T455" s="2" t="s">
        <v>1546</v>
      </c>
      <c r="U455" s="2" t="s">
        <v>329</v>
      </c>
      <c r="V455" s="2" t="s">
        <v>236</v>
      </c>
      <c r="W455" s="2" t="s">
        <v>237</v>
      </c>
      <c r="X455" s="2" t="s">
        <v>233</v>
      </c>
      <c r="Y455" s="2" t="s">
        <v>2702</v>
      </c>
      <c r="Z455" s="4">
        <v>221</v>
      </c>
      <c r="AA455" s="4">
        <f>=ROUNDDOWN(44.2,0)</f>
      </c>
      <c r="AB455" s="5">
        <v>5</v>
      </c>
      <c r="AC455" s="2" t="s">
        <v>147</v>
      </c>
      <c r="AD455" s="4">
        <v>80</v>
      </c>
      <c r="AE455" s="4">
        <v>80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233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233</v>
      </c>
      <c r="AW455" s="8" t="s">
        <v>233</v>
      </c>
      <c r="AX455" s="4" t="s">
        <v>233</v>
      </c>
      <c r="AY455" s="8" t="s">
        <v>233</v>
      </c>
      <c r="AZ455" s="7" t="s">
        <v>233</v>
      </c>
      <c r="BA455" s="7" t="s">
        <v>233</v>
      </c>
      <c r="BB455" s="7"/>
      <c r="BC455" s="4" t="s">
        <v>233</v>
      </c>
      <c r="BD455" s="8" t="s">
        <v>233</v>
      </c>
      <c r="BE455" s="4" t="s">
        <v>233</v>
      </c>
      <c r="BF455" s="8" t="s">
        <v>233</v>
      </c>
      <c r="BG455" s="7" t="s">
        <v>233</v>
      </c>
      <c r="BH455" s="7" t="s">
        <v>233</v>
      </c>
      <c r="BI455" s="7"/>
      <c r="BJ455" s="4">
        <v>17</v>
      </c>
      <c r="BK455" s="8">
        <v>317.7</v>
      </c>
      <c r="BL455" s="2" t="s">
        <v>507</v>
      </c>
      <c r="BM455" s="7"/>
      <c r="BN455" s="7"/>
      <c r="BO455" s="4"/>
      <c r="BP455" s="8"/>
      <c r="BQ455" s="4"/>
      <c r="BR455" s="8"/>
      <c r="BS455" s="7"/>
      <c r="BT455" s="7"/>
      <c r="BU455" s="2" t="s">
        <v>2693</v>
      </c>
      <c r="BV455" s="2" t="s">
        <v>233</v>
      </c>
      <c r="BW455" s="2" t="s">
        <v>233</v>
      </c>
      <c r="BX455" s="2" t="s">
        <v>241</v>
      </c>
      <c r="BY455" s="2" t="s">
        <v>242</v>
      </c>
      <c r="BZ455" s="2" t="s">
        <v>230</v>
      </c>
      <c r="CA455" s="2" t="s">
        <v>1409</v>
      </c>
      <c r="CB455" s="2" t="s">
        <v>233</v>
      </c>
      <c r="CC455" s="2" t="s">
        <v>245</v>
      </c>
      <c r="CD455" s="2" t="s">
        <v>233</v>
      </c>
      <c r="CE455" s="4">
        <v>221</v>
      </c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>
        <v>80</v>
      </c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>
        <v>222</v>
      </c>
      <c r="GD455" s="4">
        <v>213</v>
      </c>
      <c r="GE455" s="4">
        <v>200</v>
      </c>
      <c r="GF455" s="4">
        <v>190</v>
      </c>
      <c r="GG455" s="4">
        <v>249</v>
      </c>
      <c r="GH455" s="4">
        <v>238</v>
      </c>
      <c r="GI455" s="4">
        <v>225</v>
      </c>
      <c r="GJ455" s="4">
        <v>221</v>
      </c>
      <c r="GK455" s="4">
        <v>218</v>
      </c>
      <c r="GL455" s="4">
        <v>213</v>
      </c>
      <c r="GM455" s="4">
        <v>209</v>
      </c>
      <c r="GN455" s="4">
        <v>205</v>
      </c>
      <c r="GO455" s="4">
        <v>201</v>
      </c>
      <c r="GP455" s="4">
        <v>197</v>
      </c>
      <c r="GQ455" s="4">
        <v>193</v>
      </c>
      <c r="GR455" s="4">
        <v>188</v>
      </c>
      <c r="GS455" s="4">
        <v>183</v>
      </c>
      <c r="GT455" s="4">
        <v>178</v>
      </c>
      <c r="GU455" s="4">
        <v>173</v>
      </c>
      <c r="GV455" s="4">
        <v>168</v>
      </c>
      <c r="GW455" s="4">
        <v>163</v>
      </c>
      <c r="GX455" s="4">
        <v>158</v>
      </c>
      <c r="GY455" s="4">
        <v>153</v>
      </c>
      <c r="GZ455" s="4">
        <v>147</v>
      </c>
      <c r="HA455" s="4">
        <v>141</v>
      </c>
      <c r="HB455" s="4">
        <v>135</v>
      </c>
      <c r="HC455" s="19">
        <v>17.1</v>
      </c>
      <c r="HD455" s="19">
        <v>15.2</v>
      </c>
      <c r="HE455" s="19">
        <v>14.3</v>
      </c>
      <c r="HF455" s="19">
        <v>15.8</v>
      </c>
      <c r="HG455" s="19">
        <v>31.1</v>
      </c>
      <c r="HH455" s="19">
        <v>39.7</v>
      </c>
      <c r="HI455" s="19">
        <v>56.3</v>
      </c>
      <c r="HJ455" s="19">
        <v>55.3</v>
      </c>
      <c r="HK455" s="19">
        <v>54.5</v>
      </c>
      <c r="HL455" s="19">
        <v>53.3</v>
      </c>
      <c r="HM455" s="19">
        <v>52.3</v>
      </c>
      <c r="HN455" s="19">
        <v>51.3</v>
      </c>
      <c r="HO455" s="19">
        <v>50.3</v>
      </c>
      <c r="HP455" s="19">
        <v>39.4</v>
      </c>
      <c r="HQ455" s="19">
        <v>38.6</v>
      </c>
      <c r="HR455" s="19">
        <v>37.6</v>
      </c>
      <c r="HS455" s="19">
        <v>36.6</v>
      </c>
      <c r="HT455" s="19">
        <v>35.6</v>
      </c>
      <c r="HU455" s="19">
        <v>34.6</v>
      </c>
      <c r="HV455" s="19">
        <v>33.6</v>
      </c>
      <c r="HW455" s="19">
        <v>27.2</v>
      </c>
      <c r="HX455" s="19">
        <v>26.3</v>
      </c>
      <c r="HY455" s="19">
        <v>25.5</v>
      </c>
      <c r="HZ455" s="19">
        <v>24.5</v>
      </c>
      <c r="IA455" s="19">
        <v>23.5</v>
      </c>
      <c r="IB455" s="19">
        <v>27</v>
      </c>
    </row>
    <row r="456">
      <c r="A456" s="2" t="s">
        <v>2708</v>
      </c>
      <c r="B456" s="2" t="s">
        <v>773</v>
      </c>
      <c r="C456" s="2" t="s">
        <v>616</v>
      </c>
      <c r="D456" s="2" t="s">
        <v>1573</v>
      </c>
      <c r="E456" s="2" t="s">
        <v>1574</v>
      </c>
      <c r="F456" s="2" t="s">
        <v>2690</v>
      </c>
      <c r="G456" s="2" t="s">
        <v>2690</v>
      </c>
      <c r="H456" s="2" t="s">
        <v>2690</v>
      </c>
      <c r="I456" s="2" t="s">
        <v>1574</v>
      </c>
      <c r="J456" s="2" t="s">
        <v>265</v>
      </c>
      <c r="K456" s="2" t="s">
        <v>266</v>
      </c>
      <c r="L456" s="3">
        <v>19.6</v>
      </c>
      <c r="M456" s="3">
        <v>20.58</v>
      </c>
      <c r="N456" s="3">
        <v>41.99</v>
      </c>
      <c r="O456" s="2" t="s">
        <v>230</v>
      </c>
      <c r="P456" s="2" t="s">
        <v>231</v>
      </c>
      <c r="Q456" s="2" t="s">
        <v>232</v>
      </c>
      <c r="R456" s="2" t="s">
        <v>233</v>
      </c>
      <c r="S456" s="2" t="s">
        <v>2707</v>
      </c>
      <c r="T456" s="2" t="s">
        <v>1546</v>
      </c>
      <c r="U456" s="2" t="s">
        <v>329</v>
      </c>
      <c r="V456" s="2" t="s">
        <v>236</v>
      </c>
      <c r="W456" s="2" t="s">
        <v>237</v>
      </c>
      <c r="X456" s="2" t="s">
        <v>233</v>
      </c>
      <c r="Y456" s="2" t="s">
        <v>2702</v>
      </c>
      <c r="Z456" s="4">
        <v>317</v>
      </c>
      <c r="AA456" s="4">
        <f>=ROUNDDOWN(31.7,0)</f>
      </c>
      <c r="AB456" s="5">
        <v>10</v>
      </c>
      <c r="AC456" s="2" t="s">
        <v>147</v>
      </c>
      <c r="AD456" s="4">
        <v>200</v>
      </c>
      <c r="AE456" s="4">
        <v>200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233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233</v>
      </c>
      <c r="AW456" s="8" t="s">
        <v>233</v>
      </c>
      <c r="AX456" s="4" t="s">
        <v>233</v>
      </c>
      <c r="AY456" s="8" t="s">
        <v>233</v>
      </c>
      <c r="AZ456" s="7" t="s">
        <v>233</v>
      </c>
      <c r="BA456" s="7" t="s">
        <v>233</v>
      </c>
      <c r="BB456" s="7"/>
      <c r="BC456" s="4" t="s">
        <v>233</v>
      </c>
      <c r="BD456" s="8" t="s">
        <v>233</v>
      </c>
      <c r="BE456" s="4" t="s">
        <v>233</v>
      </c>
      <c r="BF456" s="8" t="s">
        <v>233</v>
      </c>
      <c r="BG456" s="7" t="s">
        <v>233</v>
      </c>
      <c r="BH456" s="7" t="s">
        <v>233</v>
      </c>
      <c r="BI456" s="7"/>
      <c r="BJ456" s="4">
        <v>62</v>
      </c>
      <c r="BK456" s="8">
        <v>1368.34</v>
      </c>
      <c r="BL456" s="2" t="s">
        <v>303</v>
      </c>
      <c r="BM456" s="7"/>
      <c r="BN456" s="7"/>
      <c r="BO456" s="4"/>
      <c r="BP456" s="8"/>
      <c r="BQ456" s="4"/>
      <c r="BR456" s="8"/>
      <c r="BS456" s="7"/>
      <c r="BT456" s="7"/>
      <c r="BU456" s="2" t="s">
        <v>2693</v>
      </c>
      <c r="BV456" s="2" t="s">
        <v>233</v>
      </c>
      <c r="BW456" s="2" t="s">
        <v>233</v>
      </c>
      <c r="BX456" s="2" t="s">
        <v>241</v>
      </c>
      <c r="BY456" s="2" t="s">
        <v>242</v>
      </c>
      <c r="BZ456" s="2" t="s">
        <v>230</v>
      </c>
      <c r="CA456" s="2" t="s">
        <v>1409</v>
      </c>
      <c r="CB456" s="2" t="s">
        <v>2020</v>
      </c>
      <c r="CC456" s="2" t="s">
        <v>245</v>
      </c>
      <c r="CD456" s="2" t="s">
        <v>233</v>
      </c>
      <c r="CE456" s="4">
        <v>317</v>
      </c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>
        <v>200</v>
      </c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>
        <v>322</v>
      </c>
      <c r="GD456" s="4">
        <v>298</v>
      </c>
      <c r="GE456" s="4">
        <v>265</v>
      </c>
      <c r="GF456" s="4">
        <v>240</v>
      </c>
      <c r="GG456" s="4">
        <v>379</v>
      </c>
      <c r="GH456" s="4">
        <v>353</v>
      </c>
      <c r="GI456" s="4">
        <v>315</v>
      </c>
      <c r="GJ456" s="4">
        <v>298</v>
      </c>
      <c r="GK456" s="4">
        <v>293</v>
      </c>
      <c r="GL456" s="4">
        <v>283</v>
      </c>
      <c r="GM456" s="4">
        <v>274</v>
      </c>
      <c r="GN456" s="4">
        <v>265</v>
      </c>
      <c r="GO456" s="4">
        <v>256</v>
      </c>
      <c r="GP456" s="4">
        <v>247</v>
      </c>
      <c r="GQ456" s="4">
        <v>238</v>
      </c>
      <c r="GR456" s="4">
        <v>230</v>
      </c>
      <c r="GS456" s="4">
        <v>222</v>
      </c>
      <c r="GT456" s="4">
        <v>213</v>
      </c>
      <c r="GU456" s="4">
        <v>205</v>
      </c>
      <c r="GV456" s="4">
        <v>195</v>
      </c>
      <c r="GW456" s="4">
        <v>185</v>
      </c>
      <c r="GX456" s="4">
        <v>175</v>
      </c>
      <c r="GY456" s="4">
        <v>165</v>
      </c>
      <c r="GZ456" s="4">
        <v>153</v>
      </c>
      <c r="HA456" s="4">
        <v>141</v>
      </c>
      <c r="HB456" s="4">
        <v>129</v>
      </c>
      <c r="HC456" s="19">
        <v>8.9</v>
      </c>
      <c r="HD456" s="19">
        <v>8.3</v>
      </c>
      <c r="HE456" s="19">
        <v>7</v>
      </c>
      <c r="HF456" s="19">
        <v>6.7</v>
      </c>
      <c r="HG456" s="19">
        <v>17.2</v>
      </c>
      <c r="HH456" s="19">
        <v>19.6</v>
      </c>
      <c r="HI456" s="19">
        <v>31.5</v>
      </c>
      <c r="HJ456" s="19">
        <v>37.3</v>
      </c>
      <c r="HK456" s="19">
        <v>32.6</v>
      </c>
      <c r="HL456" s="19">
        <v>31.4</v>
      </c>
      <c r="HM456" s="19">
        <v>30.4</v>
      </c>
      <c r="HN456" s="19">
        <v>29.4</v>
      </c>
      <c r="HO456" s="19">
        <v>32</v>
      </c>
      <c r="HP456" s="19">
        <v>30.9</v>
      </c>
      <c r="HQ456" s="19">
        <v>29.8</v>
      </c>
      <c r="HR456" s="19">
        <v>25.6</v>
      </c>
      <c r="HS456" s="19">
        <v>24.7</v>
      </c>
      <c r="HT456" s="19">
        <v>21.3</v>
      </c>
      <c r="HU456" s="19">
        <v>20.5</v>
      </c>
      <c r="HV456" s="19">
        <v>19.5</v>
      </c>
      <c r="HW456" s="19">
        <v>16.8</v>
      </c>
      <c r="HX456" s="19">
        <v>14.6</v>
      </c>
      <c r="HY456" s="19">
        <v>13.8</v>
      </c>
      <c r="HZ456" s="19">
        <v>12.8</v>
      </c>
      <c r="IA456" s="19">
        <v>11.8</v>
      </c>
      <c r="IB456" s="19">
        <v>11.7</v>
      </c>
    </row>
    <row r="457">
      <c r="A457" s="2" t="s">
        <v>2709</v>
      </c>
      <c r="B457" s="2" t="s">
        <v>773</v>
      </c>
      <c r="C457" s="2" t="s">
        <v>616</v>
      </c>
      <c r="D457" s="2" t="s">
        <v>1573</v>
      </c>
      <c r="E457" s="2" t="s">
        <v>1574</v>
      </c>
      <c r="F457" s="2" t="s">
        <v>2690</v>
      </c>
      <c r="G457" s="2" t="s">
        <v>2690</v>
      </c>
      <c r="H457" s="2" t="s">
        <v>2690</v>
      </c>
      <c r="I457" s="2" t="s">
        <v>1574</v>
      </c>
      <c r="J457" s="2" t="s">
        <v>256</v>
      </c>
      <c r="K457" s="2" t="s">
        <v>266</v>
      </c>
      <c r="L457" s="3">
        <v>22.38</v>
      </c>
      <c r="M457" s="3">
        <v>23.5</v>
      </c>
      <c r="N457" s="3">
        <v>46.99</v>
      </c>
      <c r="O457" s="2" t="s">
        <v>230</v>
      </c>
      <c r="P457" s="2" t="s">
        <v>231</v>
      </c>
      <c r="Q457" s="2" t="s">
        <v>232</v>
      </c>
      <c r="R457" s="2" t="s">
        <v>233</v>
      </c>
      <c r="S457" s="2" t="s">
        <v>2707</v>
      </c>
      <c r="T457" s="2" t="s">
        <v>1546</v>
      </c>
      <c r="U457" s="2" t="s">
        <v>329</v>
      </c>
      <c r="V457" s="2" t="s">
        <v>236</v>
      </c>
      <c r="W457" s="2" t="s">
        <v>237</v>
      </c>
      <c r="X457" s="2" t="s">
        <v>233</v>
      </c>
      <c r="Y457" s="2" t="s">
        <v>2702</v>
      </c>
      <c r="Z457" s="4">
        <v>170</v>
      </c>
      <c r="AA457" s="4">
        <f>=ROUNDDOWN(18.8888888888889,0)</f>
      </c>
      <c r="AB457" s="5">
        <v>9</v>
      </c>
      <c r="AC457" s="2" t="s">
        <v>147</v>
      </c>
      <c r="AD457" s="4">
        <v>130</v>
      </c>
      <c r="AE457" s="4">
        <v>130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233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233</v>
      </c>
      <c r="AW457" s="8" t="s">
        <v>233</v>
      </c>
      <c r="AX457" s="4" t="s">
        <v>233</v>
      </c>
      <c r="AY457" s="8" t="s">
        <v>233</v>
      </c>
      <c r="AZ457" s="7" t="s">
        <v>233</v>
      </c>
      <c r="BA457" s="7" t="s">
        <v>233</v>
      </c>
      <c r="BB457" s="7"/>
      <c r="BC457" s="4" t="s">
        <v>233</v>
      </c>
      <c r="BD457" s="8" t="s">
        <v>233</v>
      </c>
      <c r="BE457" s="4" t="s">
        <v>233</v>
      </c>
      <c r="BF457" s="8" t="s">
        <v>233</v>
      </c>
      <c r="BG457" s="7" t="s">
        <v>233</v>
      </c>
      <c r="BH457" s="7" t="s">
        <v>233</v>
      </c>
      <c r="BI457" s="7"/>
      <c r="BJ457" s="4">
        <v>41</v>
      </c>
      <c r="BK457" s="8">
        <v>1035.99</v>
      </c>
      <c r="BL457" s="2" t="s">
        <v>1358</v>
      </c>
      <c r="BM457" s="7"/>
      <c r="BN457" s="7"/>
      <c r="BO457" s="4"/>
      <c r="BP457" s="8"/>
      <c r="BQ457" s="4"/>
      <c r="BR457" s="8"/>
      <c r="BS457" s="7"/>
      <c r="BT457" s="7"/>
      <c r="BU457" s="2" t="s">
        <v>2693</v>
      </c>
      <c r="BV457" s="2" t="s">
        <v>233</v>
      </c>
      <c r="BW457" s="2" t="s">
        <v>233</v>
      </c>
      <c r="BX457" s="2" t="s">
        <v>241</v>
      </c>
      <c r="BY457" s="2" t="s">
        <v>242</v>
      </c>
      <c r="BZ457" s="2" t="s">
        <v>230</v>
      </c>
      <c r="CA457" s="2" t="s">
        <v>1409</v>
      </c>
      <c r="CB457" s="2" t="s">
        <v>1920</v>
      </c>
      <c r="CC457" s="2" t="s">
        <v>245</v>
      </c>
      <c r="CD457" s="2" t="s">
        <v>233</v>
      </c>
      <c r="CE457" s="4">
        <v>170</v>
      </c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>
        <v>130</v>
      </c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>
        <v>175</v>
      </c>
      <c r="GD457" s="4">
        <v>156</v>
      </c>
      <c r="GE457" s="4">
        <v>134</v>
      </c>
      <c r="GF457" s="4">
        <v>111</v>
      </c>
      <c r="GG457" s="4">
        <v>199</v>
      </c>
      <c r="GH457" s="4">
        <v>177</v>
      </c>
      <c r="GI457" s="4">
        <v>152</v>
      </c>
      <c r="GJ457" s="4">
        <v>143</v>
      </c>
      <c r="GK457" s="4">
        <v>140</v>
      </c>
      <c r="GL457" s="4">
        <v>132</v>
      </c>
      <c r="GM457" s="4">
        <v>125</v>
      </c>
      <c r="GN457" s="4">
        <v>118</v>
      </c>
      <c r="GO457" s="4">
        <v>111</v>
      </c>
      <c r="GP457" s="4">
        <v>104</v>
      </c>
      <c r="GQ457" s="4">
        <v>97</v>
      </c>
      <c r="GR457" s="4">
        <v>89</v>
      </c>
      <c r="GS457" s="4">
        <v>81</v>
      </c>
      <c r="GT457" s="4">
        <v>72</v>
      </c>
      <c r="GU457" s="4">
        <v>64</v>
      </c>
      <c r="GV457" s="4">
        <v>54</v>
      </c>
      <c r="GW457" s="4">
        <v>44</v>
      </c>
      <c r="GX457" s="4">
        <v>34</v>
      </c>
      <c r="GY457" s="4">
        <v>24</v>
      </c>
      <c r="GZ457" s="4">
        <v>12</v>
      </c>
      <c r="HA457" s="4"/>
      <c r="HB457" s="4">
        <v>115</v>
      </c>
      <c r="HC457" s="19">
        <v>6.7</v>
      </c>
      <c r="HD457" s="19">
        <v>5.8</v>
      </c>
      <c r="HE457" s="19">
        <v>4.8</v>
      </c>
      <c r="HF457" s="19">
        <v>4.6</v>
      </c>
      <c r="HG457" s="19">
        <v>13.3</v>
      </c>
      <c r="HH457" s="19">
        <v>16.1</v>
      </c>
      <c r="HI457" s="19">
        <v>21.7</v>
      </c>
      <c r="HJ457" s="19">
        <v>23.8</v>
      </c>
      <c r="HK457" s="19">
        <v>20</v>
      </c>
      <c r="HL457" s="19">
        <v>18.9</v>
      </c>
      <c r="HM457" s="19">
        <v>17.9</v>
      </c>
      <c r="HN457" s="19">
        <v>16.9</v>
      </c>
      <c r="HO457" s="19">
        <v>13.9</v>
      </c>
      <c r="HP457" s="19">
        <v>13</v>
      </c>
      <c r="HQ457" s="19">
        <v>12.1</v>
      </c>
      <c r="HR457" s="19">
        <v>9.9</v>
      </c>
      <c r="HS457" s="19">
        <v>9</v>
      </c>
      <c r="HT457" s="19">
        <v>7.2</v>
      </c>
      <c r="HU457" s="19">
        <v>6.4</v>
      </c>
      <c r="HV457" s="19">
        <v>5.4</v>
      </c>
      <c r="HW457" s="19">
        <v>4</v>
      </c>
      <c r="HX457" s="19">
        <v>2.8</v>
      </c>
      <c r="HY457" s="19">
        <v>2</v>
      </c>
      <c r="HZ457" s="19">
        <v>1</v>
      </c>
      <c r="IA457" s="20">
        <v>0</v>
      </c>
      <c r="IB457" s="19">
        <v>10.5</v>
      </c>
    </row>
    <row r="458">
      <c r="A458" s="2" t="s">
        <v>2710</v>
      </c>
      <c r="B458" s="2" t="s">
        <v>736</v>
      </c>
      <c r="C458" s="2" t="s">
        <v>762</v>
      </c>
      <c r="D458" s="2" t="s">
        <v>737</v>
      </c>
      <c r="E458" s="2" t="s">
        <v>738</v>
      </c>
      <c r="F458" s="2" t="s">
        <v>2711</v>
      </c>
      <c r="G458" s="2" t="s">
        <v>2711</v>
      </c>
      <c r="H458" s="2" t="s">
        <v>2711</v>
      </c>
      <c r="I458" s="2" t="s">
        <v>2712</v>
      </c>
      <c r="J458" s="2" t="s">
        <v>741</v>
      </c>
      <c r="K458" s="2" t="s">
        <v>2713</v>
      </c>
      <c r="L458" s="3">
        <v>50</v>
      </c>
      <c r="M458" s="3">
        <v>52.5</v>
      </c>
      <c r="N458" s="3">
        <v>104.99</v>
      </c>
      <c r="O458" s="2" t="s">
        <v>230</v>
      </c>
      <c r="P458" s="2" t="s">
        <v>231</v>
      </c>
      <c r="Q458" s="2" t="s">
        <v>232</v>
      </c>
      <c r="R458" s="2" t="s">
        <v>233</v>
      </c>
      <c r="S458" s="2" t="s">
        <v>233</v>
      </c>
      <c r="T458" s="2" t="s">
        <v>233</v>
      </c>
      <c r="U458" s="2" t="s">
        <v>711</v>
      </c>
      <c r="V458" s="2" t="s">
        <v>609</v>
      </c>
      <c r="W458" s="2" t="s">
        <v>620</v>
      </c>
      <c r="X458" s="2" t="s">
        <v>233</v>
      </c>
      <c r="Y458" s="2" t="s">
        <v>1269</v>
      </c>
      <c r="Z458" s="4"/>
      <c r="AA458" s="4">
        <f>=ROUNDDOWN({0},0)</f>
      </c>
      <c r="AB458" s="5">
        <v>5</v>
      </c>
      <c r="AC458" s="2" t="s">
        <v>746</v>
      </c>
      <c r="AD458" s="4">
        <v>100</v>
      </c>
      <c r="AE458" s="4">
        <v>100</v>
      </c>
      <c r="AF458" s="6">
        <v>63</v>
      </c>
      <c r="AG458" s="6"/>
      <c r="AH458" s="7">
        <v>0.1613</v>
      </c>
      <c r="AI458" s="4"/>
      <c r="AJ458" s="4">
        <f>=ROUNDDOWN({0},0)</f>
      </c>
      <c r="AK458" s="5"/>
      <c r="AL458" s="2" t="s">
        <v>233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/>
      <c r="BD458" s="8"/>
      <c r="BE458" s="4"/>
      <c r="BF458" s="8"/>
      <c r="BG458" s="7"/>
      <c r="BH458" s="7"/>
      <c r="BI458" s="7"/>
      <c r="BJ458" s="4">
        <v>14</v>
      </c>
      <c r="BK458" s="8">
        <v>805.3</v>
      </c>
      <c r="BL458" s="2" t="s">
        <v>2714</v>
      </c>
      <c r="BM458" s="7"/>
      <c r="BN458" s="7"/>
      <c r="BO458" s="4"/>
      <c r="BP458" s="8"/>
      <c r="BQ458" s="4"/>
      <c r="BR458" s="8"/>
      <c r="BS458" s="7"/>
      <c r="BT458" s="7"/>
      <c r="BU458" s="2" t="s">
        <v>2715</v>
      </c>
      <c r="BV458" s="2" t="s">
        <v>233</v>
      </c>
      <c r="BW458" s="2" t="s">
        <v>233</v>
      </c>
      <c r="BX458" s="2" t="s">
        <v>241</v>
      </c>
      <c r="BY458" s="2" t="s">
        <v>242</v>
      </c>
      <c r="BZ458" s="2" t="s">
        <v>230</v>
      </c>
      <c r="CA458" s="2" t="s">
        <v>2716</v>
      </c>
      <c r="CB458" s="2" t="s">
        <v>2717</v>
      </c>
      <c r="CC458" s="2" t="s">
        <v>245</v>
      </c>
      <c r="CD458" s="2" t="s">
        <v>233</v>
      </c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>
        <v>100</v>
      </c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>
        <v>100</v>
      </c>
      <c r="GI458" s="4">
        <v>87</v>
      </c>
      <c r="GJ458" s="4">
        <v>78</v>
      </c>
      <c r="GK458" s="4">
        <v>73</v>
      </c>
      <c r="GL458" s="4">
        <v>68</v>
      </c>
      <c r="GM458" s="4">
        <v>63</v>
      </c>
      <c r="GN458" s="4">
        <v>58</v>
      </c>
      <c r="GO458" s="4">
        <v>53</v>
      </c>
      <c r="GP458" s="4">
        <v>48</v>
      </c>
      <c r="GQ458" s="4">
        <v>43</v>
      </c>
      <c r="GR458" s="4">
        <v>38</v>
      </c>
      <c r="GS458" s="4">
        <v>33</v>
      </c>
      <c r="GT458" s="4">
        <v>27</v>
      </c>
      <c r="GU458" s="4">
        <v>22</v>
      </c>
      <c r="GV458" s="4">
        <v>17</v>
      </c>
      <c r="GW458" s="4">
        <v>12</v>
      </c>
      <c r="GX458" s="4">
        <v>55</v>
      </c>
      <c r="GY458" s="4">
        <v>50</v>
      </c>
      <c r="GZ458" s="4">
        <v>45</v>
      </c>
      <c r="HA458" s="4">
        <v>40</v>
      </c>
      <c r="HB458" s="4">
        <v>35</v>
      </c>
      <c r="HC458" s="20">
        <v>0</v>
      </c>
      <c r="HD458" s="20">
        <v>0</v>
      </c>
      <c r="HE458" s="20">
        <v>0</v>
      </c>
      <c r="HF458" s="20">
        <v>0</v>
      </c>
      <c r="HG458" s="20">
        <v>0</v>
      </c>
      <c r="HH458" s="19">
        <v>12.5</v>
      </c>
      <c r="HI458" s="19">
        <v>14.5</v>
      </c>
      <c r="HJ458" s="19">
        <v>15.6</v>
      </c>
      <c r="HK458" s="19">
        <v>14.6</v>
      </c>
      <c r="HL458" s="19">
        <v>13.6</v>
      </c>
      <c r="HM458" s="19">
        <v>12.6</v>
      </c>
      <c r="HN458" s="19">
        <v>11.6</v>
      </c>
      <c r="HO458" s="19">
        <v>10.6</v>
      </c>
      <c r="HP458" s="19">
        <v>9.6</v>
      </c>
      <c r="HQ458" s="19">
        <v>8.6</v>
      </c>
      <c r="HR458" s="19">
        <v>7.6</v>
      </c>
      <c r="HS458" s="19">
        <v>6.6</v>
      </c>
      <c r="HT458" s="19">
        <v>5.4</v>
      </c>
      <c r="HU458" s="19">
        <v>4.4</v>
      </c>
      <c r="HV458" s="19">
        <v>3.4</v>
      </c>
      <c r="HW458" s="19">
        <v>2.4</v>
      </c>
      <c r="HX458" s="19">
        <v>11</v>
      </c>
      <c r="HY458" s="19">
        <v>10</v>
      </c>
      <c r="HZ458" s="19">
        <v>9</v>
      </c>
      <c r="IA458" s="19">
        <v>8</v>
      </c>
      <c r="IB458" s="19">
        <v>7</v>
      </c>
    </row>
    <row r="459">
      <c r="A459" s="2" t="s">
        <v>2718</v>
      </c>
      <c r="B459" s="2" t="s">
        <v>773</v>
      </c>
      <c r="C459" s="2" t="s">
        <v>280</v>
      </c>
      <c r="D459" s="2" t="s">
        <v>261</v>
      </c>
      <c r="E459" s="2" t="s">
        <v>895</v>
      </c>
      <c r="F459" s="2" t="s">
        <v>2719</v>
      </c>
      <c r="G459" s="2" t="s">
        <v>2720</v>
      </c>
      <c r="H459" s="2" t="s">
        <v>2720</v>
      </c>
      <c r="I459" s="2" t="s">
        <v>2721</v>
      </c>
      <c r="J459" s="2" t="s">
        <v>275</v>
      </c>
      <c r="K459" s="2" t="s">
        <v>434</v>
      </c>
      <c r="L459" s="3">
        <v>44.65</v>
      </c>
      <c r="M459" s="3">
        <v>46.88</v>
      </c>
      <c r="N459" s="3">
        <v>94.99</v>
      </c>
      <c r="O459" s="2" t="s">
        <v>230</v>
      </c>
      <c r="P459" s="2" t="s">
        <v>231</v>
      </c>
      <c r="Q459" s="2" t="s">
        <v>232</v>
      </c>
      <c r="R459" s="2" t="s">
        <v>233</v>
      </c>
      <c r="S459" s="2" t="s">
        <v>2722</v>
      </c>
      <c r="T459" s="2" t="s">
        <v>780</v>
      </c>
      <c r="U459" s="2" t="s">
        <v>781</v>
      </c>
      <c r="V459" s="2" t="s">
        <v>236</v>
      </c>
      <c r="W459" s="2" t="s">
        <v>288</v>
      </c>
      <c r="X459" s="2" t="s">
        <v>620</v>
      </c>
      <c r="Y459" s="2" t="s">
        <v>2723</v>
      </c>
      <c r="Z459" s="4">
        <v>360</v>
      </c>
      <c r="AA459" s="4">
        <f>=ROUNDDOWN(36,0)</f>
      </c>
      <c r="AB459" s="5">
        <v>10</v>
      </c>
      <c r="AC459" s="2" t="s">
        <v>134</v>
      </c>
      <c r="AD459" s="4">
        <v>90</v>
      </c>
      <c r="AE459" s="4">
        <v>340</v>
      </c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233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 t="s">
        <v>233</v>
      </c>
      <c r="BD459" s="8" t="s">
        <v>233</v>
      </c>
      <c r="BE459" s="4" t="s">
        <v>233</v>
      </c>
      <c r="BF459" s="8" t="s">
        <v>233</v>
      </c>
      <c r="BG459" s="7" t="s">
        <v>233</v>
      </c>
      <c r="BH459" s="7" t="s">
        <v>233</v>
      </c>
      <c r="BI459" s="7"/>
      <c r="BJ459" s="4">
        <v>56</v>
      </c>
      <c r="BK459" s="8">
        <v>2567.6</v>
      </c>
      <c r="BL459" s="2" t="s">
        <v>2724</v>
      </c>
      <c r="BM459" s="7"/>
      <c r="BN459" s="7"/>
      <c r="BO459" s="4"/>
      <c r="BP459" s="8"/>
      <c r="BQ459" s="4"/>
      <c r="BR459" s="8"/>
      <c r="BS459" s="7"/>
      <c r="BT459" s="7"/>
      <c r="BU459" s="2" t="s">
        <v>2725</v>
      </c>
      <c r="BV459" s="2" t="s">
        <v>233</v>
      </c>
      <c r="BW459" s="2" t="s">
        <v>233</v>
      </c>
      <c r="BX459" s="2" t="s">
        <v>624</v>
      </c>
      <c r="BY459" s="2" t="s">
        <v>242</v>
      </c>
      <c r="BZ459" s="2" t="s">
        <v>230</v>
      </c>
      <c r="CA459" s="2" t="s">
        <v>2726</v>
      </c>
      <c r="CB459" s="2" t="s">
        <v>2727</v>
      </c>
      <c r="CC459" s="2" t="s">
        <v>245</v>
      </c>
      <c r="CD459" s="2" t="s">
        <v>233</v>
      </c>
      <c r="CE459" s="4">
        <v>312</v>
      </c>
      <c r="CF459" s="4"/>
      <c r="CG459" s="4"/>
      <c r="CH459" s="4"/>
      <c r="CI459" s="4"/>
      <c r="CJ459" s="4"/>
      <c r="CK459" s="4">
        <v>48</v>
      </c>
      <c r="CL459" s="4"/>
      <c r="CM459" s="4"/>
      <c r="CN459" s="4"/>
      <c r="CO459" s="4"/>
      <c r="CP459" s="4"/>
      <c r="CQ459" s="4"/>
      <c r="CR459" s="4"/>
      <c r="CS459" s="4"/>
      <c r="CT459" s="4">
        <v>90</v>
      </c>
      <c r="CU459" s="4">
        <v>50</v>
      </c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>
        <v>100</v>
      </c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>
        <v>100</v>
      </c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>
        <v>313</v>
      </c>
      <c r="GD459" s="4">
        <v>401</v>
      </c>
      <c r="GE459" s="4">
        <v>369</v>
      </c>
      <c r="GF459" s="4">
        <v>334</v>
      </c>
      <c r="GG459" s="4">
        <v>263</v>
      </c>
      <c r="GH459" s="4">
        <v>205</v>
      </c>
      <c r="GI459" s="4">
        <v>245</v>
      </c>
      <c r="GJ459" s="4">
        <v>209</v>
      </c>
      <c r="GK459" s="4">
        <v>187</v>
      </c>
      <c r="GL459" s="4">
        <v>163</v>
      </c>
      <c r="GM459" s="4">
        <v>239</v>
      </c>
      <c r="GN459" s="4">
        <v>215</v>
      </c>
      <c r="GO459" s="4">
        <v>191</v>
      </c>
      <c r="GP459" s="4">
        <v>167</v>
      </c>
      <c r="GQ459" s="4">
        <v>143</v>
      </c>
      <c r="GR459" s="4">
        <v>133</v>
      </c>
      <c r="GS459" s="4">
        <v>123</v>
      </c>
      <c r="GT459" s="4">
        <v>112</v>
      </c>
      <c r="GU459" s="4">
        <v>102</v>
      </c>
      <c r="GV459" s="4">
        <v>92</v>
      </c>
      <c r="GW459" s="4">
        <v>82</v>
      </c>
      <c r="GX459" s="4">
        <v>72</v>
      </c>
      <c r="GY459" s="4">
        <v>62</v>
      </c>
      <c r="GZ459" s="4">
        <v>53</v>
      </c>
      <c r="HA459" s="4">
        <v>44</v>
      </c>
      <c r="HB459" s="4">
        <v>81</v>
      </c>
      <c r="HC459" s="19">
        <v>6.5</v>
      </c>
      <c r="HD459" s="19">
        <v>8.2</v>
      </c>
      <c r="HE459" s="19">
        <v>6.6</v>
      </c>
      <c r="HF459" s="19">
        <v>6</v>
      </c>
      <c r="HG459" s="19">
        <v>6</v>
      </c>
      <c r="HH459" s="19">
        <v>5.7</v>
      </c>
      <c r="HI459" s="19">
        <v>9.4</v>
      </c>
      <c r="HJ459" s="19">
        <v>8.7</v>
      </c>
      <c r="HK459" s="19">
        <v>7.8</v>
      </c>
      <c r="HL459" s="19">
        <v>6.8</v>
      </c>
      <c r="HM459" s="19">
        <v>10</v>
      </c>
      <c r="HN459" s="19">
        <v>10.8</v>
      </c>
      <c r="HO459" s="19">
        <v>11.2</v>
      </c>
      <c r="HP459" s="19">
        <v>11.9</v>
      </c>
      <c r="HQ459" s="19">
        <v>14.3</v>
      </c>
      <c r="HR459" s="19">
        <v>13.3</v>
      </c>
      <c r="HS459" s="19">
        <v>12.3</v>
      </c>
      <c r="HT459" s="19">
        <v>11.2</v>
      </c>
      <c r="HU459" s="19">
        <v>10.2</v>
      </c>
      <c r="HV459" s="19">
        <v>9.2</v>
      </c>
      <c r="HW459" s="19">
        <v>8.2</v>
      </c>
      <c r="HX459" s="19">
        <v>8</v>
      </c>
      <c r="HY459" s="19">
        <v>6.9</v>
      </c>
      <c r="HZ459" s="19">
        <v>5.9</v>
      </c>
      <c r="IA459" s="19">
        <v>5.5</v>
      </c>
      <c r="IB459" s="19">
        <v>10.1</v>
      </c>
    </row>
    <row r="460">
      <c r="A460" s="2" t="s">
        <v>2728</v>
      </c>
      <c r="B460" s="2" t="s">
        <v>773</v>
      </c>
      <c r="C460" s="2" t="s">
        <v>280</v>
      </c>
      <c r="D460" s="2" t="s">
        <v>1172</v>
      </c>
      <c r="E460" s="2" t="s">
        <v>2729</v>
      </c>
      <c r="F460" s="2" t="s">
        <v>2719</v>
      </c>
      <c r="G460" s="2" t="s">
        <v>2720</v>
      </c>
      <c r="H460" s="2" t="s">
        <v>2720</v>
      </c>
      <c r="I460" s="2" t="s">
        <v>2730</v>
      </c>
      <c r="J460" s="2" t="s">
        <v>1564</v>
      </c>
      <c r="K460" s="2" t="s">
        <v>1511</v>
      </c>
      <c r="L460" s="3">
        <v>14.86</v>
      </c>
      <c r="M460" s="3">
        <v>15.6</v>
      </c>
      <c r="N460" s="3">
        <v>34.99</v>
      </c>
      <c r="O460" s="2" t="s">
        <v>230</v>
      </c>
      <c r="P460" s="2" t="s">
        <v>586</v>
      </c>
      <c r="Q460" s="2" t="s">
        <v>232</v>
      </c>
      <c r="R460" s="2" t="s">
        <v>233</v>
      </c>
      <c r="S460" s="2" t="s">
        <v>2731</v>
      </c>
      <c r="T460" s="2" t="s">
        <v>780</v>
      </c>
      <c r="U460" s="2" t="s">
        <v>233</v>
      </c>
      <c r="V460" s="2" t="s">
        <v>236</v>
      </c>
      <c r="W460" s="2" t="s">
        <v>288</v>
      </c>
      <c r="X460" s="2" t="s">
        <v>233</v>
      </c>
      <c r="Y460" s="2" t="s">
        <v>238</v>
      </c>
      <c r="Z460" s="4">
        <v>314</v>
      </c>
      <c r="AA460" s="4">
        <f>=ROUNDDOWN(11.8939393939394,0)</f>
      </c>
      <c r="AB460" s="5">
        <v>26.4</v>
      </c>
      <c r="AC460" s="2" t="s">
        <v>5</v>
      </c>
      <c r="AD460" s="4">
        <v>300</v>
      </c>
      <c r="AE460" s="4">
        <v>1370</v>
      </c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233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 t="s">
        <v>233</v>
      </c>
      <c r="BD460" s="8" t="s">
        <v>233</v>
      </c>
      <c r="BE460" s="4" t="s">
        <v>233</v>
      </c>
      <c r="BF460" s="8" t="s">
        <v>233</v>
      </c>
      <c r="BG460" s="7" t="s">
        <v>233</v>
      </c>
      <c r="BH460" s="7" t="s">
        <v>233</v>
      </c>
      <c r="BI460" s="7"/>
      <c r="BJ460" s="4">
        <v>197</v>
      </c>
      <c r="BK460" s="8">
        <v>2999.65</v>
      </c>
      <c r="BL460" s="2" t="s">
        <v>2732</v>
      </c>
      <c r="BM460" s="7"/>
      <c r="BN460" s="7"/>
      <c r="BO460" s="4"/>
      <c r="BP460" s="8"/>
      <c r="BQ460" s="4"/>
      <c r="BR460" s="8"/>
      <c r="BS460" s="7"/>
      <c r="BT460" s="7"/>
      <c r="BU460" s="2" t="s">
        <v>2733</v>
      </c>
      <c r="BV460" s="2" t="s">
        <v>233</v>
      </c>
      <c r="BW460" s="2" t="s">
        <v>233</v>
      </c>
      <c r="BX460" s="2" t="s">
        <v>241</v>
      </c>
      <c r="BY460" s="2" t="s">
        <v>242</v>
      </c>
      <c r="BZ460" s="2" t="s">
        <v>230</v>
      </c>
      <c r="CA460" s="2" t="s">
        <v>243</v>
      </c>
      <c r="CB460" s="2" t="s">
        <v>2734</v>
      </c>
      <c r="CC460" s="2" t="s">
        <v>245</v>
      </c>
      <c r="CD460" s="2" t="s">
        <v>233</v>
      </c>
      <c r="CE460" s="4">
        <v>314</v>
      </c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>
        <v>300</v>
      </c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>
        <v>400</v>
      </c>
      <c r="DW460" s="4"/>
      <c r="DX460" s="4"/>
      <c r="DY460" s="4">
        <v>670</v>
      </c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>
        <v>349</v>
      </c>
      <c r="GD460" s="4">
        <v>569</v>
      </c>
      <c r="GE460" s="4">
        <v>504</v>
      </c>
      <c r="GF460" s="4">
        <v>442</v>
      </c>
      <c r="GG460" s="4">
        <v>294</v>
      </c>
      <c r="GH460" s="4">
        <v>577</v>
      </c>
      <c r="GI460" s="4">
        <v>1133</v>
      </c>
      <c r="GJ460" s="4">
        <v>1078</v>
      </c>
      <c r="GK460" s="4">
        <v>1052</v>
      </c>
      <c r="GL460" s="4">
        <v>1008</v>
      </c>
      <c r="GM460" s="4">
        <v>969</v>
      </c>
      <c r="GN460" s="4">
        <v>930</v>
      </c>
      <c r="GO460" s="4">
        <v>891</v>
      </c>
      <c r="GP460" s="4">
        <v>852</v>
      </c>
      <c r="GQ460" s="4">
        <v>813</v>
      </c>
      <c r="GR460" s="4">
        <v>787</v>
      </c>
      <c r="GS460" s="4">
        <v>761</v>
      </c>
      <c r="GT460" s="4">
        <v>732</v>
      </c>
      <c r="GU460" s="4">
        <v>706</v>
      </c>
      <c r="GV460" s="4">
        <v>654</v>
      </c>
      <c r="GW460" s="4">
        <v>602</v>
      </c>
      <c r="GX460" s="4">
        <v>550</v>
      </c>
      <c r="GY460" s="4">
        <v>498</v>
      </c>
      <c r="GZ460" s="4">
        <v>459</v>
      </c>
      <c r="HA460" s="4">
        <v>420</v>
      </c>
      <c r="HB460" s="4">
        <v>381</v>
      </c>
      <c r="HC460" s="19">
        <v>3.9</v>
      </c>
      <c r="HD460" s="19">
        <v>5.8</v>
      </c>
      <c r="HE460" s="19">
        <v>4.6</v>
      </c>
      <c r="HF460" s="19">
        <v>4.1</v>
      </c>
      <c r="HG460" s="19">
        <v>3.8</v>
      </c>
      <c r="HH460" s="19">
        <v>9.6</v>
      </c>
      <c r="HI460" s="19">
        <v>27.6</v>
      </c>
      <c r="HJ460" s="19">
        <v>29.1</v>
      </c>
      <c r="HK460" s="19">
        <v>26.3</v>
      </c>
      <c r="HL460" s="19">
        <v>25.8</v>
      </c>
      <c r="HM460" s="19">
        <v>24.8</v>
      </c>
      <c r="HN460" s="19">
        <v>25.8</v>
      </c>
      <c r="HO460" s="19">
        <v>27.8</v>
      </c>
      <c r="HP460" s="19">
        <v>28.4</v>
      </c>
      <c r="HQ460" s="19">
        <v>30.1</v>
      </c>
      <c r="HR460" s="19">
        <v>23.8</v>
      </c>
      <c r="HS460" s="19">
        <v>19</v>
      </c>
      <c r="HT460" s="19">
        <v>15.9</v>
      </c>
      <c r="HU460" s="19">
        <v>13.6</v>
      </c>
      <c r="HV460" s="19">
        <v>13.3</v>
      </c>
      <c r="HW460" s="19">
        <v>13.1</v>
      </c>
      <c r="HX460" s="19">
        <v>13.1</v>
      </c>
      <c r="HY460" s="19">
        <v>12.8</v>
      </c>
      <c r="HZ460" s="19">
        <v>11.8</v>
      </c>
      <c r="IA460" s="19">
        <v>10.8</v>
      </c>
      <c r="IB460" s="19">
        <v>9.8</v>
      </c>
    </row>
    <row r="461">
      <c r="A461" s="2" t="s">
        <v>2735</v>
      </c>
      <c r="B461" s="2" t="s">
        <v>773</v>
      </c>
      <c r="C461" s="2" t="s">
        <v>280</v>
      </c>
      <c r="D461" s="2" t="s">
        <v>1172</v>
      </c>
      <c r="E461" s="2" t="s">
        <v>2729</v>
      </c>
      <c r="F461" s="2" t="s">
        <v>2719</v>
      </c>
      <c r="G461" s="2" t="s">
        <v>2720</v>
      </c>
      <c r="H461" s="2" t="s">
        <v>2720</v>
      </c>
      <c r="I461" s="2" t="s">
        <v>2730</v>
      </c>
      <c r="J461" s="2" t="s">
        <v>1564</v>
      </c>
      <c r="K461" s="2" t="s">
        <v>484</v>
      </c>
      <c r="L461" s="3">
        <v>14.86</v>
      </c>
      <c r="M461" s="3">
        <v>15.6</v>
      </c>
      <c r="N461" s="3">
        <v>34.99</v>
      </c>
      <c r="O461" s="2" t="s">
        <v>230</v>
      </c>
      <c r="P461" s="2" t="s">
        <v>231</v>
      </c>
      <c r="Q461" s="2" t="s">
        <v>232</v>
      </c>
      <c r="R461" s="2" t="s">
        <v>233</v>
      </c>
      <c r="S461" s="2" t="s">
        <v>2736</v>
      </c>
      <c r="T461" s="2" t="s">
        <v>780</v>
      </c>
      <c r="U461" s="2" t="s">
        <v>233</v>
      </c>
      <c r="V461" s="2" t="s">
        <v>236</v>
      </c>
      <c r="W461" s="2" t="s">
        <v>288</v>
      </c>
      <c r="X461" s="2" t="s">
        <v>233</v>
      </c>
      <c r="Y461" s="2" t="s">
        <v>2737</v>
      </c>
      <c r="Z461" s="4">
        <v>596</v>
      </c>
      <c r="AA461" s="4">
        <f>=ROUNDDOWN(45.8461538461538,0)</f>
      </c>
      <c r="AB461" s="5">
        <v>13</v>
      </c>
      <c r="AC461" s="2" t="s">
        <v>490</v>
      </c>
      <c r="AD461" s="4">
        <v>200</v>
      </c>
      <c r="AE461" s="4">
        <v>200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233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 t="s">
        <v>233</v>
      </c>
      <c r="BD461" s="8" t="s">
        <v>233</v>
      </c>
      <c r="BE461" s="4" t="s">
        <v>233</v>
      </c>
      <c r="BF461" s="8" t="s">
        <v>233</v>
      </c>
      <c r="BG461" s="7" t="s">
        <v>233</v>
      </c>
      <c r="BH461" s="7" t="s">
        <v>233</v>
      </c>
      <c r="BI461" s="7"/>
      <c r="BJ461" s="4">
        <v>75</v>
      </c>
      <c r="BK461" s="8">
        <v>1131.88</v>
      </c>
      <c r="BL461" s="2" t="s">
        <v>2738</v>
      </c>
      <c r="BM461" s="7"/>
      <c r="BN461" s="7"/>
      <c r="BO461" s="4"/>
      <c r="BP461" s="8"/>
      <c r="BQ461" s="4"/>
      <c r="BR461" s="8"/>
      <c r="BS461" s="7"/>
      <c r="BT461" s="7"/>
      <c r="BU461" s="2" t="s">
        <v>2733</v>
      </c>
      <c r="BV461" s="2" t="s">
        <v>233</v>
      </c>
      <c r="BW461" s="2" t="s">
        <v>233</v>
      </c>
      <c r="BX461" s="2" t="s">
        <v>241</v>
      </c>
      <c r="BY461" s="2" t="s">
        <v>242</v>
      </c>
      <c r="BZ461" s="2" t="s">
        <v>230</v>
      </c>
      <c r="CA461" s="2" t="s">
        <v>2739</v>
      </c>
      <c r="CB461" s="2" t="s">
        <v>2740</v>
      </c>
      <c r="CC461" s="2" t="s">
        <v>245</v>
      </c>
      <c r="CD461" s="2" t="s">
        <v>233</v>
      </c>
      <c r="CE461" s="4">
        <v>596</v>
      </c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>
        <v>200</v>
      </c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>
        <v>600</v>
      </c>
      <c r="GD461" s="4">
        <v>570</v>
      </c>
      <c r="GE461" s="4">
        <v>537</v>
      </c>
      <c r="GF461" s="4">
        <v>506</v>
      </c>
      <c r="GG461" s="4">
        <v>432</v>
      </c>
      <c r="GH461" s="4">
        <v>373</v>
      </c>
      <c r="GI461" s="4">
        <v>516</v>
      </c>
      <c r="GJ461" s="4">
        <v>489</v>
      </c>
      <c r="GK461" s="4">
        <v>476</v>
      </c>
      <c r="GL461" s="4">
        <v>454</v>
      </c>
      <c r="GM461" s="4">
        <v>434</v>
      </c>
      <c r="GN461" s="4">
        <v>414</v>
      </c>
      <c r="GO461" s="4">
        <v>394</v>
      </c>
      <c r="GP461" s="4">
        <v>374</v>
      </c>
      <c r="GQ461" s="4">
        <v>354</v>
      </c>
      <c r="GR461" s="4">
        <v>341</v>
      </c>
      <c r="GS461" s="4">
        <v>328</v>
      </c>
      <c r="GT461" s="4">
        <v>314</v>
      </c>
      <c r="GU461" s="4">
        <v>301</v>
      </c>
      <c r="GV461" s="4">
        <v>275</v>
      </c>
      <c r="GW461" s="4">
        <v>249</v>
      </c>
      <c r="GX461" s="4">
        <v>223</v>
      </c>
      <c r="GY461" s="4">
        <v>197</v>
      </c>
      <c r="GZ461" s="4">
        <v>177</v>
      </c>
      <c r="HA461" s="4">
        <v>246</v>
      </c>
      <c r="HB461" s="4">
        <v>226</v>
      </c>
      <c r="HC461" s="19">
        <v>14.3</v>
      </c>
      <c r="HD461" s="19">
        <v>11.6</v>
      </c>
      <c r="HE461" s="19">
        <v>9.8</v>
      </c>
      <c r="HF461" s="19">
        <v>9.4</v>
      </c>
      <c r="HG461" s="19">
        <v>11.1</v>
      </c>
      <c r="HH461" s="19">
        <v>12.4</v>
      </c>
      <c r="HI461" s="19">
        <v>25.8</v>
      </c>
      <c r="HJ461" s="19">
        <v>25.7</v>
      </c>
      <c r="HK461" s="19">
        <v>23.8</v>
      </c>
      <c r="HL461" s="19">
        <v>22.7</v>
      </c>
      <c r="HM461" s="19">
        <v>21.7</v>
      </c>
      <c r="HN461" s="19">
        <v>23</v>
      </c>
      <c r="HO461" s="19">
        <v>24.6</v>
      </c>
      <c r="HP461" s="19">
        <v>24.9</v>
      </c>
      <c r="HQ461" s="19">
        <v>27.2</v>
      </c>
      <c r="HR461" s="19">
        <v>21.3</v>
      </c>
      <c r="HS461" s="19">
        <v>16.4</v>
      </c>
      <c r="HT461" s="19">
        <v>13.7</v>
      </c>
      <c r="HU461" s="19">
        <v>11.6</v>
      </c>
      <c r="HV461" s="19">
        <v>11.5</v>
      </c>
      <c r="HW461" s="19">
        <v>10.8</v>
      </c>
      <c r="HX461" s="19">
        <v>10.1</v>
      </c>
      <c r="HY461" s="19">
        <v>9.9</v>
      </c>
      <c r="HZ461" s="19">
        <v>8.9</v>
      </c>
      <c r="IA461" s="19">
        <v>12.3</v>
      </c>
      <c r="IB461" s="19">
        <v>11.3</v>
      </c>
    </row>
    <row r="462">
      <c r="A462" s="2" t="s">
        <v>2741</v>
      </c>
      <c r="B462" s="2" t="s">
        <v>872</v>
      </c>
      <c r="C462" s="2" t="s">
        <v>280</v>
      </c>
      <c r="D462" s="2" t="s">
        <v>261</v>
      </c>
      <c r="E462" s="2" t="s">
        <v>603</v>
      </c>
      <c r="F462" s="2" t="s">
        <v>2742</v>
      </c>
      <c r="G462" s="2" t="s">
        <v>2743</v>
      </c>
      <c r="H462" s="2" t="s">
        <v>2744</v>
      </c>
      <c r="I462" s="2" t="s">
        <v>1479</v>
      </c>
      <c r="J462" s="2" t="s">
        <v>252</v>
      </c>
      <c r="K462" s="2" t="s">
        <v>720</v>
      </c>
      <c r="L462" s="3">
        <v>59.8</v>
      </c>
      <c r="M462" s="3">
        <v>62.79</v>
      </c>
      <c r="N462" s="3">
        <v>129.99</v>
      </c>
      <c r="O462" s="2" t="s">
        <v>230</v>
      </c>
      <c r="P462" s="2" t="s">
        <v>231</v>
      </c>
      <c r="Q462" s="2" t="s">
        <v>232</v>
      </c>
      <c r="R462" s="2" t="s">
        <v>233</v>
      </c>
      <c r="S462" s="2" t="s">
        <v>2745</v>
      </c>
      <c r="T462" s="2" t="s">
        <v>233</v>
      </c>
      <c r="U462" s="2" t="s">
        <v>635</v>
      </c>
      <c r="V462" s="2" t="s">
        <v>945</v>
      </c>
      <c r="W462" s="2" t="s">
        <v>620</v>
      </c>
      <c r="X462" s="2" t="s">
        <v>233</v>
      </c>
      <c r="Y462" s="2" t="s">
        <v>238</v>
      </c>
      <c r="Z462" s="4">
        <v>111</v>
      </c>
      <c r="AA462" s="4">
        <f>=ROUNDDOWN(37,0)</f>
      </c>
      <c r="AB462" s="5">
        <v>3</v>
      </c>
      <c r="AC462" s="2" t="s">
        <v>168</v>
      </c>
      <c r="AD462" s="4">
        <v>20</v>
      </c>
      <c r="AE462" s="4">
        <v>20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233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/>
      <c r="BD462" s="8"/>
      <c r="BE462" s="4"/>
      <c r="BF462" s="8"/>
      <c r="BG462" s="7"/>
      <c r="BH462" s="7"/>
      <c r="BI462" s="7"/>
      <c r="BJ462" s="4">
        <v>9</v>
      </c>
      <c r="BK462" s="8">
        <v>565.21</v>
      </c>
      <c r="BL462" s="2" t="s">
        <v>1923</v>
      </c>
      <c r="BM462" s="7"/>
      <c r="BN462" s="7"/>
      <c r="BO462" s="4"/>
      <c r="BP462" s="8"/>
      <c r="BQ462" s="4"/>
      <c r="BR462" s="8"/>
      <c r="BS462" s="7"/>
      <c r="BT462" s="7"/>
      <c r="BU462" s="2" t="s">
        <v>2746</v>
      </c>
      <c r="BV462" s="2" t="s">
        <v>233</v>
      </c>
      <c r="BW462" s="2" t="s">
        <v>233</v>
      </c>
      <c r="BX462" s="2" t="s">
        <v>241</v>
      </c>
      <c r="BY462" s="2" t="s">
        <v>242</v>
      </c>
      <c r="BZ462" s="2" t="s">
        <v>230</v>
      </c>
      <c r="CA462" s="2" t="s">
        <v>243</v>
      </c>
      <c r="CB462" s="2" t="s">
        <v>1057</v>
      </c>
      <c r="CC462" s="2" t="s">
        <v>245</v>
      </c>
      <c r="CD462" s="2" t="s">
        <v>233</v>
      </c>
      <c r="CE462" s="4">
        <v>111</v>
      </c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>
        <v>20</v>
      </c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>
        <v>115</v>
      </c>
      <c r="GD462" s="4">
        <v>102</v>
      </c>
      <c r="GE462" s="4">
        <v>98</v>
      </c>
      <c r="GF462" s="4">
        <v>93</v>
      </c>
      <c r="GG462" s="4">
        <v>85</v>
      </c>
      <c r="GH462" s="4">
        <v>80</v>
      </c>
      <c r="GI462" s="4">
        <v>76</v>
      </c>
      <c r="GJ462" s="4">
        <v>93</v>
      </c>
      <c r="GK462" s="4">
        <v>91</v>
      </c>
      <c r="GL462" s="4">
        <v>88</v>
      </c>
      <c r="GM462" s="4">
        <v>85</v>
      </c>
      <c r="GN462" s="4">
        <v>82</v>
      </c>
      <c r="GO462" s="4">
        <v>79</v>
      </c>
      <c r="GP462" s="4">
        <v>76</v>
      </c>
      <c r="GQ462" s="4">
        <v>73</v>
      </c>
      <c r="GR462" s="4">
        <v>70</v>
      </c>
      <c r="GS462" s="4">
        <v>67</v>
      </c>
      <c r="GT462" s="4">
        <v>64</v>
      </c>
      <c r="GU462" s="4">
        <v>61</v>
      </c>
      <c r="GV462" s="4">
        <v>58</v>
      </c>
      <c r="GW462" s="4">
        <v>55</v>
      </c>
      <c r="GX462" s="4">
        <v>52</v>
      </c>
      <c r="GY462" s="4">
        <v>49</v>
      </c>
      <c r="GZ462" s="4">
        <v>46</v>
      </c>
      <c r="HA462" s="4">
        <v>43</v>
      </c>
      <c r="HB462" s="4">
        <v>40</v>
      </c>
      <c r="HC462" s="19">
        <v>14.4</v>
      </c>
      <c r="HD462" s="19">
        <v>17</v>
      </c>
      <c r="HE462" s="19">
        <v>16.3</v>
      </c>
      <c r="HF462" s="19">
        <v>18.6</v>
      </c>
      <c r="HG462" s="19">
        <v>21.3</v>
      </c>
      <c r="HH462" s="19">
        <v>26.7</v>
      </c>
      <c r="HI462" s="19">
        <v>25.3</v>
      </c>
      <c r="HJ462" s="19">
        <v>31</v>
      </c>
      <c r="HK462" s="19">
        <v>30.3</v>
      </c>
      <c r="HL462" s="19">
        <v>29.3</v>
      </c>
      <c r="HM462" s="19">
        <v>28.3</v>
      </c>
      <c r="HN462" s="19">
        <v>27.3</v>
      </c>
      <c r="HO462" s="19">
        <v>26.3</v>
      </c>
      <c r="HP462" s="19">
        <v>25.3</v>
      </c>
      <c r="HQ462" s="19">
        <v>24.3</v>
      </c>
      <c r="HR462" s="19">
        <v>23.3</v>
      </c>
      <c r="HS462" s="19">
        <v>22.3</v>
      </c>
      <c r="HT462" s="19">
        <v>21.3</v>
      </c>
      <c r="HU462" s="19">
        <v>20.3</v>
      </c>
      <c r="HV462" s="19">
        <v>19.3</v>
      </c>
      <c r="HW462" s="19">
        <v>18.3</v>
      </c>
      <c r="HX462" s="19">
        <v>17.3</v>
      </c>
      <c r="HY462" s="19">
        <v>16.3</v>
      </c>
      <c r="HZ462" s="19">
        <v>15.3</v>
      </c>
      <c r="IA462" s="19">
        <v>14.3</v>
      </c>
      <c r="IB462" s="19">
        <v>13.3</v>
      </c>
    </row>
    <row r="463">
      <c r="A463" s="2" t="s">
        <v>2747</v>
      </c>
      <c r="B463" s="2" t="s">
        <v>938</v>
      </c>
      <c r="C463" s="2" t="s">
        <v>280</v>
      </c>
      <c r="D463" s="2" t="s">
        <v>972</v>
      </c>
      <c r="E463" s="2" t="s">
        <v>2188</v>
      </c>
      <c r="F463" s="2" t="s">
        <v>2748</v>
      </c>
      <c r="G463" s="2" t="s">
        <v>2749</v>
      </c>
      <c r="H463" s="2" t="s">
        <v>2750</v>
      </c>
      <c r="I463" s="2" t="s">
        <v>2751</v>
      </c>
      <c r="J463" s="2" t="s">
        <v>2190</v>
      </c>
      <c r="K463" s="2" t="s">
        <v>2752</v>
      </c>
      <c r="L463" s="3">
        <v>23.2</v>
      </c>
      <c r="M463" s="3">
        <v>24.36</v>
      </c>
      <c r="N463" s="3">
        <v>54.99</v>
      </c>
      <c r="O463" s="2" t="s">
        <v>230</v>
      </c>
      <c r="P463" s="2" t="s">
        <v>231</v>
      </c>
      <c r="Q463" s="2" t="s">
        <v>232</v>
      </c>
      <c r="R463" s="2" t="s">
        <v>233</v>
      </c>
      <c r="S463" s="2" t="s">
        <v>2753</v>
      </c>
      <c r="T463" s="2" t="s">
        <v>2754</v>
      </c>
      <c r="U463" s="2" t="s">
        <v>329</v>
      </c>
      <c r="V463" s="2" t="s">
        <v>236</v>
      </c>
      <c r="W463" s="2" t="s">
        <v>237</v>
      </c>
      <c r="X463" s="2" t="s">
        <v>233</v>
      </c>
      <c r="Y463" s="2" t="s">
        <v>2755</v>
      </c>
      <c r="Z463" s="4">
        <v>2</v>
      </c>
      <c r="AA463" s="4">
        <f>=ROUNDDOWN(0.142857142857143,0)</f>
      </c>
      <c r="AB463" s="5">
        <v>14</v>
      </c>
      <c r="AC463" s="2" t="s">
        <v>148</v>
      </c>
      <c r="AD463" s="4">
        <v>252</v>
      </c>
      <c r="AE463" s="4">
        <v>424</v>
      </c>
      <c r="AF463" s="6">
        <v>75</v>
      </c>
      <c r="AG463" s="6"/>
      <c r="AH463" s="7">
        <v>0</v>
      </c>
      <c r="AI463" s="4"/>
      <c r="AJ463" s="4">
        <f>=ROUNDDOWN({0},0)</f>
      </c>
      <c r="AK463" s="5"/>
      <c r="AL463" s="2" t="s">
        <v>233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 t="s">
        <v>233</v>
      </c>
      <c r="BD463" s="8" t="s">
        <v>233</v>
      </c>
      <c r="BE463" s="4" t="s">
        <v>233</v>
      </c>
      <c r="BF463" s="8" t="s">
        <v>233</v>
      </c>
      <c r="BG463" s="7" t="s">
        <v>233</v>
      </c>
      <c r="BH463" s="7" t="s">
        <v>233</v>
      </c>
      <c r="BI463" s="7"/>
      <c r="BJ463" s="4"/>
      <c r="BK463" s="8"/>
      <c r="BL463" s="2" t="s">
        <v>233</v>
      </c>
      <c r="BM463" s="7"/>
      <c r="BN463" s="7"/>
      <c r="BO463" s="4"/>
      <c r="BP463" s="8"/>
      <c r="BQ463" s="4"/>
      <c r="BR463" s="8"/>
      <c r="BS463" s="7"/>
      <c r="BT463" s="7"/>
      <c r="BU463" s="2" t="s">
        <v>2756</v>
      </c>
      <c r="BV463" s="2" t="s">
        <v>233</v>
      </c>
      <c r="BW463" s="2" t="s">
        <v>233</v>
      </c>
      <c r="BX463" s="2" t="s">
        <v>241</v>
      </c>
      <c r="BY463" s="2" t="s">
        <v>242</v>
      </c>
      <c r="BZ463" s="2" t="s">
        <v>230</v>
      </c>
      <c r="CA463" s="2" t="s">
        <v>2757</v>
      </c>
      <c r="CB463" s="2" t="s">
        <v>1897</v>
      </c>
      <c r="CC463" s="2" t="s">
        <v>245</v>
      </c>
      <c r="CD463" s="2" t="s">
        <v>233</v>
      </c>
      <c r="CE463" s="4">
        <v>2</v>
      </c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>
        <v>252</v>
      </c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>
        <v>172</v>
      </c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>
        <v>2</v>
      </c>
      <c r="GD463" s="4"/>
      <c r="GE463" s="4"/>
      <c r="GF463" s="4"/>
      <c r="GG463" s="4">
        <v>252</v>
      </c>
      <c r="GH463" s="4">
        <v>224</v>
      </c>
      <c r="GI463" s="4">
        <v>208</v>
      </c>
      <c r="GJ463" s="4">
        <v>194</v>
      </c>
      <c r="GK463" s="4">
        <v>352</v>
      </c>
      <c r="GL463" s="4">
        <v>338</v>
      </c>
      <c r="GM463" s="4">
        <v>324</v>
      </c>
      <c r="GN463" s="4">
        <v>310</v>
      </c>
      <c r="GO463" s="4">
        <v>296</v>
      </c>
      <c r="GP463" s="4">
        <v>282</v>
      </c>
      <c r="GQ463" s="4">
        <v>268</v>
      </c>
      <c r="GR463" s="4">
        <v>254</v>
      </c>
      <c r="GS463" s="4">
        <v>240</v>
      </c>
      <c r="GT463" s="4">
        <v>224</v>
      </c>
      <c r="GU463" s="4">
        <v>210</v>
      </c>
      <c r="GV463" s="4">
        <v>196</v>
      </c>
      <c r="GW463" s="4">
        <v>182</v>
      </c>
      <c r="GX463" s="4">
        <v>168</v>
      </c>
      <c r="GY463" s="4">
        <v>154</v>
      </c>
      <c r="GZ463" s="4">
        <v>140</v>
      </c>
      <c r="HA463" s="4">
        <v>126</v>
      </c>
      <c r="HB463" s="4">
        <v>112</v>
      </c>
      <c r="HC463" s="19">
        <v>0.1</v>
      </c>
      <c r="HD463" s="20">
        <v>0</v>
      </c>
      <c r="HE463" s="20">
        <v>0</v>
      </c>
      <c r="HF463" s="20">
        <v>0</v>
      </c>
      <c r="HG463" s="19">
        <v>14</v>
      </c>
      <c r="HH463" s="19">
        <v>16</v>
      </c>
      <c r="HI463" s="19">
        <v>14.9</v>
      </c>
      <c r="HJ463" s="19">
        <v>13.9</v>
      </c>
      <c r="HK463" s="19">
        <v>25.1</v>
      </c>
      <c r="HL463" s="19">
        <v>24.1</v>
      </c>
      <c r="HM463" s="19">
        <v>23.1</v>
      </c>
      <c r="HN463" s="19">
        <v>22.1</v>
      </c>
      <c r="HO463" s="19">
        <v>21.1</v>
      </c>
      <c r="HP463" s="19">
        <v>20.1</v>
      </c>
      <c r="HQ463" s="19">
        <v>19.1</v>
      </c>
      <c r="HR463" s="19">
        <v>18.1</v>
      </c>
      <c r="HS463" s="19">
        <v>17.1</v>
      </c>
      <c r="HT463" s="19">
        <v>16</v>
      </c>
      <c r="HU463" s="19">
        <v>15</v>
      </c>
      <c r="HV463" s="19">
        <v>14</v>
      </c>
      <c r="HW463" s="19">
        <v>13</v>
      </c>
      <c r="HX463" s="19">
        <v>12</v>
      </c>
      <c r="HY463" s="19">
        <v>11</v>
      </c>
      <c r="HZ463" s="19">
        <v>10</v>
      </c>
      <c r="IA463" s="19">
        <v>9</v>
      </c>
      <c r="IB463" s="19">
        <v>8</v>
      </c>
    </row>
    <row r="464">
      <c r="A464" s="2" t="s">
        <v>2758</v>
      </c>
      <c r="B464" s="2" t="s">
        <v>938</v>
      </c>
      <c r="C464" s="2" t="s">
        <v>280</v>
      </c>
      <c r="D464" s="2" t="s">
        <v>972</v>
      </c>
      <c r="E464" s="2" t="s">
        <v>2188</v>
      </c>
      <c r="F464" s="2" t="s">
        <v>2748</v>
      </c>
      <c r="G464" s="2" t="s">
        <v>2749</v>
      </c>
      <c r="H464" s="2" t="s">
        <v>2750</v>
      </c>
      <c r="I464" s="2" t="s">
        <v>2751</v>
      </c>
      <c r="J464" s="2" t="s">
        <v>2190</v>
      </c>
      <c r="K464" s="2" t="s">
        <v>2759</v>
      </c>
      <c r="L464" s="3">
        <v>23.2</v>
      </c>
      <c r="M464" s="3">
        <v>24.36</v>
      </c>
      <c r="N464" s="3">
        <v>54.99</v>
      </c>
      <c r="O464" s="2" t="s">
        <v>230</v>
      </c>
      <c r="P464" s="2" t="s">
        <v>586</v>
      </c>
      <c r="Q464" s="2" t="s">
        <v>232</v>
      </c>
      <c r="R464" s="2" t="s">
        <v>233</v>
      </c>
      <c r="S464" s="2" t="s">
        <v>2760</v>
      </c>
      <c r="T464" s="2" t="s">
        <v>2754</v>
      </c>
      <c r="U464" s="2" t="s">
        <v>329</v>
      </c>
      <c r="V464" s="2" t="s">
        <v>236</v>
      </c>
      <c r="W464" s="2" t="s">
        <v>237</v>
      </c>
      <c r="X464" s="2" t="s">
        <v>233</v>
      </c>
      <c r="Y464" s="2" t="s">
        <v>2755</v>
      </c>
      <c r="Z464" s="4"/>
      <c r="AA464" s="4">
        <f>=ROUNDDOWN({0},0)</f>
      </c>
      <c r="AB464" s="5">
        <v>16</v>
      </c>
      <c r="AC464" s="2" t="s">
        <v>148</v>
      </c>
      <c r="AD464" s="4">
        <v>412</v>
      </c>
      <c r="AE464" s="4">
        <v>592</v>
      </c>
      <c r="AF464" s="6">
        <v>75</v>
      </c>
      <c r="AG464" s="6"/>
      <c r="AH464" s="7">
        <v>0</v>
      </c>
      <c r="AI464" s="4"/>
      <c r="AJ464" s="4">
        <f>=ROUNDDOWN({0},0)</f>
      </c>
      <c r="AK464" s="5"/>
      <c r="AL464" s="2" t="s">
        <v>233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 t="s">
        <v>233</v>
      </c>
      <c r="BD464" s="8" t="s">
        <v>233</v>
      </c>
      <c r="BE464" s="4" t="s">
        <v>233</v>
      </c>
      <c r="BF464" s="8" t="s">
        <v>233</v>
      </c>
      <c r="BG464" s="7" t="s">
        <v>233</v>
      </c>
      <c r="BH464" s="7" t="s">
        <v>233</v>
      </c>
      <c r="BI464" s="7"/>
      <c r="BJ464" s="4">
        <v>1</v>
      </c>
      <c r="BK464" s="8">
        <v>36.13</v>
      </c>
      <c r="BL464" s="2" t="s">
        <v>1304</v>
      </c>
      <c r="BM464" s="7"/>
      <c r="BN464" s="7"/>
      <c r="BO464" s="4"/>
      <c r="BP464" s="8"/>
      <c r="BQ464" s="4"/>
      <c r="BR464" s="8"/>
      <c r="BS464" s="7"/>
      <c r="BT464" s="7"/>
      <c r="BU464" s="2" t="s">
        <v>2756</v>
      </c>
      <c r="BV464" s="2" t="s">
        <v>233</v>
      </c>
      <c r="BW464" s="2" t="s">
        <v>233</v>
      </c>
      <c r="BX464" s="2" t="s">
        <v>241</v>
      </c>
      <c r="BY464" s="2" t="s">
        <v>242</v>
      </c>
      <c r="BZ464" s="2" t="s">
        <v>230</v>
      </c>
      <c r="CA464" s="2" t="s">
        <v>2757</v>
      </c>
      <c r="CB464" s="2" t="s">
        <v>2761</v>
      </c>
      <c r="CC464" s="2" t="s">
        <v>245</v>
      </c>
      <c r="CD464" s="2" t="s">
        <v>233</v>
      </c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>
        <v>412</v>
      </c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>
        <v>180</v>
      </c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>
        <v>412</v>
      </c>
      <c r="GH464" s="4">
        <v>382</v>
      </c>
      <c r="GI464" s="4">
        <v>363</v>
      </c>
      <c r="GJ464" s="4">
        <v>347</v>
      </c>
      <c r="GK464" s="4">
        <v>511</v>
      </c>
      <c r="GL464" s="4">
        <v>495</v>
      </c>
      <c r="GM464" s="4">
        <v>479</v>
      </c>
      <c r="GN464" s="4">
        <v>463</v>
      </c>
      <c r="GO464" s="4">
        <v>447</v>
      </c>
      <c r="GP464" s="4">
        <v>431</v>
      </c>
      <c r="GQ464" s="4">
        <v>415</v>
      </c>
      <c r="GR464" s="4">
        <v>399</v>
      </c>
      <c r="GS464" s="4">
        <v>383</v>
      </c>
      <c r="GT464" s="4">
        <v>364</v>
      </c>
      <c r="GU464" s="4">
        <v>348</v>
      </c>
      <c r="GV464" s="4">
        <v>332</v>
      </c>
      <c r="GW464" s="4">
        <v>316</v>
      </c>
      <c r="GX464" s="4">
        <v>300</v>
      </c>
      <c r="GY464" s="4">
        <v>284</v>
      </c>
      <c r="GZ464" s="4">
        <v>268</v>
      </c>
      <c r="HA464" s="4">
        <v>252</v>
      </c>
      <c r="HB464" s="4">
        <v>364</v>
      </c>
      <c r="HC464" s="20">
        <v>0</v>
      </c>
      <c r="HD464" s="20">
        <v>0</v>
      </c>
      <c r="HE464" s="20">
        <v>0</v>
      </c>
      <c r="HF464" s="20">
        <v>0</v>
      </c>
      <c r="HG464" s="19">
        <v>20.6</v>
      </c>
      <c r="HH464" s="19">
        <v>22.5</v>
      </c>
      <c r="HI464" s="19">
        <v>22.7</v>
      </c>
      <c r="HJ464" s="19">
        <v>21.7</v>
      </c>
      <c r="HK464" s="19">
        <v>31.9</v>
      </c>
      <c r="HL464" s="19">
        <v>30.9</v>
      </c>
      <c r="HM464" s="19">
        <v>29.9</v>
      </c>
      <c r="HN464" s="19">
        <v>28.9</v>
      </c>
      <c r="HO464" s="19">
        <v>27.9</v>
      </c>
      <c r="HP464" s="19">
        <v>25.4</v>
      </c>
      <c r="HQ464" s="19">
        <v>24.4</v>
      </c>
      <c r="HR464" s="19">
        <v>23.5</v>
      </c>
      <c r="HS464" s="19">
        <v>22.5</v>
      </c>
      <c r="HT464" s="19">
        <v>22.8</v>
      </c>
      <c r="HU464" s="19">
        <v>21.8</v>
      </c>
      <c r="HV464" s="19">
        <v>20.8</v>
      </c>
      <c r="HW464" s="19">
        <v>19.8</v>
      </c>
      <c r="HX464" s="19">
        <v>18.8</v>
      </c>
      <c r="HY464" s="19">
        <v>17.8</v>
      </c>
      <c r="HZ464" s="19">
        <v>16.8</v>
      </c>
      <c r="IA464" s="19">
        <v>15.8</v>
      </c>
      <c r="IB464" s="19">
        <v>22.8</v>
      </c>
    </row>
    <row r="465">
      <c r="A465" s="2" t="s">
        <v>2762</v>
      </c>
      <c r="B465" s="2" t="s">
        <v>773</v>
      </c>
      <c r="C465" s="2" t="s">
        <v>616</v>
      </c>
      <c r="D465" s="2" t="s">
        <v>985</v>
      </c>
      <c r="E465" s="2" t="s">
        <v>2241</v>
      </c>
      <c r="F465" s="2" t="s">
        <v>2763</v>
      </c>
      <c r="G465" s="2" t="s">
        <v>2763</v>
      </c>
      <c r="H465" s="2" t="s">
        <v>2763</v>
      </c>
      <c r="I465" s="2" t="s">
        <v>2243</v>
      </c>
      <c r="J465" s="2" t="s">
        <v>256</v>
      </c>
      <c r="K465" s="2" t="s">
        <v>1525</v>
      </c>
      <c r="L465" s="3">
        <v>84.84</v>
      </c>
      <c r="M465" s="3">
        <v>89.08</v>
      </c>
      <c r="N465" s="3">
        <v>174.99</v>
      </c>
      <c r="O465" s="2" t="s">
        <v>230</v>
      </c>
      <c r="P465" s="2" t="s">
        <v>231</v>
      </c>
      <c r="Q465" s="2" t="s">
        <v>232</v>
      </c>
      <c r="R465" s="2" t="s">
        <v>233</v>
      </c>
      <c r="S465" s="2" t="s">
        <v>2764</v>
      </c>
      <c r="T465" s="2" t="s">
        <v>2765</v>
      </c>
      <c r="U465" s="2" t="s">
        <v>329</v>
      </c>
      <c r="V465" s="2" t="s">
        <v>236</v>
      </c>
      <c r="W465" s="2" t="s">
        <v>237</v>
      </c>
      <c r="X465" s="2" t="s">
        <v>916</v>
      </c>
      <c r="Y465" s="2" t="s">
        <v>238</v>
      </c>
      <c r="Z465" s="4">
        <v>435</v>
      </c>
      <c r="AA465" s="4">
        <f>=ROUNDDOWN({0},0)</f>
      </c>
      <c r="AB465" s="5"/>
      <c r="AC465" s="2" t="s">
        <v>153</v>
      </c>
      <c r="AD465" s="4">
        <v>80</v>
      </c>
      <c r="AE465" s="4">
        <v>80</v>
      </c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233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>
        <v>44</v>
      </c>
      <c r="BK465" s="8">
        <v>4099.21</v>
      </c>
      <c r="BL465" s="2" t="s">
        <v>2766</v>
      </c>
      <c r="BM465" s="7"/>
      <c r="BN465" s="7"/>
      <c r="BO465" s="4"/>
      <c r="BP465" s="8"/>
      <c r="BQ465" s="4"/>
      <c r="BR465" s="8"/>
      <c r="BS465" s="7"/>
      <c r="BT465" s="7"/>
      <c r="BU465" s="2" t="s">
        <v>2767</v>
      </c>
      <c r="BV465" s="2" t="s">
        <v>233</v>
      </c>
      <c r="BW465" s="2" t="s">
        <v>233</v>
      </c>
      <c r="BX465" s="2" t="s">
        <v>293</v>
      </c>
      <c r="BY465" s="2" t="s">
        <v>242</v>
      </c>
      <c r="BZ465" s="2" t="s">
        <v>230</v>
      </c>
      <c r="CA465" s="2" t="s">
        <v>2768</v>
      </c>
      <c r="CB465" s="2" t="s">
        <v>2769</v>
      </c>
      <c r="CC465" s="2" t="s">
        <v>245</v>
      </c>
      <c r="CD465" s="2" t="s">
        <v>233</v>
      </c>
      <c r="CE465" s="4">
        <v>285</v>
      </c>
      <c r="CF465" s="4"/>
      <c r="CG465" s="4"/>
      <c r="CH465" s="4"/>
      <c r="CI465" s="4"/>
      <c r="CJ465" s="4"/>
      <c r="CK465" s="4"/>
      <c r="CL465" s="4">
        <v>150</v>
      </c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>
        <v>80</v>
      </c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>
        <v>443</v>
      </c>
      <c r="GD465" s="4">
        <v>417</v>
      </c>
      <c r="GE465" s="4">
        <v>388</v>
      </c>
      <c r="GF465" s="4">
        <v>362</v>
      </c>
      <c r="GG465" s="4">
        <v>387</v>
      </c>
      <c r="GH465" s="4">
        <v>353</v>
      </c>
      <c r="GI465" s="4">
        <v>313</v>
      </c>
      <c r="GJ465" s="4">
        <v>279</v>
      </c>
      <c r="GK465" s="4">
        <v>262</v>
      </c>
      <c r="GL465" s="4">
        <v>241</v>
      </c>
      <c r="GM465" s="4">
        <v>221</v>
      </c>
      <c r="GN465" s="4">
        <v>199</v>
      </c>
      <c r="GO465" s="4">
        <v>180</v>
      </c>
      <c r="GP465" s="4">
        <v>161</v>
      </c>
      <c r="GQ465" s="4">
        <v>139</v>
      </c>
      <c r="GR465" s="4">
        <v>122</v>
      </c>
      <c r="GS465" s="4">
        <v>108</v>
      </c>
      <c r="GT465" s="4">
        <v>91</v>
      </c>
      <c r="GU465" s="4">
        <v>81</v>
      </c>
      <c r="GV465" s="4">
        <v>71</v>
      </c>
      <c r="GW465" s="4">
        <v>58</v>
      </c>
      <c r="GX465" s="4">
        <v>48</v>
      </c>
      <c r="GY465" s="4">
        <v>41</v>
      </c>
      <c r="GZ465" s="4">
        <v>32</v>
      </c>
      <c r="HA465" s="4">
        <v>25</v>
      </c>
      <c r="HB465" s="4">
        <v>63</v>
      </c>
      <c r="HC465" s="19">
        <v>13</v>
      </c>
      <c r="HD465" s="19">
        <v>11.6</v>
      </c>
      <c r="HE465" s="19">
        <v>9.9</v>
      </c>
      <c r="HF465" s="19">
        <v>8.8</v>
      </c>
      <c r="HG465" s="19">
        <v>12.5</v>
      </c>
      <c r="HH465" s="19">
        <v>12.6</v>
      </c>
      <c r="HI465" s="19">
        <v>13.6</v>
      </c>
      <c r="HJ465" s="19">
        <v>14</v>
      </c>
      <c r="HK465" s="19">
        <v>13.1</v>
      </c>
      <c r="HL465" s="19">
        <v>12.1</v>
      </c>
      <c r="HM465" s="19">
        <v>11.1</v>
      </c>
      <c r="HN465" s="19">
        <v>10.5</v>
      </c>
      <c r="HO465" s="19">
        <v>10</v>
      </c>
      <c r="HP465" s="19">
        <v>8.9</v>
      </c>
      <c r="HQ465" s="19">
        <v>9.9</v>
      </c>
      <c r="HR465" s="19">
        <v>9.4</v>
      </c>
      <c r="HS465" s="19">
        <v>9</v>
      </c>
      <c r="HT465" s="19">
        <v>8.3</v>
      </c>
      <c r="HU465" s="19">
        <v>8.1</v>
      </c>
      <c r="HV465" s="19">
        <v>7.1</v>
      </c>
      <c r="HW465" s="19">
        <v>7.3</v>
      </c>
      <c r="HX465" s="19">
        <v>6</v>
      </c>
      <c r="HY465" s="19">
        <v>5.1</v>
      </c>
      <c r="HZ465" s="19">
        <v>4.6</v>
      </c>
      <c r="IA465" s="19">
        <v>4.2</v>
      </c>
      <c r="IB465" s="19">
        <v>10.5</v>
      </c>
    </row>
    <row r="466">
      <c r="A466" s="2" t="s">
        <v>2770</v>
      </c>
      <c r="B466" s="2" t="s">
        <v>773</v>
      </c>
      <c r="C466" s="2" t="s">
        <v>280</v>
      </c>
      <c r="D466" s="2" t="s">
        <v>1442</v>
      </c>
      <c r="E466" s="2" t="s">
        <v>1443</v>
      </c>
      <c r="F466" s="2" t="s">
        <v>2771</v>
      </c>
      <c r="G466" s="2" t="s">
        <v>2772</v>
      </c>
      <c r="H466" s="2" t="s">
        <v>233</v>
      </c>
      <c r="I466" s="2" t="s">
        <v>2773</v>
      </c>
      <c r="J466" s="2" t="s">
        <v>989</v>
      </c>
      <c r="K466" s="2" t="s">
        <v>229</v>
      </c>
      <c r="L466" s="3">
        <v>15.87</v>
      </c>
      <c r="M466" s="3">
        <v>16.66</v>
      </c>
      <c r="N466" s="3">
        <v>34.99</v>
      </c>
      <c r="O466" s="2" t="s">
        <v>230</v>
      </c>
      <c r="P466" s="2" t="s">
        <v>231</v>
      </c>
      <c r="Q466" s="2" t="s">
        <v>232</v>
      </c>
      <c r="R466" s="2" t="s">
        <v>233</v>
      </c>
      <c r="S466" s="2" t="s">
        <v>2774</v>
      </c>
      <c r="T466" s="2" t="s">
        <v>1859</v>
      </c>
      <c r="U466" s="2" t="s">
        <v>233</v>
      </c>
      <c r="V466" s="2" t="s">
        <v>782</v>
      </c>
      <c r="W466" s="2" t="s">
        <v>818</v>
      </c>
      <c r="X466" s="2" t="s">
        <v>233</v>
      </c>
      <c r="Y466" s="2" t="s">
        <v>2775</v>
      </c>
      <c r="Z466" s="4">
        <v>817</v>
      </c>
      <c r="AA466" s="4">
        <f>=ROUNDDOWN(45.3888888888889,0)</f>
      </c>
      <c r="AB466" s="5">
        <v>18</v>
      </c>
      <c r="AC466" s="2" t="s">
        <v>140</v>
      </c>
      <c r="AD466" s="4">
        <v>2000</v>
      </c>
      <c r="AE466" s="4">
        <v>2800</v>
      </c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233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 t="s">
        <v>233</v>
      </c>
      <c r="BD466" s="8" t="s">
        <v>233</v>
      </c>
      <c r="BE466" s="4" t="s">
        <v>233</v>
      </c>
      <c r="BF466" s="8" t="s">
        <v>233</v>
      </c>
      <c r="BG466" s="7" t="s">
        <v>233</v>
      </c>
      <c r="BH466" s="7" t="s">
        <v>233</v>
      </c>
      <c r="BI466" s="7"/>
      <c r="BJ466" s="4">
        <v>299</v>
      </c>
      <c r="BK466" s="8">
        <v>4708.37</v>
      </c>
      <c r="BL466" s="2" t="s">
        <v>507</v>
      </c>
      <c r="BM466" s="7"/>
      <c r="BN466" s="7"/>
      <c r="BO466" s="4"/>
      <c r="BP466" s="8"/>
      <c r="BQ466" s="4"/>
      <c r="BR466" s="8"/>
      <c r="BS466" s="7"/>
      <c r="BT466" s="7"/>
      <c r="BU466" s="2" t="s">
        <v>2776</v>
      </c>
      <c r="BV466" s="2" t="s">
        <v>233</v>
      </c>
      <c r="BW466" s="2" t="s">
        <v>233</v>
      </c>
      <c r="BX466" s="2" t="s">
        <v>241</v>
      </c>
      <c r="BY466" s="2" t="s">
        <v>242</v>
      </c>
      <c r="BZ466" s="2" t="s">
        <v>230</v>
      </c>
      <c r="CA466" s="2" t="s">
        <v>2777</v>
      </c>
      <c r="CB466" s="2" t="s">
        <v>906</v>
      </c>
      <c r="CC466" s="2" t="s">
        <v>245</v>
      </c>
      <c r="CD466" s="2" t="s">
        <v>233</v>
      </c>
      <c r="CE466" s="4">
        <v>817</v>
      </c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>
        <v>2000</v>
      </c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>
        <v>300</v>
      </c>
      <c r="EM466" s="4"/>
      <c r="EN466" s="4"/>
      <c r="EO466" s="4"/>
      <c r="EP466" s="4"/>
      <c r="EQ466" s="4"/>
      <c r="ER466" s="4"/>
      <c r="ES466" s="4"/>
      <c r="ET466" s="4"/>
      <c r="EU466" s="4">
        <v>500</v>
      </c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>
        <v>835</v>
      </c>
      <c r="GD466" s="4">
        <v>654</v>
      </c>
      <c r="GE466" s="4">
        <v>2130</v>
      </c>
      <c r="GF466" s="4">
        <v>1554</v>
      </c>
      <c r="GG466" s="4">
        <v>1358</v>
      </c>
      <c r="GH466" s="4">
        <v>838</v>
      </c>
      <c r="GI466" s="4">
        <v>527</v>
      </c>
      <c r="GJ466" s="4">
        <v>169</v>
      </c>
      <c r="GK466" s="4">
        <v>300</v>
      </c>
      <c r="GL466" s="4">
        <v>230</v>
      </c>
      <c r="GM466" s="4">
        <v>667</v>
      </c>
      <c r="GN466" s="4">
        <v>604</v>
      </c>
      <c r="GO466" s="4">
        <v>541</v>
      </c>
      <c r="GP466" s="4">
        <v>478</v>
      </c>
      <c r="GQ466" s="4">
        <v>415</v>
      </c>
      <c r="GR466" s="4">
        <v>352</v>
      </c>
      <c r="GS466" s="4">
        <v>289</v>
      </c>
      <c r="GT466" s="4">
        <v>219</v>
      </c>
      <c r="GU466" s="4">
        <v>156</v>
      </c>
      <c r="GV466" s="4">
        <v>138</v>
      </c>
      <c r="GW466" s="4">
        <v>120</v>
      </c>
      <c r="GX466" s="4">
        <v>102</v>
      </c>
      <c r="GY466" s="4">
        <v>84</v>
      </c>
      <c r="GZ466" s="4">
        <v>66</v>
      </c>
      <c r="HA466" s="4">
        <v>272</v>
      </c>
      <c r="HB466" s="4">
        <v>254</v>
      </c>
      <c r="HC466" s="19">
        <v>2.3</v>
      </c>
      <c r="HD466" s="19">
        <v>1.4</v>
      </c>
      <c r="HE466" s="19">
        <v>5.3</v>
      </c>
      <c r="HF466" s="19">
        <v>4.5</v>
      </c>
      <c r="HG466" s="19">
        <v>3.7</v>
      </c>
      <c r="HH466" s="19">
        <v>3.3</v>
      </c>
      <c r="HI466" s="19">
        <v>2.8</v>
      </c>
      <c r="HJ466" s="19">
        <v>1.5</v>
      </c>
      <c r="HK466" s="19">
        <v>4.6</v>
      </c>
      <c r="HL466" s="19">
        <v>3.7</v>
      </c>
      <c r="HM466" s="19">
        <v>10.6</v>
      </c>
      <c r="HN466" s="19">
        <v>9.6</v>
      </c>
      <c r="HO466" s="19">
        <v>8.6</v>
      </c>
      <c r="HP466" s="19">
        <v>7.4</v>
      </c>
      <c r="HQ466" s="19">
        <v>6.4</v>
      </c>
      <c r="HR466" s="19">
        <v>6.5</v>
      </c>
      <c r="HS466" s="19">
        <v>6.9</v>
      </c>
      <c r="HT466" s="19">
        <v>7.6</v>
      </c>
      <c r="HU466" s="19">
        <v>8.7</v>
      </c>
      <c r="HV466" s="19">
        <v>7.7</v>
      </c>
      <c r="HW466" s="19">
        <v>6.7</v>
      </c>
      <c r="HX466" s="19">
        <v>5.7</v>
      </c>
      <c r="HY466" s="19">
        <v>4.7</v>
      </c>
      <c r="HZ466" s="19">
        <v>3.7</v>
      </c>
      <c r="IA466" s="19">
        <v>15.1</v>
      </c>
      <c r="IB466" s="19">
        <v>14.1</v>
      </c>
    </row>
    <row r="467">
      <c r="A467" s="2" t="s">
        <v>2778</v>
      </c>
      <c r="B467" s="2" t="s">
        <v>773</v>
      </c>
      <c r="C467" s="2" t="s">
        <v>280</v>
      </c>
      <c r="D467" s="2" t="s">
        <v>1442</v>
      </c>
      <c r="E467" s="2" t="s">
        <v>1443</v>
      </c>
      <c r="F467" s="2" t="s">
        <v>2771</v>
      </c>
      <c r="G467" s="2" t="s">
        <v>2772</v>
      </c>
      <c r="H467" s="2" t="s">
        <v>233</v>
      </c>
      <c r="I467" s="2" t="s">
        <v>2773</v>
      </c>
      <c r="J467" s="2" t="s">
        <v>989</v>
      </c>
      <c r="K467" s="2" t="s">
        <v>1108</v>
      </c>
      <c r="L467" s="3">
        <v>15.87</v>
      </c>
      <c r="M467" s="3">
        <v>16.66</v>
      </c>
      <c r="N467" s="3">
        <v>34.99</v>
      </c>
      <c r="O467" s="2" t="s">
        <v>230</v>
      </c>
      <c r="P467" s="2" t="s">
        <v>231</v>
      </c>
      <c r="Q467" s="2" t="s">
        <v>232</v>
      </c>
      <c r="R467" s="2" t="s">
        <v>233</v>
      </c>
      <c r="S467" s="2" t="s">
        <v>2779</v>
      </c>
      <c r="T467" s="2" t="s">
        <v>1859</v>
      </c>
      <c r="U467" s="2" t="s">
        <v>233</v>
      </c>
      <c r="V467" s="2" t="s">
        <v>1099</v>
      </c>
      <c r="W467" s="2" t="s">
        <v>818</v>
      </c>
      <c r="X467" s="2" t="s">
        <v>233</v>
      </c>
      <c r="Y467" s="2" t="s">
        <v>422</v>
      </c>
      <c r="Z467" s="4">
        <v>677</v>
      </c>
      <c r="AA467" s="4">
        <f>=ROUNDDOWN(37.6111111111111,0)</f>
      </c>
      <c r="AB467" s="5">
        <v>18</v>
      </c>
      <c r="AC467" s="2" t="s">
        <v>140</v>
      </c>
      <c r="AD467" s="4">
        <v>1800</v>
      </c>
      <c r="AE467" s="4">
        <v>3335</v>
      </c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233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 t="s">
        <v>233</v>
      </c>
      <c r="BD467" s="8" t="s">
        <v>233</v>
      </c>
      <c r="BE467" s="4" t="s">
        <v>233</v>
      </c>
      <c r="BF467" s="8" t="s">
        <v>233</v>
      </c>
      <c r="BG467" s="7" t="s">
        <v>233</v>
      </c>
      <c r="BH467" s="7" t="s">
        <v>233</v>
      </c>
      <c r="BI467" s="7"/>
      <c r="BJ467" s="4">
        <v>311</v>
      </c>
      <c r="BK467" s="8">
        <v>4923.15</v>
      </c>
      <c r="BL467" s="2" t="s">
        <v>2780</v>
      </c>
      <c r="BM467" s="7"/>
      <c r="BN467" s="7"/>
      <c r="BO467" s="4"/>
      <c r="BP467" s="8"/>
      <c r="BQ467" s="4"/>
      <c r="BR467" s="8"/>
      <c r="BS467" s="7"/>
      <c r="BT467" s="7"/>
      <c r="BU467" s="2" t="s">
        <v>2776</v>
      </c>
      <c r="BV467" s="2" t="s">
        <v>233</v>
      </c>
      <c r="BW467" s="2" t="s">
        <v>233</v>
      </c>
      <c r="BX467" s="2" t="s">
        <v>241</v>
      </c>
      <c r="BY467" s="2" t="s">
        <v>242</v>
      </c>
      <c r="BZ467" s="2" t="s">
        <v>230</v>
      </c>
      <c r="CA467" s="2" t="s">
        <v>2777</v>
      </c>
      <c r="CB467" s="2" t="s">
        <v>2781</v>
      </c>
      <c r="CC467" s="2" t="s">
        <v>245</v>
      </c>
      <c r="CD467" s="2" t="s">
        <v>233</v>
      </c>
      <c r="CE467" s="4">
        <v>677</v>
      </c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>
        <v>1800</v>
      </c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>
        <v>600</v>
      </c>
      <c r="DP467" s="4"/>
      <c r="DQ467" s="4"/>
      <c r="DR467" s="4"/>
      <c r="DS467" s="4"/>
      <c r="DT467" s="4"/>
      <c r="DU467" s="4"/>
      <c r="DV467" s="4"/>
      <c r="DW467" s="4"/>
      <c r="DX467" s="4"/>
      <c r="DY467" s="4">
        <v>935</v>
      </c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>
        <v>692</v>
      </c>
      <c r="GD467" s="4">
        <v>513</v>
      </c>
      <c r="GE467" s="4">
        <v>1800</v>
      </c>
      <c r="GF467" s="4">
        <v>1224</v>
      </c>
      <c r="GG467" s="4">
        <v>1628</v>
      </c>
      <c r="GH467" s="4">
        <v>1108</v>
      </c>
      <c r="GI467" s="4">
        <v>1732</v>
      </c>
      <c r="GJ467" s="4">
        <v>1374</v>
      </c>
      <c r="GK467" s="4">
        <v>1104</v>
      </c>
      <c r="GL467" s="4">
        <v>1034</v>
      </c>
      <c r="GM467" s="4">
        <v>971</v>
      </c>
      <c r="GN467" s="4">
        <v>908</v>
      </c>
      <c r="GO467" s="4">
        <v>845</v>
      </c>
      <c r="GP467" s="4">
        <v>782</v>
      </c>
      <c r="GQ467" s="4">
        <v>719</v>
      </c>
      <c r="GR467" s="4">
        <v>656</v>
      </c>
      <c r="GS467" s="4">
        <v>593</v>
      </c>
      <c r="GT467" s="4">
        <v>523</v>
      </c>
      <c r="GU467" s="4">
        <v>460</v>
      </c>
      <c r="GV467" s="4">
        <v>442</v>
      </c>
      <c r="GW467" s="4">
        <v>424</v>
      </c>
      <c r="GX467" s="4">
        <v>406</v>
      </c>
      <c r="GY467" s="4">
        <v>388</v>
      </c>
      <c r="GZ467" s="4">
        <v>370</v>
      </c>
      <c r="HA467" s="4">
        <v>352</v>
      </c>
      <c r="HB467" s="4">
        <v>334</v>
      </c>
      <c r="HC467" s="19">
        <v>1.9</v>
      </c>
      <c r="HD467" s="19">
        <v>1.1</v>
      </c>
      <c r="HE467" s="19">
        <v>4.5</v>
      </c>
      <c r="HF467" s="19">
        <v>3.5</v>
      </c>
      <c r="HG467" s="19">
        <v>4.5</v>
      </c>
      <c r="HH467" s="19">
        <v>4.4</v>
      </c>
      <c r="HI467" s="19">
        <v>9.1</v>
      </c>
      <c r="HJ467" s="19">
        <v>11.8</v>
      </c>
      <c r="HK467" s="19">
        <v>17</v>
      </c>
      <c r="HL467" s="19">
        <v>16.4</v>
      </c>
      <c r="HM467" s="19">
        <v>15.4</v>
      </c>
      <c r="HN467" s="19">
        <v>14.4</v>
      </c>
      <c r="HO467" s="19">
        <v>13.4</v>
      </c>
      <c r="HP467" s="19">
        <v>12</v>
      </c>
      <c r="HQ467" s="19">
        <v>11.1</v>
      </c>
      <c r="HR467" s="19">
        <v>12.1</v>
      </c>
      <c r="HS467" s="19">
        <v>14.1</v>
      </c>
      <c r="HT467" s="19">
        <v>18</v>
      </c>
      <c r="HU467" s="19">
        <v>25.6</v>
      </c>
      <c r="HV467" s="19">
        <v>24.6</v>
      </c>
      <c r="HW467" s="19">
        <v>23.6</v>
      </c>
      <c r="HX467" s="19">
        <v>22.6</v>
      </c>
      <c r="HY467" s="19">
        <v>21.6</v>
      </c>
      <c r="HZ467" s="19">
        <v>20.6</v>
      </c>
      <c r="IA467" s="19">
        <v>19.6</v>
      </c>
      <c r="IB467" s="19">
        <v>18.6</v>
      </c>
    </row>
    <row r="468">
      <c r="A468" s="2" t="s">
        <v>2782</v>
      </c>
      <c r="B468" s="2" t="s">
        <v>773</v>
      </c>
      <c r="C468" s="2" t="s">
        <v>280</v>
      </c>
      <c r="D468" s="2" t="s">
        <v>1442</v>
      </c>
      <c r="E468" s="2" t="s">
        <v>1443</v>
      </c>
      <c r="F468" s="2" t="s">
        <v>2771</v>
      </c>
      <c r="G468" s="2" t="s">
        <v>2772</v>
      </c>
      <c r="H468" s="2" t="s">
        <v>233</v>
      </c>
      <c r="I468" s="2" t="s">
        <v>2773</v>
      </c>
      <c r="J468" s="2" t="s">
        <v>989</v>
      </c>
      <c r="K468" s="2" t="s">
        <v>300</v>
      </c>
      <c r="L468" s="3">
        <v>15.87</v>
      </c>
      <c r="M468" s="3">
        <v>16.66</v>
      </c>
      <c r="N468" s="3">
        <v>34.99</v>
      </c>
      <c r="O468" s="2" t="s">
        <v>230</v>
      </c>
      <c r="P468" s="2" t="s">
        <v>231</v>
      </c>
      <c r="Q468" s="2" t="s">
        <v>232</v>
      </c>
      <c r="R468" s="2" t="s">
        <v>233</v>
      </c>
      <c r="S468" s="2" t="s">
        <v>2783</v>
      </c>
      <c r="T468" s="2" t="s">
        <v>1859</v>
      </c>
      <c r="U468" s="2" t="s">
        <v>233</v>
      </c>
      <c r="V468" s="2" t="s">
        <v>782</v>
      </c>
      <c r="W468" s="2" t="s">
        <v>818</v>
      </c>
      <c r="X468" s="2" t="s">
        <v>233</v>
      </c>
      <c r="Y468" s="2" t="s">
        <v>2775</v>
      </c>
      <c r="Z468" s="4">
        <v>783</v>
      </c>
      <c r="AA468" s="4">
        <f>=ROUNDDOWN(52.2,0)</f>
      </c>
      <c r="AB468" s="5">
        <v>15</v>
      </c>
      <c r="AC468" s="2" t="s">
        <v>140</v>
      </c>
      <c r="AD468" s="4">
        <v>1000</v>
      </c>
      <c r="AE468" s="4">
        <v>1800</v>
      </c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233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 t="s">
        <v>233</v>
      </c>
      <c r="BD468" s="8" t="s">
        <v>233</v>
      </c>
      <c r="BE468" s="4" t="s">
        <v>233</v>
      </c>
      <c r="BF468" s="8" t="s">
        <v>233</v>
      </c>
      <c r="BG468" s="7" t="s">
        <v>233</v>
      </c>
      <c r="BH468" s="7" t="s">
        <v>233</v>
      </c>
      <c r="BI468" s="7"/>
      <c r="BJ468" s="4">
        <v>191</v>
      </c>
      <c r="BK468" s="8">
        <v>3035.5</v>
      </c>
      <c r="BL468" s="2" t="s">
        <v>2784</v>
      </c>
      <c r="BM468" s="7"/>
      <c r="BN468" s="7"/>
      <c r="BO468" s="4"/>
      <c r="BP468" s="8"/>
      <c r="BQ468" s="4"/>
      <c r="BR468" s="8"/>
      <c r="BS468" s="7"/>
      <c r="BT468" s="7"/>
      <c r="BU468" s="2" t="s">
        <v>2776</v>
      </c>
      <c r="BV468" s="2" t="s">
        <v>233</v>
      </c>
      <c r="BW468" s="2" t="s">
        <v>233</v>
      </c>
      <c r="BX468" s="2" t="s">
        <v>241</v>
      </c>
      <c r="BY468" s="2" t="s">
        <v>242</v>
      </c>
      <c r="BZ468" s="2" t="s">
        <v>230</v>
      </c>
      <c r="CA468" s="2" t="s">
        <v>2777</v>
      </c>
      <c r="CB468" s="2" t="s">
        <v>881</v>
      </c>
      <c r="CC468" s="2" t="s">
        <v>245</v>
      </c>
      <c r="CD468" s="2" t="s">
        <v>233</v>
      </c>
      <c r="CE468" s="4">
        <v>783</v>
      </c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>
        <v>1000</v>
      </c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>
        <v>300</v>
      </c>
      <c r="EM468" s="4"/>
      <c r="EN468" s="4"/>
      <c r="EO468" s="4"/>
      <c r="EP468" s="4"/>
      <c r="EQ468" s="4"/>
      <c r="ER468" s="4"/>
      <c r="ES468" s="4"/>
      <c r="ET468" s="4"/>
      <c r="EU468" s="4">
        <v>500</v>
      </c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>
        <v>802</v>
      </c>
      <c r="GD468" s="4">
        <v>649</v>
      </c>
      <c r="GE468" s="4">
        <v>1212</v>
      </c>
      <c r="GF468" s="4">
        <v>732</v>
      </c>
      <c r="GG468" s="4">
        <v>568</v>
      </c>
      <c r="GH468" s="4">
        <v>134</v>
      </c>
      <c r="GI468" s="4"/>
      <c r="GJ468" s="4"/>
      <c r="GK468" s="4">
        <v>300</v>
      </c>
      <c r="GL468" s="4">
        <v>241</v>
      </c>
      <c r="GM468" s="4">
        <v>688</v>
      </c>
      <c r="GN468" s="4">
        <v>635</v>
      </c>
      <c r="GO468" s="4">
        <v>582</v>
      </c>
      <c r="GP468" s="4">
        <v>529</v>
      </c>
      <c r="GQ468" s="4">
        <v>476</v>
      </c>
      <c r="GR468" s="4">
        <v>423</v>
      </c>
      <c r="GS468" s="4">
        <v>370</v>
      </c>
      <c r="GT468" s="4">
        <v>311</v>
      </c>
      <c r="GU468" s="4">
        <v>258</v>
      </c>
      <c r="GV468" s="4">
        <v>243</v>
      </c>
      <c r="GW468" s="4">
        <v>228</v>
      </c>
      <c r="GX468" s="4">
        <v>213</v>
      </c>
      <c r="GY468" s="4">
        <v>198</v>
      </c>
      <c r="GZ468" s="4">
        <v>183</v>
      </c>
      <c r="HA468" s="4">
        <v>168</v>
      </c>
      <c r="HB468" s="4">
        <v>153</v>
      </c>
      <c r="HC468" s="19">
        <v>2.6</v>
      </c>
      <c r="HD468" s="19">
        <v>1.7</v>
      </c>
      <c r="HE468" s="19">
        <v>3.6</v>
      </c>
      <c r="HF468" s="19">
        <v>2.5</v>
      </c>
      <c r="HG468" s="19">
        <v>1.9</v>
      </c>
      <c r="HH468" s="19">
        <v>0.6</v>
      </c>
      <c r="HI468" s="20">
        <v>0</v>
      </c>
      <c r="HJ468" s="20">
        <v>0</v>
      </c>
      <c r="HK468" s="19">
        <v>5.6</v>
      </c>
      <c r="HL468" s="19">
        <v>4.5</v>
      </c>
      <c r="HM468" s="19">
        <v>13</v>
      </c>
      <c r="HN468" s="19">
        <v>12</v>
      </c>
      <c r="HO468" s="19">
        <v>11</v>
      </c>
      <c r="HP468" s="19">
        <v>9.8</v>
      </c>
      <c r="HQ468" s="19">
        <v>8.8</v>
      </c>
      <c r="HR468" s="19">
        <v>9.4</v>
      </c>
      <c r="HS468" s="19">
        <v>10.3</v>
      </c>
      <c r="HT468" s="19">
        <v>13</v>
      </c>
      <c r="HU468" s="19">
        <v>17.2</v>
      </c>
      <c r="HV468" s="19">
        <v>16.2</v>
      </c>
      <c r="HW468" s="19">
        <v>15.2</v>
      </c>
      <c r="HX468" s="19">
        <v>14.2</v>
      </c>
      <c r="HY468" s="19">
        <v>13.2</v>
      </c>
      <c r="HZ468" s="19">
        <v>12.2</v>
      </c>
      <c r="IA468" s="19">
        <v>11.2</v>
      </c>
      <c r="IB468" s="19">
        <v>10.2</v>
      </c>
    </row>
    <row r="469">
      <c r="A469" s="2" t="s">
        <v>2785</v>
      </c>
      <c r="B469" s="2" t="s">
        <v>773</v>
      </c>
      <c r="C469" s="2" t="s">
        <v>280</v>
      </c>
      <c r="D469" s="2" t="s">
        <v>1442</v>
      </c>
      <c r="E469" s="2" t="s">
        <v>1443</v>
      </c>
      <c r="F469" s="2" t="s">
        <v>2771</v>
      </c>
      <c r="G469" s="2" t="s">
        <v>2772</v>
      </c>
      <c r="H469" s="2" t="s">
        <v>233</v>
      </c>
      <c r="I469" s="2" t="s">
        <v>2773</v>
      </c>
      <c r="J469" s="2" t="s">
        <v>989</v>
      </c>
      <c r="K469" s="2" t="s">
        <v>1014</v>
      </c>
      <c r="L469" s="3">
        <v>15.87</v>
      </c>
      <c r="M469" s="3">
        <v>16.66</v>
      </c>
      <c r="N469" s="3">
        <v>34.99</v>
      </c>
      <c r="O469" s="2" t="s">
        <v>230</v>
      </c>
      <c r="P469" s="2" t="s">
        <v>231</v>
      </c>
      <c r="Q469" s="2" t="s">
        <v>232</v>
      </c>
      <c r="R469" s="2" t="s">
        <v>233</v>
      </c>
      <c r="S469" s="2" t="s">
        <v>2786</v>
      </c>
      <c r="T469" s="2" t="s">
        <v>1859</v>
      </c>
      <c r="U469" s="2" t="s">
        <v>233</v>
      </c>
      <c r="V469" s="2" t="s">
        <v>1099</v>
      </c>
      <c r="W469" s="2" t="s">
        <v>818</v>
      </c>
      <c r="X469" s="2" t="s">
        <v>233</v>
      </c>
      <c r="Y469" s="2" t="s">
        <v>2775</v>
      </c>
      <c r="Z469" s="4">
        <v>823</v>
      </c>
      <c r="AA469" s="4">
        <f>=ROUNDDOWN(48.4117647058823,0)</f>
      </c>
      <c r="AB469" s="5">
        <v>17</v>
      </c>
      <c r="AC469" s="2" t="s">
        <v>140</v>
      </c>
      <c r="AD469" s="4">
        <v>1729</v>
      </c>
      <c r="AE469" s="4">
        <v>2796</v>
      </c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233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 t="s">
        <v>233</v>
      </c>
      <c r="BD469" s="8" t="s">
        <v>233</v>
      </c>
      <c r="BE469" s="4" t="s">
        <v>233</v>
      </c>
      <c r="BF469" s="8" t="s">
        <v>233</v>
      </c>
      <c r="BG469" s="7" t="s">
        <v>233</v>
      </c>
      <c r="BH469" s="7" t="s">
        <v>233</v>
      </c>
      <c r="BI469" s="7"/>
      <c r="BJ469" s="4">
        <v>273</v>
      </c>
      <c r="BK469" s="8">
        <v>4320.97</v>
      </c>
      <c r="BL469" s="2" t="s">
        <v>2787</v>
      </c>
      <c r="BM469" s="7"/>
      <c r="BN469" s="7"/>
      <c r="BO469" s="4"/>
      <c r="BP469" s="8"/>
      <c r="BQ469" s="4"/>
      <c r="BR469" s="8"/>
      <c r="BS469" s="7"/>
      <c r="BT469" s="7"/>
      <c r="BU469" s="2" t="s">
        <v>2776</v>
      </c>
      <c r="BV469" s="2" t="s">
        <v>233</v>
      </c>
      <c r="BW469" s="2" t="s">
        <v>233</v>
      </c>
      <c r="BX469" s="2" t="s">
        <v>241</v>
      </c>
      <c r="BY469" s="2" t="s">
        <v>242</v>
      </c>
      <c r="BZ469" s="2" t="s">
        <v>230</v>
      </c>
      <c r="CA469" s="2" t="s">
        <v>2777</v>
      </c>
      <c r="CB469" s="2" t="s">
        <v>2351</v>
      </c>
      <c r="CC469" s="2" t="s">
        <v>245</v>
      </c>
      <c r="CD469" s="2" t="s">
        <v>233</v>
      </c>
      <c r="CE469" s="4">
        <v>823</v>
      </c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>
        <v>1729</v>
      </c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>
        <v>700</v>
      </c>
      <c r="DP469" s="4"/>
      <c r="DQ469" s="4"/>
      <c r="DR469" s="4"/>
      <c r="DS469" s="4"/>
      <c r="DT469" s="4"/>
      <c r="DU469" s="4"/>
      <c r="DV469" s="4"/>
      <c r="DW469" s="4"/>
      <c r="DX469" s="4"/>
      <c r="DY469" s="4">
        <v>67</v>
      </c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>
        <v>300</v>
      </c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>
        <v>838</v>
      </c>
      <c r="GD469" s="4">
        <v>670</v>
      </c>
      <c r="GE469" s="4">
        <v>1904</v>
      </c>
      <c r="GF469" s="4">
        <v>1360</v>
      </c>
      <c r="GG469" s="4">
        <v>1875</v>
      </c>
      <c r="GH469" s="4">
        <v>1384</v>
      </c>
      <c r="GI469" s="4">
        <v>1157</v>
      </c>
      <c r="GJ469" s="4">
        <v>819</v>
      </c>
      <c r="GK469" s="4">
        <v>864</v>
      </c>
      <c r="GL469" s="4">
        <v>798</v>
      </c>
      <c r="GM469" s="4">
        <v>738</v>
      </c>
      <c r="GN469" s="4">
        <v>678</v>
      </c>
      <c r="GO469" s="4">
        <v>618</v>
      </c>
      <c r="GP469" s="4">
        <v>558</v>
      </c>
      <c r="GQ469" s="4">
        <v>498</v>
      </c>
      <c r="GR469" s="4">
        <v>438</v>
      </c>
      <c r="GS469" s="4">
        <v>378</v>
      </c>
      <c r="GT469" s="4">
        <v>312</v>
      </c>
      <c r="GU469" s="4">
        <v>252</v>
      </c>
      <c r="GV469" s="4">
        <v>235</v>
      </c>
      <c r="GW469" s="4">
        <v>218</v>
      </c>
      <c r="GX469" s="4">
        <v>201</v>
      </c>
      <c r="GY469" s="4">
        <v>184</v>
      </c>
      <c r="GZ469" s="4">
        <v>167</v>
      </c>
      <c r="HA469" s="4">
        <v>150</v>
      </c>
      <c r="HB469" s="4">
        <v>133</v>
      </c>
      <c r="HC469" s="19">
        <v>2.4</v>
      </c>
      <c r="HD469" s="19">
        <v>1.6</v>
      </c>
      <c r="HE469" s="19">
        <v>5</v>
      </c>
      <c r="HF469" s="19">
        <v>4.2</v>
      </c>
      <c r="HG469" s="19">
        <v>5.5</v>
      </c>
      <c r="HH469" s="19">
        <v>5.8</v>
      </c>
      <c r="HI469" s="19">
        <v>6.4</v>
      </c>
      <c r="HJ469" s="19">
        <v>7.4</v>
      </c>
      <c r="HK469" s="19">
        <v>13.9</v>
      </c>
      <c r="HL469" s="19">
        <v>13.3</v>
      </c>
      <c r="HM469" s="19">
        <v>12.3</v>
      </c>
      <c r="HN469" s="19">
        <v>11.3</v>
      </c>
      <c r="HO469" s="19">
        <v>10.3</v>
      </c>
      <c r="HP469" s="19">
        <v>9</v>
      </c>
      <c r="HQ469" s="19">
        <v>8</v>
      </c>
      <c r="HR469" s="19">
        <v>8.6</v>
      </c>
      <c r="HS469" s="19">
        <v>9.5</v>
      </c>
      <c r="HT469" s="19">
        <v>11.1</v>
      </c>
      <c r="HU469" s="19">
        <v>14.8</v>
      </c>
      <c r="HV469" s="19">
        <v>13.8</v>
      </c>
      <c r="HW469" s="19">
        <v>12.8</v>
      </c>
      <c r="HX469" s="19">
        <v>11.8</v>
      </c>
      <c r="HY469" s="19">
        <v>10.8</v>
      </c>
      <c r="HZ469" s="19">
        <v>9.8</v>
      </c>
      <c r="IA469" s="19">
        <v>8.8</v>
      </c>
      <c r="IB469" s="19">
        <v>7.8</v>
      </c>
    </row>
    <row r="470">
      <c r="A470" s="2" t="s">
        <v>2788</v>
      </c>
      <c r="B470" s="2" t="s">
        <v>938</v>
      </c>
      <c r="C470" s="2" t="s">
        <v>280</v>
      </c>
      <c r="D470" s="2" t="s">
        <v>972</v>
      </c>
      <c r="E470" s="2" t="s">
        <v>973</v>
      </c>
      <c r="F470" s="2" t="s">
        <v>2789</v>
      </c>
      <c r="G470" s="2" t="s">
        <v>2790</v>
      </c>
      <c r="H470" s="2" t="s">
        <v>2791</v>
      </c>
      <c r="I470" s="2" t="s">
        <v>2792</v>
      </c>
      <c r="J470" s="2" t="s">
        <v>2793</v>
      </c>
      <c r="K470" s="2" t="s">
        <v>1511</v>
      </c>
      <c r="L470" s="3">
        <v>23.1</v>
      </c>
      <c r="M470" s="3">
        <v>24.26</v>
      </c>
      <c r="N470" s="3">
        <v>54.99</v>
      </c>
      <c r="O470" s="2" t="s">
        <v>230</v>
      </c>
      <c r="P470" s="2" t="s">
        <v>231</v>
      </c>
      <c r="Q470" s="2" t="s">
        <v>232</v>
      </c>
      <c r="R470" s="2" t="s">
        <v>233</v>
      </c>
      <c r="S470" s="2" t="s">
        <v>2794</v>
      </c>
      <c r="T470" s="2" t="s">
        <v>233</v>
      </c>
      <c r="U470" s="2" t="s">
        <v>329</v>
      </c>
      <c r="V470" s="2" t="s">
        <v>236</v>
      </c>
      <c r="W470" s="2" t="s">
        <v>712</v>
      </c>
      <c r="X470" s="2" t="s">
        <v>2130</v>
      </c>
      <c r="Y470" s="2" t="s">
        <v>2795</v>
      </c>
      <c r="Z470" s="4">
        <v>87</v>
      </c>
      <c r="AA470" s="4">
        <f>=ROUNDDOWN(43.5,0)</f>
      </c>
      <c r="AB470" s="5">
        <v>2</v>
      </c>
      <c r="AC470" s="2" t="s">
        <v>1882</v>
      </c>
      <c r="AD470" s="4">
        <v>68</v>
      </c>
      <c r="AE470" s="4">
        <v>68</v>
      </c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233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 t="s">
        <v>233</v>
      </c>
      <c r="BD470" s="8" t="s">
        <v>233</v>
      </c>
      <c r="BE470" s="4" t="s">
        <v>233</v>
      </c>
      <c r="BF470" s="8" t="s">
        <v>233</v>
      </c>
      <c r="BG470" s="7" t="s">
        <v>233</v>
      </c>
      <c r="BH470" s="7" t="s">
        <v>233</v>
      </c>
      <c r="BI470" s="7"/>
      <c r="BJ470" s="4">
        <v>10</v>
      </c>
      <c r="BK470" s="8">
        <v>189.9</v>
      </c>
      <c r="BL470" s="2" t="s">
        <v>324</v>
      </c>
      <c r="BM470" s="7"/>
      <c r="BN470" s="7"/>
      <c r="BO470" s="4"/>
      <c r="BP470" s="8"/>
      <c r="BQ470" s="4"/>
      <c r="BR470" s="8"/>
      <c r="BS470" s="7"/>
      <c r="BT470" s="7"/>
      <c r="BU470" s="2" t="s">
        <v>2796</v>
      </c>
      <c r="BV470" s="2" t="s">
        <v>233</v>
      </c>
      <c r="BW470" s="2" t="s">
        <v>233</v>
      </c>
      <c r="BX470" s="2" t="s">
        <v>624</v>
      </c>
      <c r="BY470" s="2" t="s">
        <v>242</v>
      </c>
      <c r="BZ470" s="2" t="s">
        <v>230</v>
      </c>
      <c r="CA470" s="2" t="s">
        <v>447</v>
      </c>
      <c r="CB470" s="2" t="s">
        <v>1273</v>
      </c>
      <c r="CC470" s="2" t="s">
        <v>245</v>
      </c>
      <c r="CD470" s="2" t="s">
        <v>233</v>
      </c>
      <c r="CE470" s="4">
        <v>87</v>
      </c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>
        <v>68</v>
      </c>
      <c r="GB470" s="4"/>
      <c r="GC470" s="4">
        <v>87</v>
      </c>
      <c r="GD470" s="4">
        <v>86</v>
      </c>
      <c r="GE470" s="4">
        <v>85</v>
      </c>
      <c r="GF470" s="4">
        <v>84</v>
      </c>
      <c r="GG470" s="4">
        <v>82</v>
      </c>
      <c r="GH470" s="4">
        <v>81</v>
      </c>
      <c r="GI470" s="4">
        <v>80</v>
      </c>
      <c r="GJ470" s="4">
        <v>79</v>
      </c>
      <c r="GK470" s="4">
        <v>78</v>
      </c>
      <c r="GL470" s="4">
        <v>77</v>
      </c>
      <c r="GM470" s="4">
        <v>75</v>
      </c>
      <c r="GN470" s="4">
        <v>73</v>
      </c>
      <c r="GO470" s="4">
        <v>71</v>
      </c>
      <c r="GP470" s="4">
        <v>69</v>
      </c>
      <c r="GQ470" s="4">
        <v>67</v>
      </c>
      <c r="GR470" s="4">
        <v>65</v>
      </c>
      <c r="GS470" s="4">
        <v>63</v>
      </c>
      <c r="GT470" s="4">
        <v>61</v>
      </c>
      <c r="GU470" s="4">
        <v>59</v>
      </c>
      <c r="GV470" s="4">
        <v>57</v>
      </c>
      <c r="GW470" s="4">
        <v>123</v>
      </c>
      <c r="GX470" s="4">
        <v>121</v>
      </c>
      <c r="GY470" s="4">
        <v>119</v>
      </c>
      <c r="GZ470" s="4">
        <v>117</v>
      </c>
      <c r="HA470" s="4">
        <v>115</v>
      </c>
      <c r="HB470" s="4">
        <v>113</v>
      </c>
      <c r="HC470" s="19">
        <v>87</v>
      </c>
      <c r="HD470" s="19">
        <v>86</v>
      </c>
      <c r="HE470" s="19">
        <v>85</v>
      </c>
      <c r="HF470" s="19">
        <v>84</v>
      </c>
      <c r="HG470" s="19">
        <v>82</v>
      </c>
      <c r="HH470" s="19">
        <v>81</v>
      </c>
      <c r="HI470" s="19">
        <v>80</v>
      </c>
      <c r="HJ470" s="19">
        <v>39.5</v>
      </c>
      <c r="HK470" s="19">
        <v>39</v>
      </c>
      <c r="HL470" s="19">
        <v>38.5</v>
      </c>
      <c r="HM470" s="19">
        <v>37.5</v>
      </c>
      <c r="HN470" s="19">
        <v>36.5</v>
      </c>
      <c r="HO470" s="19">
        <v>35.5</v>
      </c>
      <c r="HP470" s="19">
        <v>34.5</v>
      </c>
      <c r="HQ470" s="19">
        <v>33.5</v>
      </c>
      <c r="HR470" s="19">
        <v>32.5</v>
      </c>
      <c r="HS470" s="19">
        <v>31.5</v>
      </c>
      <c r="HT470" s="19">
        <v>30.5</v>
      </c>
      <c r="HU470" s="19">
        <v>29.5</v>
      </c>
      <c r="HV470" s="19">
        <v>28.5</v>
      </c>
      <c r="HW470" s="19">
        <v>61.5</v>
      </c>
      <c r="HX470" s="19">
        <v>60.5</v>
      </c>
      <c r="HY470" s="19">
        <v>59.5</v>
      </c>
      <c r="HZ470" s="19">
        <v>58.5</v>
      </c>
      <c r="IA470" s="19">
        <v>57.5</v>
      </c>
      <c r="IB470" s="19">
        <v>56.5</v>
      </c>
    </row>
    <row r="471">
      <c r="A471" s="2" t="s">
        <v>2797</v>
      </c>
      <c r="B471" s="2" t="s">
        <v>938</v>
      </c>
      <c r="C471" s="2" t="s">
        <v>280</v>
      </c>
      <c r="D471" s="2" t="s">
        <v>972</v>
      </c>
      <c r="E471" s="2" t="s">
        <v>973</v>
      </c>
      <c r="F471" s="2" t="s">
        <v>2789</v>
      </c>
      <c r="G471" s="2" t="s">
        <v>2790</v>
      </c>
      <c r="H471" s="2" t="s">
        <v>2791</v>
      </c>
      <c r="I471" s="2" t="s">
        <v>2798</v>
      </c>
      <c r="J471" s="2" t="s">
        <v>2799</v>
      </c>
      <c r="K471" s="2" t="s">
        <v>2800</v>
      </c>
      <c r="L471" s="3">
        <v>18.4</v>
      </c>
      <c r="M471" s="3">
        <v>19.32</v>
      </c>
      <c r="N471" s="3">
        <v>39.99</v>
      </c>
      <c r="O471" s="2" t="s">
        <v>230</v>
      </c>
      <c r="P471" s="2" t="s">
        <v>231</v>
      </c>
      <c r="Q471" s="2" t="s">
        <v>232</v>
      </c>
      <c r="R471" s="2" t="s">
        <v>233</v>
      </c>
      <c r="S471" s="2" t="s">
        <v>2801</v>
      </c>
      <c r="T471" s="2" t="s">
        <v>233</v>
      </c>
      <c r="U471" s="2" t="s">
        <v>329</v>
      </c>
      <c r="V471" s="2" t="s">
        <v>236</v>
      </c>
      <c r="W471" s="2" t="s">
        <v>712</v>
      </c>
      <c r="X471" s="2" t="s">
        <v>1324</v>
      </c>
      <c r="Y471" s="2" t="s">
        <v>2802</v>
      </c>
      <c r="Z471" s="4">
        <v>351</v>
      </c>
      <c r="AA471" s="4">
        <f>=ROUNDDOWN(19.5,0)</f>
      </c>
      <c r="AB471" s="5">
        <v>18</v>
      </c>
      <c r="AC471" s="2" t="s">
        <v>490</v>
      </c>
      <c r="AD471" s="4">
        <v>152</v>
      </c>
      <c r="AE471" s="4">
        <v>280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233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233</v>
      </c>
      <c r="AW471" s="8" t="s">
        <v>233</v>
      </c>
      <c r="AX471" s="4" t="s">
        <v>233</v>
      </c>
      <c r="AY471" s="8" t="s">
        <v>233</v>
      </c>
      <c r="AZ471" s="7" t="s">
        <v>233</v>
      </c>
      <c r="BA471" s="7" t="s">
        <v>233</v>
      </c>
      <c r="BB471" s="7"/>
      <c r="BC471" s="4" t="s">
        <v>233</v>
      </c>
      <c r="BD471" s="8" t="s">
        <v>233</v>
      </c>
      <c r="BE471" s="4" t="s">
        <v>233</v>
      </c>
      <c r="BF471" s="8" t="s">
        <v>233</v>
      </c>
      <c r="BG471" s="7" t="s">
        <v>233</v>
      </c>
      <c r="BH471" s="7" t="s">
        <v>233</v>
      </c>
      <c r="BI471" s="7"/>
      <c r="BJ471" s="4">
        <v>73</v>
      </c>
      <c r="BK471" s="8">
        <v>1476.59</v>
      </c>
      <c r="BL471" s="2" t="s">
        <v>2803</v>
      </c>
      <c r="BM471" s="7"/>
      <c r="BN471" s="7"/>
      <c r="BO471" s="4"/>
      <c r="BP471" s="8"/>
      <c r="BQ471" s="4"/>
      <c r="BR471" s="8"/>
      <c r="BS471" s="7"/>
      <c r="BT471" s="7"/>
      <c r="BU471" s="2" t="s">
        <v>2804</v>
      </c>
      <c r="BV471" s="2" t="s">
        <v>233</v>
      </c>
      <c r="BW471" s="2" t="s">
        <v>233</v>
      </c>
      <c r="BX471" s="2" t="s">
        <v>624</v>
      </c>
      <c r="BY471" s="2" t="s">
        <v>242</v>
      </c>
      <c r="BZ471" s="2" t="s">
        <v>230</v>
      </c>
      <c r="CA471" s="2" t="s">
        <v>2805</v>
      </c>
      <c r="CB471" s="2" t="s">
        <v>2806</v>
      </c>
      <c r="CC471" s="2" t="s">
        <v>245</v>
      </c>
      <c r="CD471" s="2" t="s">
        <v>233</v>
      </c>
      <c r="CE471" s="4">
        <v>351</v>
      </c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>
        <v>152</v>
      </c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>
        <v>128</v>
      </c>
      <c r="FV471" s="4"/>
      <c r="FW471" s="4"/>
      <c r="FX471" s="4"/>
      <c r="FY471" s="4"/>
      <c r="FZ471" s="4"/>
      <c r="GA471" s="4"/>
      <c r="GB471" s="4"/>
      <c r="GC471" s="4">
        <v>370</v>
      </c>
      <c r="GD471" s="4">
        <v>346</v>
      </c>
      <c r="GE471" s="4">
        <v>325</v>
      </c>
      <c r="GF471" s="4">
        <v>307</v>
      </c>
      <c r="GG471" s="4">
        <v>283</v>
      </c>
      <c r="GH471" s="4">
        <v>261</v>
      </c>
      <c r="GI471" s="4">
        <v>385</v>
      </c>
      <c r="GJ471" s="4">
        <v>367</v>
      </c>
      <c r="GK471" s="4">
        <v>346</v>
      </c>
      <c r="GL471" s="4">
        <v>328</v>
      </c>
      <c r="GM471" s="4">
        <v>309</v>
      </c>
      <c r="GN471" s="4">
        <v>291</v>
      </c>
      <c r="GO471" s="4">
        <v>273</v>
      </c>
      <c r="GP471" s="4">
        <v>255</v>
      </c>
      <c r="GQ471" s="4">
        <v>237</v>
      </c>
      <c r="GR471" s="4">
        <v>219</v>
      </c>
      <c r="GS471" s="4">
        <v>201</v>
      </c>
      <c r="GT471" s="4">
        <v>308</v>
      </c>
      <c r="GU471" s="4">
        <v>290</v>
      </c>
      <c r="GV471" s="4">
        <v>272</v>
      </c>
      <c r="GW471" s="4">
        <v>254</v>
      </c>
      <c r="GX471" s="4">
        <v>236</v>
      </c>
      <c r="GY471" s="4">
        <v>218</v>
      </c>
      <c r="GZ471" s="4">
        <v>242</v>
      </c>
      <c r="HA471" s="4">
        <v>223</v>
      </c>
      <c r="HB471" s="4">
        <v>205</v>
      </c>
      <c r="HC471" s="19">
        <v>16.8</v>
      </c>
      <c r="HD471" s="19">
        <v>16.5</v>
      </c>
      <c r="HE471" s="19">
        <v>14.1</v>
      </c>
      <c r="HF471" s="19">
        <v>13.3</v>
      </c>
      <c r="HG471" s="19">
        <v>12.9</v>
      </c>
      <c r="HH471" s="19">
        <v>12.4</v>
      </c>
      <c r="HI471" s="19">
        <v>20.3</v>
      </c>
      <c r="HJ471" s="19">
        <v>19.3</v>
      </c>
      <c r="HK471" s="19">
        <v>19.2</v>
      </c>
      <c r="HL471" s="19">
        <v>18.2</v>
      </c>
      <c r="HM471" s="19">
        <v>17.2</v>
      </c>
      <c r="HN471" s="19">
        <v>16.2</v>
      </c>
      <c r="HO471" s="19">
        <v>15.2</v>
      </c>
      <c r="HP471" s="19">
        <v>13.4</v>
      </c>
      <c r="HQ471" s="19">
        <v>12.5</v>
      </c>
      <c r="HR471" s="19">
        <v>11.5</v>
      </c>
      <c r="HS471" s="19">
        <v>10.6</v>
      </c>
      <c r="HT471" s="19">
        <v>17.1</v>
      </c>
      <c r="HU471" s="19">
        <v>16.1</v>
      </c>
      <c r="HV471" s="19">
        <v>15.1</v>
      </c>
      <c r="HW471" s="19">
        <v>14.1</v>
      </c>
      <c r="HX471" s="19">
        <v>13.1</v>
      </c>
      <c r="HY471" s="19">
        <v>12.1</v>
      </c>
      <c r="HZ471" s="19">
        <v>13.4</v>
      </c>
      <c r="IA471" s="19">
        <v>12.4</v>
      </c>
      <c r="IB471" s="19">
        <v>11.4</v>
      </c>
    </row>
    <row r="472">
      <c r="A472" s="2" t="s">
        <v>2807</v>
      </c>
      <c r="B472" s="2" t="s">
        <v>938</v>
      </c>
      <c r="C472" s="2" t="s">
        <v>280</v>
      </c>
      <c r="D472" s="2" t="s">
        <v>972</v>
      </c>
      <c r="E472" s="2" t="s">
        <v>973</v>
      </c>
      <c r="F472" s="2" t="s">
        <v>2789</v>
      </c>
      <c r="G472" s="2" t="s">
        <v>2790</v>
      </c>
      <c r="H472" s="2" t="s">
        <v>2791</v>
      </c>
      <c r="I472" s="2" t="s">
        <v>2798</v>
      </c>
      <c r="J472" s="2" t="s">
        <v>2808</v>
      </c>
      <c r="K472" s="2" t="s">
        <v>2800</v>
      </c>
      <c r="L472" s="3">
        <v>20.25</v>
      </c>
      <c r="M472" s="3">
        <v>21.26</v>
      </c>
      <c r="N472" s="3">
        <v>44.99</v>
      </c>
      <c r="O472" s="2" t="s">
        <v>230</v>
      </c>
      <c r="P472" s="2" t="s">
        <v>231</v>
      </c>
      <c r="Q472" s="2" t="s">
        <v>232</v>
      </c>
      <c r="R472" s="2" t="s">
        <v>233</v>
      </c>
      <c r="S472" s="2" t="s">
        <v>2801</v>
      </c>
      <c r="T472" s="2" t="s">
        <v>233</v>
      </c>
      <c r="U472" s="2" t="s">
        <v>329</v>
      </c>
      <c r="V472" s="2" t="s">
        <v>236</v>
      </c>
      <c r="W472" s="2" t="s">
        <v>712</v>
      </c>
      <c r="X472" s="2" t="s">
        <v>1324</v>
      </c>
      <c r="Y472" s="2" t="s">
        <v>2802</v>
      </c>
      <c r="Z472" s="4">
        <v>386</v>
      </c>
      <c r="AA472" s="4">
        <f>=ROUNDDOWN(27.5714285714286,0)</f>
      </c>
      <c r="AB472" s="5">
        <v>14</v>
      </c>
      <c r="AC472" s="2" t="s">
        <v>1791</v>
      </c>
      <c r="AD472" s="4">
        <v>80</v>
      </c>
      <c r="AE472" s="4">
        <v>80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233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233</v>
      </c>
      <c r="AW472" s="8" t="s">
        <v>233</v>
      </c>
      <c r="AX472" s="4" t="s">
        <v>233</v>
      </c>
      <c r="AY472" s="8" t="s">
        <v>233</v>
      </c>
      <c r="AZ472" s="7" t="s">
        <v>233</v>
      </c>
      <c r="BA472" s="7" t="s">
        <v>233</v>
      </c>
      <c r="BB472" s="7"/>
      <c r="BC472" s="4" t="s">
        <v>233</v>
      </c>
      <c r="BD472" s="8" t="s">
        <v>233</v>
      </c>
      <c r="BE472" s="4" t="s">
        <v>233</v>
      </c>
      <c r="BF472" s="8" t="s">
        <v>233</v>
      </c>
      <c r="BG472" s="7" t="s">
        <v>233</v>
      </c>
      <c r="BH472" s="7" t="s">
        <v>233</v>
      </c>
      <c r="BI472" s="7"/>
      <c r="BJ472" s="4">
        <v>81</v>
      </c>
      <c r="BK472" s="8">
        <v>2196.65</v>
      </c>
      <c r="BL472" s="2" t="s">
        <v>2809</v>
      </c>
      <c r="BM472" s="7"/>
      <c r="BN472" s="7"/>
      <c r="BO472" s="4"/>
      <c r="BP472" s="8"/>
      <c r="BQ472" s="4"/>
      <c r="BR472" s="8"/>
      <c r="BS472" s="7"/>
      <c r="BT472" s="7"/>
      <c r="BU472" s="2" t="s">
        <v>2804</v>
      </c>
      <c r="BV472" s="2" t="s">
        <v>233</v>
      </c>
      <c r="BW472" s="2" t="s">
        <v>233</v>
      </c>
      <c r="BX472" s="2" t="s">
        <v>624</v>
      </c>
      <c r="BY472" s="2" t="s">
        <v>242</v>
      </c>
      <c r="BZ472" s="2" t="s">
        <v>230</v>
      </c>
      <c r="CA472" s="2" t="s">
        <v>2805</v>
      </c>
      <c r="CB472" s="2" t="s">
        <v>2806</v>
      </c>
      <c r="CC472" s="2" t="s">
        <v>245</v>
      </c>
      <c r="CD472" s="2" t="s">
        <v>233</v>
      </c>
      <c r="CE472" s="4">
        <v>386</v>
      </c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>
        <v>80</v>
      </c>
      <c r="FV472" s="4"/>
      <c r="FW472" s="4"/>
      <c r="FX472" s="4"/>
      <c r="FY472" s="4"/>
      <c r="FZ472" s="4"/>
      <c r="GA472" s="4"/>
      <c r="GB472" s="4"/>
      <c r="GC472" s="4">
        <v>403</v>
      </c>
      <c r="GD472" s="4">
        <v>369</v>
      </c>
      <c r="GE472" s="4">
        <v>349</v>
      </c>
      <c r="GF472" s="4">
        <v>331</v>
      </c>
      <c r="GG472" s="4">
        <v>309</v>
      </c>
      <c r="GH472" s="4">
        <v>292</v>
      </c>
      <c r="GI472" s="4">
        <v>271</v>
      </c>
      <c r="GJ472" s="4">
        <v>257</v>
      </c>
      <c r="GK472" s="4">
        <v>241</v>
      </c>
      <c r="GL472" s="4">
        <v>227</v>
      </c>
      <c r="GM472" s="4">
        <v>212</v>
      </c>
      <c r="GN472" s="4">
        <v>198</v>
      </c>
      <c r="GO472" s="4">
        <v>184</v>
      </c>
      <c r="GP472" s="4">
        <v>170</v>
      </c>
      <c r="GQ472" s="4">
        <v>156</v>
      </c>
      <c r="GR472" s="4">
        <v>142</v>
      </c>
      <c r="GS472" s="4">
        <v>128</v>
      </c>
      <c r="GT472" s="4">
        <v>192</v>
      </c>
      <c r="GU472" s="4">
        <v>178</v>
      </c>
      <c r="GV472" s="4">
        <v>164</v>
      </c>
      <c r="GW472" s="4">
        <v>150</v>
      </c>
      <c r="GX472" s="4">
        <v>136</v>
      </c>
      <c r="GY472" s="4">
        <v>122</v>
      </c>
      <c r="GZ472" s="4">
        <v>184</v>
      </c>
      <c r="HA472" s="4">
        <v>169</v>
      </c>
      <c r="HB472" s="4">
        <v>155</v>
      </c>
      <c r="HC472" s="19">
        <v>16.8</v>
      </c>
      <c r="HD472" s="19">
        <v>19.4</v>
      </c>
      <c r="HE472" s="19">
        <v>17.5</v>
      </c>
      <c r="HF472" s="19">
        <v>18.4</v>
      </c>
      <c r="HG472" s="19">
        <v>18.2</v>
      </c>
      <c r="HH472" s="19">
        <v>18.3</v>
      </c>
      <c r="HI472" s="19">
        <v>18.1</v>
      </c>
      <c r="HJ472" s="19">
        <v>17.1</v>
      </c>
      <c r="HK472" s="19">
        <v>17.2</v>
      </c>
      <c r="HL472" s="19">
        <v>16.2</v>
      </c>
      <c r="HM472" s="19">
        <v>15.1</v>
      </c>
      <c r="HN472" s="19">
        <v>14.1</v>
      </c>
      <c r="HO472" s="19">
        <v>13.1</v>
      </c>
      <c r="HP472" s="19">
        <v>12.1</v>
      </c>
      <c r="HQ472" s="19">
        <v>11.1</v>
      </c>
      <c r="HR472" s="19">
        <v>10.1</v>
      </c>
      <c r="HS472" s="19">
        <v>9.1</v>
      </c>
      <c r="HT472" s="19">
        <v>13.7</v>
      </c>
      <c r="HU472" s="19">
        <v>12.7</v>
      </c>
      <c r="HV472" s="19">
        <v>11.7</v>
      </c>
      <c r="HW472" s="19">
        <v>10.7</v>
      </c>
      <c r="HX472" s="19">
        <v>9.7</v>
      </c>
      <c r="HY472" s="19">
        <v>8.7</v>
      </c>
      <c r="HZ472" s="19">
        <v>13.1</v>
      </c>
      <c r="IA472" s="19">
        <v>12.1</v>
      </c>
      <c r="IB472" s="19">
        <v>11.1</v>
      </c>
    </row>
    <row r="473">
      <c r="A473" s="2" t="s">
        <v>2810</v>
      </c>
      <c r="B473" s="2" t="s">
        <v>938</v>
      </c>
      <c r="C473" s="2" t="s">
        <v>280</v>
      </c>
      <c r="D473" s="2" t="s">
        <v>972</v>
      </c>
      <c r="E473" s="2" t="s">
        <v>973</v>
      </c>
      <c r="F473" s="2" t="s">
        <v>2789</v>
      </c>
      <c r="G473" s="2" t="s">
        <v>2790</v>
      </c>
      <c r="H473" s="2" t="s">
        <v>2791</v>
      </c>
      <c r="I473" s="2" t="s">
        <v>2792</v>
      </c>
      <c r="J473" s="2" t="s">
        <v>2793</v>
      </c>
      <c r="K473" s="2" t="s">
        <v>671</v>
      </c>
      <c r="L473" s="3">
        <v>23.1</v>
      </c>
      <c r="M473" s="3">
        <v>24.26</v>
      </c>
      <c r="N473" s="3">
        <v>54.99</v>
      </c>
      <c r="O473" s="2" t="s">
        <v>230</v>
      </c>
      <c r="P473" s="2" t="s">
        <v>231</v>
      </c>
      <c r="Q473" s="2" t="s">
        <v>232</v>
      </c>
      <c r="R473" s="2" t="s">
        <v>233</v>
      </c>
      <c r="S473" s="2" t="s">
        <v>2811</v>
      </c>
      <c r="T473" s="2" t="s">
        <v>233</v>
      </c>
      <c r="U473" s="2" t="s">
        <v>329</v>
      </c>
      <c r="V473" s="2" t="s">
        <v>236</v>
      </c>
      <c r="W473" s="2" t="s">
        <v>712</v>
      </c>
      <c r="X473" s="2" t="s">
        <v>2130</v>
      </c>
      <c r="Y473" s="2" t="s">
        <v>2812</v>
      </c>
      <c r="Z473" s="4">
        <v>71</v>
      </c>
      <c r="AA473" s="4">
        <f>=ROUNDDOWN(35.5,0)</f>
      </c>
      <c r="AB473" s="5">
        <v>2</v>
      </c>
      <c r="AC473" s="2" t="s">
        <v>233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233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 t="s">
        <v>233</v>
      </c>
      <c r="BD473" s="8" t="s">
        <v>233</v>
      </c>
      <c r="BE473" s="4" t="s">
        <v>233</v>
      </c>
      <c r="BF473" s="8" t="s">
        <v>233</v>
      </c>
      <c r="BG473" s="7" t="s">
        <v>233</v>
      </c>
      <c r="BH473" s="7" t="s">
        <v>233</v>
      </c>
      <c r="BI473" s="7"/>
      <c r="BJ473" s="4">
        <v>12</v>
      </c>
      <c r="BK473" s="8">
        <v>300.24</v>
      </c>
      <c r="BL473" s="2" t="s">
        <v>351</v>
      </c>
      <c r="BM473" s="7"/>
      <c r="BN473" s="7"/>
      <c r="BO473" s="4"/>
      <c r="BP473" s="8"/>
      <c r="BQ473" s="4"/>
      <c r="BR473" s="8"/>
      <c r="BS473" s="7"/>
      <c r="BT473" s="7"/>
      <c r="BU473" s="2" t="s">
        <v>2796</v>
      </c>
      <c r="BV473" s="2" t="s">
        <v>233</v>
      </c>
      <c r="BW473" s="2" t="s">
        <v>233</v>
      </c>
      <c r="BX473" s="2" t="s">
        <v>624</v>
      </c>
      <c r="BY473" s="2" t="s">
        <v>242</v>
      </c>
      <c r="BZ473" s="2" t="s">
        <v>230</v>
      </c>
      <c r="CA473" s="2" t="s">
        <v>1485</v>
      </c>
      <c r="CB473" s="2" t="s">
        <v>2563</v>
      </c>
      <c r="CC473" s="2" t="s">
        <v>245</v>
      </c>
      <c r="CD473" s="2" t="s">
        <v>233</v>
      </c>
      <c r="CE473" s="4">
        <v>71</v>
      </c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>
        <v>79</v>
      </c>
      <c r="GD473" s="4">
        <v>78</v>
      </c>
      <c r="GE473" s="4">
        <v>77</v>
      </c>
      <c r="GF473" s="4">
        <v>76</v>
      </c>
      <c r="GG473" s="4">
        <v>74</v>
      </c>
      <c r="GH473" s="4">
        <v>73</v>
      </c>
      <c r="GI473" s="4">
        <v>72</v>
      </c>
      <c r="GJ473" s="4">
        <v>71</v>
      </c>
      <c r="GK473" s="4">
        <v>70</v>
      </c>
      <c r="GL473" s="4">
        <v>69</v>
      </c>
      <c r="GM473" s="4">
        <v>68</v>
      </c>
      <c r="GN473" s="4">
        <v>67</v>
      </c>
      <c r="GO473" s="4">
        <v>66</v>
      </c>
      <c r="GP473" s="4">
        <v>65</v>
      </c>
      <c r="GQ473" s="4">
        <v>64</v>
      </c>
      <c r="GR473" s="4">
        <v>63</v>
      </c>
      <c r="GS473" s="4">
        <v>62</v>
      </c>
      <c r="GT473" s="4">
        <v>61</v>
      </c>
      <c r="GU473" s="4">
        <v>60</v>
      </c>
      <c r="GV473" s="4">
        <v>59</v>
      </c>
      <c r="GW473" s="4">
        <v>58</v>
      </c>
      <c r="GX473" s="4">
        <v>57</v>
      </c>
      <c r="GY473" s="4">
        <v>56</v>
      </c>
      <c r="GZ473" s="4">
        <v>55</v>
      </c>
      <c r="HA473" s="4">
        <v>54</v>
      </c>
      <c r="HB473" s="4">
        <v>53</v>
      </c>
      <c r="HC473" s="19">
        <v>79</v>
      </c>
      <c r="HD473" s="19">
        <v>78</v>
      </c>
      <c r="HE473" s="19">
        <v>77</v>
      </c>
      <c r="HF473" s="19">
        <v>76</v>
      </c>
      <c r="HG473" s="19">
        <v>74</v>
      </c>
      <c r="HH473" s="19">
        <v>73</v>
      </c>
      <c r="HI473" s="19">
        <v>72</v>
      </c>
      <c r="HJ473" s="19">
        <v>71</v>
      </c>
      <c r="HK473" s="19">
        <v>70</v>
      </c>
      <c r="HL473" s="19">
        <v>69</v>
      </c>
      <c r="HM473" s="19">
        <v>68</v>
      </c>
      <c r="HN473" s="19">
        <v>67</v>
      </c>
      <c r="HO473" s="19">
        <v>66</v>
      </c>
      <c r="HP473" s="19">
        <v>65</v>
      </c>
      <c r="HQ473" s="19">
        <v>64</v>
      </c>
      <c r="HR473" s="19">
        <v>63</v>
      </c>
      <c r="HS473" s="19">
        <v>62</v>
      </c>
      <c r="HT473" s="19">
        <v>61</v>
      </c>
      <c r="HU473" s="19">
        <v>60</v>
      </c>
      <c r="HV473" s="19">
        <v>59</v>
      </c>
      <c r="HW473" s="19">
        <v>58</v>
      </c>
      <c r="HX473" s="19">
        <v>57</v>
      </c>
      <c r="HY473" s="19">
        <v>56</v>
      </c>
      <c r="HZ473" s="19">
        <v>55</v>
      </c>
      <c r="IA473" s="19">
        <v>54</v>
      </c>
      <c r="IB473" s="19">
        <v>26.5</v>
      </c>
    </row>
    <row r="474">
      <c r="A474" s="2" t="s">
        <v>2813</v>
      </c>
      <c r="B474" s="2" t="s">
        <v>938</v>
      </c>
      <c r="C474" s="2" t="s">
        <v>280</v>
      </c>
      <c r="D474" s="2" t="s">
        <v>972</v>
      </c>
      <c r="E474" s="2" t="s">
        <v>973</v>
      </c>
      <c r="F474" s="2" t="s">
        <v>2789</v>
      </c>
      <c r="G474" s="2" t="s">
        <v>2790</v>
      </c>
      <c r="H474" s="2" t="s">
        <v>2791</v>
      </c>
      <c r="I474" s="2" t="s">
        <v>2792</v>
      </c>
      <c r="J474" s="2" t="s">
        <v>1104</v>
      </c>
      <c r="K474" s="2" t="s">
        <v>870</v>
      </c>
      <c r="L474" s="3">
        <v>21</v>
      </c>
      <c r="M474" s="3">
        <v>22.05</v>
      </c>
      <c r="N474" s="3">
        <v>49.99</v>
      </c>
      <c r="O474" s="2" t="s">
        <v>230</v>
      </c>
      <c r="P474" s="2" t="s">
        <v>231</v>
      </c>
      <c r="Q474" s="2" t="s">
        <v>232</v>
      </c>
      <c r="R474" s="2" t="s">
        <v>233</v>
      </c>
      <c r="S474" s="2" t="s">
        <v>2814</v>
      </c>
      <c r="T474" s="2" t="s">
        <v>233</v>
      </c>
      <c r="U474" s="2" t="s">
        <v>329</v>
      </c>
      <c r="V474" s="2" t="s">
        <v>236</v>
      </c>
      <c r="W474" s="2" t="s">
        <v>712</v>
      </c>
      <c r="X474" s="2" t="s">
        <v>2130</v>
      </c>
      <c r="Y474" s="2" t="s">
        <v>2815</v>
      </c>
      <c r="Z474" s="4">
        <v>292</v>
      </c>
      <c r="AA474" s="4">
        <f>=ROUNDDOWN(36.5,0)</f>
      </c>
      <c r="AB474" s="5">
        <v>8</v>
      </c>
      <c r="AC474" s="2" t="s">
        <v>490</v>
      </c>
      <c r="AD474" s="4">
        <v>40</v>
      </c>
      <c r="AE474" s="4">
        <v>172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233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 t="s">
        <v>233</v>
      </c>
      <c r="BD474" s="8" t="s">
        <v>233</v>
      </c>
      <c r="BE474" s="4" t="s">
        <v>233</v>
      </c>
      <c r="BF474" s="8" t="s">
        <v>233</v>
      </c>
      <c r="BG474" s="7" t="s">
        <v>233</v>
      </c>
      <c r="BH474" s="7" t="s">
        <v>233</v>
      </c>
      <c r="BI474" s="7"/>
      <c r="BJ474" s="4">
        <v>15</v>
      </c>
      <c r="BK474" s="8">
        <v>346.15</v>
      </c>
      <c r="BL474" s="2" t="s">
        <v>2816</v>
      </c>
      <c r="BM474" s="7"/>
      <c r="BN474" s="7"/>
      <c r="BO474" s="4"/>
      <c r="BP474" s="8"/>
      <c r="BQ474" s="4"/>
      <c r="BR474" s="8"/>
      <c r="BS474" s="7"/>
      <c r="BT474" s="7"/>
      <c r="BU474" s="2" t="s">
        <v>2796</v>
      </c>
      <c r="BV474" s="2" t="s">
        <v>233</v>
      </c>
      <c r="BW474" s="2" t="s">
        <v>233</v>
      </c>
      <c r="BX474" s="2" t="s">
        <v>624</v>
      </c>
      <c r="BY474" s="2" t="s">
        <v>242</v>
      </c>
      <c r="BZ474" s="2" t="s">
        <v>230</v>
      </c>
      <c r="CA474" s="2" t="s">
        <v>2817</v>
      </c>
      <c r="CB474" s="2" t="s">
        <v>2818</v>
      </c>
      <c r="CC474" s="2" t="s">
        <v>245</v>
      </c>
      <c r="CD474" s="2" t="s">
        <v>233</v>
      </c>
      <c r="CE474" s="4">
        <v>292</v>
      </c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>
        <v>40</v>
      </c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>
        <v>132</v>
      </c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>
        <v>292</v>
      </c>
      <c r="GD474" s="4">
        <v>280</v>
      </c>
      <c r="GE474" s="4">
        <v>268</v>
      </c>
      <c r="GF474" s="4">
        <v>255</v>
      </c>
      <c r="GG474" s="4">
        <v>239</v>
      </c>
      <c r="GH474" s="4">
        <v>227</v>
      </c>
      <c r="GI474" s="4">
        <v>253</v>
      </c>
      <c r="GJ474" s="4">
        <v>245</v>
      </c>
      <c r="GK474" s="4">
        <v>237</v>
      </c>
      <c r="GL474" s="4">
        <v>229</v>
      </c>
      <c r="GM474" s="4">
        <v>221</v>
      </c>
      <c r="GN474" s="4">
        <v>213</v>
      </c>
      <c r="GO474" s="4">
        <v>205</v>
      </c>
      <c r="GP474" s="4">
        <v>197</v>
      </c>
      <c r="GQ474" s="4">
        <v>189</v>
      </c>
      <c r="GR474" s="4">
        <v>181</v>
      </c>
      <c r="GS474" s="4">
        <v>305</v>
      </c>
      <c r="GT474" s="4">
        <v>296</v>
      </c>
      <c r="GU474" s="4">
        <v>288</v>
      </c>
      <c r="GV474" s="4">
        <v>280</v>
      </c>
      <c r="GW474" s="4">
        <v>272</v>
      </c>
      <c r="GX474" s="4">
        <v>264</v>
      </c>
      <c r="GY474" s="4">
        <v>256</v>
      </c>
      <c r="GZ474" s="4">
        <v>248</v>
      </c>
      <c r="HA474" s="4">
        <v>240</v>
      </c>
      <c r="HB474" s="4">
        <v>232</v>
      </c>
      <c r="HC474" s="19">
        <v>22.5</v>
      </c>
      <c r="HD474" s="19">
        <v>21.5</v>
      </c>
      <c r="HE474" s="19">
        <v>19.1</v>
      </c>
      <c r="HF474" s="19">
        <v>21.3</v>
      </c>
      <c r="HG474" s="19">
        <v>23.9</v>
      </c>
      <c r="HH474" s="19">
        <v>22.7</v>
      </c>
      <c r="HI474" s="19">
        <v>31.6</v>
      </c>
      <c r="HJ474" s="19">
        <v>30.6</v>
      </c>
      <c r="HK474" s="19">
        <v>29.6</v>
      </c>
      <c r="HL474" s="19">
        <v>28.6</v>
      </c>
      <c r="HM474" s="19">
        <v>27.6</v>
      </c>
      <c r="HN474" s="19">
        <v>26.6</v>
      </c>
      <c r="HO474" s="19">
        <v>25.6</v>
      </c>
      <c r="HP474" s="19">
        <v>24.6</v>
      </c>
      <c r="HQ474" s="19">
        <v>23.6</v>
      </c>
      <c r="HR474" s="19">
        <v>22.6</v>
      </c>
      <c r="HS474" s="19">
        <v>38.1</v>
      </c>
      <c r="HT474" s="19">
        <v>37</v>
      </c>
      <c r="HU474" s="19">
        <v>36</v>
      </c>
      <c r="HV474" s="19">
        <v>35</v>
      </c>
      <c r="HW474" s="19">
        <v>34</v>
      </c>
      <c r="HX474" s="19">
        <v>33</v>
      </c>
      <c r="HY474" s="19">
        <v>32</v>
      </c>
      <c r="HZ474" s="19">
        <v>31</v>
      </c>
      <c r="IA474" s="19">
        <v>30</v>
      </c>
      <c r="IB474" s="19">
        <v>29</v>
      </c>
    </row>
    <row r="475">
      <c r="A475" s="2" t="s">
        <v>2819</v>
      </c>
      <c r="B475" s="2" t="s">
        <v>938</v>
      </c>
      <c r="C475" s="2" t="s">
        <v>280</v>
      </c>
      <c r="D475" s="2" t="s">
        <v>972</v>
      </c>
      <c r="E475" s="2" t="s">
        <v>973</v>
      </c>
      <c r="F475" s="2" t="s">
        <v>2789</v>
      </c>
      <c r="G475" s="2" t="s">
        <v>2790</v>
      </c>
      <c r="H475" s="2" t="s">
        <v>2791</v>
      </c>
      <c r="I475" s="2" t="s">
        <v>2792</v>
      </c>
      <c r="J475" s="2" t="s">
        <v>2793</v>
      </c>
      <c r="K475" s="2" t="s">
        <v>1177</v>
      </c>
      <c r="L475" s="3">
        <v>23.1</v>
      </c>
      <c r="M475" s="3">
        <v>24.26</v>
      </c>
      <c r="N475" s="3">
        <v>54.99</v>
      </c>
      <c r="O475" s="2" t="s">
        <v>230</v>
      </c>
      <c r="P475" s="2" t="s">
        <v>231</v>
      </c>
      <c r="Q475" s="2" t="s">
        <v>232</v>
      </c>
      <c r="R475" s="2" t="s">
        <v>233</v>
      </c>
      <c r="S475" s="2" t="s">
        <v>2820</v>
      </c>
      <c r="T475" s="2" t="s">
        <v>233</v>
      </c>
      <c r="U475" s="2" t="s">
        <v>329</v>
      </c>
      <c r="V475" s="2" t="s">
        <v>236</v>
      </c>
      <c r="W475" s="2" t="s">
        <v>712</v>
      </c>
      <c r="X475" s="2" t="s">
        <v>2130</v>
      </c>
      <c r="Y475" s="2" t="s">
        <v>2815</v>
      </c>
      <c r="Z475" s="4">
        <v>184</v>
      </c>
      <c r="AA475" s="4">
        <f>=ROUNDDOWN(61.3333333333333,0)</f>
      </c>
      <c r="AB475" s="5">
        <v>3</v>
      </c>
      <c r="AC475" s="2" t="s">
        <v>233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233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233</v>
      </c>
      <c r="AW475" s="8" t="s">
        <v>233</v>
      </c>
      <c r="AX475" s="4" t="s">
        <v>233</v>
      </c>
      <c r="AY475" s="8" t="s">
        <v>233</v>
      </c>
      <c r="AZ475" s="7" t="s">
        <v>233</v>
      </c>
      <c r="BA475" s="7" t="s">
        <v>233</v>
      </c>
      <c r="BB475" s="7"/>
      <c r="BC475" s="4" t="s">
        <v>233</v>
      </c>
      <c r="BD475" s="8" t="s">
        <v>233</v>
      </c>
      <c r="BE475" s="4" t="s">
        <v>233</v>
      </c>
      <c r="BF475" s="8" t="s">
        <v>233</v>
      </c>
      <c r="BG475" s="7" t="s">
        <v>233</v>
      </c>
      <c r="BH475" s="7" t="s">
        <v>233</v>
      </c>
      <c r="BI475" s="7"/>
      <c r="BJ475" s="4">
        <v>2</v>
      </c>
      <c r="BK475" s="8">
        <v>66.88</v>
      </c>
      <c r="BL475" s="2" t="s">
        <v>1304</v>
      </c>
      <c r="BM475" s="7"/>
      <c r="BN475" s="7"/>
      <c r="BO475" s="4"/>
      <c r="BP475" s="8"/>
      <c r="BQ475" s="4"/>
      <c r="BR475" s="8"/>
      <c r="BS475" s="7"/>
      <c r="BT475" s="7"/>
      <c r="BU475" s="2" t="s">
        <v>2796</v>
      </c>
      <c r="BV475" s="2" t="s">
        <v>233</v>
      </c>
      <c r="BW475" s="2" t="s">
        <v>233</v>
      </c>
      <c r="BX475" s="2" t="s">
        <v>624</v>
      </c>
      <c r="BY475" s="2" t="s">
        <v>242</v>
      </c>
      <c r="BZ475" s="2" t="s">
        <v>230</v>
      </c>
      <c r="CA475" s="2" t="s">
        <v>2817</v>
      </c>
      <c r="CB475" s="2" t="s">
        <v>2821</v>
      </c>
      <c r="CC475" s="2" t="s">
        <v>245</v>
      </c>
      <c r="CD475" s="2" t="s">
        <v>233</v>
      </c>
      <c r="CE475" s="4">
        <v>184</v>
      </c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>
        <v>184</v>
      </c>
      <c r="GD475" s="4">
        <v>182</v>
      </c>
      <c r="GE475" s="4">
        <v>180</v>
      </c>
      <c r="GF475" s="4">
        <v>178</v>
      </c>
      <c r="GG475" s="4">
        <v>175</v>
      </c>
      <c r="GH475" s="4">
        <v>173</v>
      </c>
      <c r="GI475" s="4">
        <v>171</v>
      </c>
      <c r="GJ475" s="4">
        <v>165</v>
      </c>
      <c r="GK475" s="4">
        <v>163</v>
      </c>
      <c r="GL475" s="4">
        <v>161</v>
      </c>
      <c r="GM475" s="4">
        <v>159</v>
      </c>
      <c r="GN475" s="4">
        <v>157</v>
      </c>
      <c r="GO475" s="4">
        <v>155</v>
      </c>
      <c r="GP475" s="4">
        <v>153</v>
      </c>
      <c r="GQ475" s="4">
        <v>151</v>
      </c>
      <c r="GR475" s="4">
        <v>149</v>
      </c>
      <c r="GS475" s="4">
        <v>147</v>
      </c>
      <c r="GT475" s="4">
        <v>145</v>
      </c>
      <c r="GU475" s="4">
        <v>143</v>
      </c>
      <c r="GV475" s="4">
        <v>141</v>
      </c>
      <c r="GW475" s="4">
        <v>139</v>
      </c>
      <c r="GX475" s="4">
        <v>137</v>
      </c>
      <c r="GY475" s="4">
        <v>135</v>
      </c>
      <c r="GZ475" s="4">
        <v>132</v>
      </c>
      <c r="HA475" s="4">
        <v>129</v>
      </c>
      <c r="HB475" s="4">
        <v>126</v>
      </c>
      <c r="HC475" s="19">
        <v>92</v>
      </c>
      <c r="HD475" s="19">
        <v>91</v>
      </c>
      <c r="HE475" s="19">
        <v>90</v>
      </c>
      <c r="HF475" s="19">
        <v>59.3</v>
      </c>
      <c r="HG475" s="19">
        <v>58.3</v>
      </c>
      <c r="HH475" s="19">
        <v>57.7</v>
      </c>
      <c r="HI475" s="19">
        <v>57</v>
      </c>
      <c r="HJ475" s="19">
        <v>82.5</v>
      </c>
      <c r="HK475" s="19">
        <v>81.5</v>
      </c>
      <c r="HL475" s="19">
        <v>80.5</v>
      </c>
      <c r="HM475" s="19">
        <v>79.5</v>
      </c>
      <c r="HN475" s="19">
        <v>78.5</v>
      </c>
      <c r="HO475" s="19">
        <v>77.5</v>
      </c>
      <c r="HP475" s="19">
        <v>76.5</v>
      </c>
      <c r="HQ475" s="19">
        <v>75.5</v>
      </c>
      <c r="HR475" s="19">
        <v>74.5</v>
      </c>
      <c r="HS475" s="19">
        <v>73.5</v>
      </c>
      <c r="HT475" s="19">
        <v>72.5</v>
      </c>
      <c r="HU475" s="19">
        <v>71.5</v>
      </c>
      <c r="HV475" s="19">
        <v>70.5</v>
      </c>
      <c r="HW475" s="19">
        <v>69.5</v>
      </c>
      <c r="HX475" s="19">
        <v>45.7</v>
      </c>
      <c r="HY475" s="19">
        <v>45</v>
      </c>
      <c r="HZ475" s="19">
        <v>44</v>
      </c>
      <c r="IA475" s="19">
        <v>43</v>
      </c>
      <c r="IB475" s="19">
        <v>42</v>
      </c>
    </row>
    <row r="476">
      <c r="A476" s="2" t="s">
        <v>2822</v>
      </c>
      <c r="B476" s="2" t="s">
        <v>938</v>
      </c>
      <c r="C476" s="2" t="s">
        <v>280</v>
      </c>
      <c r="D476" s="2" t="s">
        <v>939</v>
      </c>
      <c r="E476" s="2" t="s">
        <v>940</v>
      </c>
      <c r="F476" s="2" t="s">
        <v>2789</v>
      </c>
      <c r="G476" s="2" t="s">
        <v>2790</v>
      </c>
      <c r="H476" s="2" t="s">
        <v>2791</v>
      </c>
      <c r="I476" s="2" t="s">
        <v>2823</v>
      </c>
      <c r="J476" s="2" t="s">
        <v>2824</v>
      </c>
      <c r="K476" s="2" t="s">
        <v>1177</v>
      </c>
      <c r="L476" s="3">
        <v>12.6</v>
      </c>
      <c r="M476" s="3">
        <v>13.23</v>
      </c>
      <c r="N476" s="3">
        <v>29.99</v>
      </c>
      <c r="O476" s="2" t="s">
        <v>230</v>
      </c>
      <c r="P476" s="2" t="s">
        <v>231</v>
      </c>
      <c r="Q476" s="2" t="s">
        <v>232</v>
      </c>
      <c r="R476" s="2" t="s">
        <v>233</v>
      </c>
      <c r="S476" s="2" t="s">
        <v>2820</v>
      </c>
      <c r="T476" s="2" t="s">
        <v>233</v>
      </c>
      <c r="U476" s="2" t="s">
        <v>329</v>
      </c>
      <c r="V476" s="2" t="s">
        <v>236</v>
      </c>
      <c r="W476" s="2" t="s">
        <v>712</v>
      </c>
      <c r="X476" s="2" t="s">
        <v>233</v>
      </c>
      <c r="Y476" s="2" t="s">
        <v>2815</v>
      </c>
      <c r="Z476" s="4">
        <v>299</v>
      </c>
      <c r="AA476" s="4">
        <f>=ROUNDDOWN(37.375,0)</f>
      </c>
      <c r="AB476" s="5">
        <v>8</v>
      </c>
      <c r="AC476" s="2" t="s">
        <v>269</v>
      </c>
      <c r="AD476" s="4">
        <v>108</v>
      </c>
      <c r="AE476" s="4">
        <v>108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233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233</v>
      </c>
      <c r="AW476" s="8" t="s">
        <v>233</v>
      </c>
      <c r="AX476" s="4" t="s">
        <v>233</v>
      </c>
      <c r="AY476" s="8" t="s">
        <v>233</v>
      </c>
      <c r="AZ476" s="7" t="s">
        <v>233</v>
      </c>
      <c r="BA476" s="7" t="s">
        <v>233</v>
      </c>
      <c r="BB476" s="7"/>
      <c r="BC476" s="4" t="s">
        <v>233</v>
      </c>
      <c r="BD476" s="8" t="s">
        <v>233</v>
      </c>
      <c r="BE476" s="4" t="s">
        <v>233</v>
      </c>
      <c r="BF476" s="8" t="s">
        <v>233</v>
      </c>
      <c r="BG476" s="7" t="s">
        <v>233</v>
      </c>
      <c r="BH476" s="7" t="s">
        <v>233</v>
      </c>
      <c r="BI476" s="7"/>
      <c r="BJ476" s="4">
        <v>30</v>
      </c>
      <c r="BK476" s="8">
        <v>422.42</v>
      </c>
      <c r="BL476" s="2" t="s">
        <v>2825</v>
      </c>
      <c r="BM476" s="7"/>
      <c r="BN476" s="7"/>
      <c r="BO476" s="4"/>
      <c r="BP476" s="8"/>
      <c r="BQ476" s="4"/>
      <c r="BR476" s="8"/>
      <c r="BS476" s="7"/>
      <c r="BT476" s="7"/>
      <c r="BU476" s="2" t="s">
        <v>2826</v>
      </c>
      <c r="BV476" s="2" t="s">
        <v>233</v>
      </c>
      <c r="BW476" s="2" t="s">
        <v>233</v>
      </c>
      <c r="BX476" s="2" t="s">
        <v>293</v>
      </c>
      <c r="BY476" s="2" t="s">
        <v>242</v>
      </c>
      <c r="BZ476" s="2" t="s">
        <v>230</v>
      </c>
      <c r="CA476" s="2" t="s">
        <v>2827</v>
      </c>
      <c r="CB476" s="2" t="s">
        <v>1166</v>
      </c>
      <c r="CC476" s="2" t="s">
        <v>245</v>
      </c>
      <c r="CD476" s="2" t="s">
        <v>233</v>
      </c>
      <c r="CE476" s="4">
        <v>299</v>
      </c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>
        <v>108</v>
      </c>
      <c r="FZ476" s="4"/>
      <c r="GA476" s="4"/>
      <c r="GB476" s="4"/>
      <c r="GC476" s="4">
        <v>307</v>
      </c>
      <c r="GD476" s="4">
        <v>300</v>
      </c>
      <c r="GE476" s="4">
        <v>292</v>
      </c>
      <c r="GF476" s="4">
        <v>285</v>
      </c>
      <c r="GG476" s="4">
        <v>274</v>
      </c>
      <c r="GH476" s="4">
        <v>265</v>
      </c>
      <c r="GI476" s="4">
        <v>253</v>
      </c>
      <c r="GJ476" s="4">
        <v>244</v>
      </c>
      <c r="GK476" s="4">
        <v>236</v>
      </c>
      <c r="GL476" s="4">
        <v>228</v>
      </c>
      <c r="GM476" s="4">
        <v>220</v>
      </c>
      <c r="GN476" s="4">
        <v>212</v>
      </c>
      <c r="GO476" s="4">
        <v>204</v>
      </c>
      <c r="GP476" s="4">
        <v>196</v>
      </c>
      <c r="GQ476" s="4">
        <v>188</v>
      </c>
      <c r="GR476" s="4">
        <v>180</v>
      </c>
      <c r="GS476" s="4">
        <v>172</v>
      </c>
      <c r="GT476" s="4">
        <v>163</v>
      </c>
      <c r="GU476" s="4">
        <v>155</v>
      </c>
      <c r="GV476" s="4">
        <v>255</v>
      </c>
      <c r="GW476" s="4">
        <v>247</v>
      </c>
      <c r="GX476" s="4">
        <v>239</v>
      </c>
      <c r="GY476" s="4">
        <v>231</v>
      </c>
      <c r="GZ476" s="4">
        <v>223</v>
      </c>
      <c r="HA476" s="4">
        <v>215</v>
      </c>
      <c r="HB476" s="4">
        <v>207</v>
      </c>
      <c r="HC476" s="19">
        <v>38.4</v>
      </c>
      <c r="HD476" s="19">
        <v>33.3</v>
      </c>
      <c r="HE476" s="19">
        <v>29.2</v>
      </c>
      <c r="HF476" s="19">
        <v>28.5</v>
      </c>
      <c r="HG476" s="19">
        <v>27.4</v>
      </c>
      <c r="HH476" s="19">
        <v>29.4</v>
      </c>
      <c r="HI476" s="19">
        <v>31.6</v>
      </c>
      <c r="HJ476" s="19">
        <v>30.5</v>
      </c>
      <c r="HK476" s="19">
        <v>29.5</v>
      </c>
      <c r="HL476" s="19">
        <v>28.5</v>
      </c>
      <c r="HM476" s="19">
        <v>27.5</v>
      </c>
      <c r="HN476" s="19">
        <v>26.5</v>
      </c>
      <c r="HO476" s="19">
        <v>25.5</v>
      </c>
      <c r="HP476" s="19">
        <v>24.5</v>
      </c>
      <c r="HQ476" s="19">
        <v>23.5</v>
      </c>
      <c r="HR476" s="19">
        <v>22.5</v>
      </c>
      <c r="HS476" s="19">
        <v>21.5</v>
      </c>
      <c r="HT476" s="19">
        <v>20.4</v>
      </c>
      <c r="HU476" s="19">
        <v>19.4</v>
      </c>
      <c r="HV476" s="19">
        <v>31.9</v>
      </c>
      <c r="HW476" s="19">
        <v>30.9</v>
      </c>
      <c r="HX476" s="19">
        <v>29.9</v>
      </c>
      <c r="HY476" s="19">
        <v>28.9</v>
      </c>
      <c r="HZ476" s="19">
        <v>27.9</v>
      </c>
      <c r="IA476" s="19">
        <v>26.9</v>
      </c>
      <c r="IB476" s="19">
        <v>25.9</v>
      </c>
    </row>
    <row r="477">
      <c r="A477" s="2" t="s">
        <v>2828</v>
      </c>
      <c r="B477" s="2" t="s">
        <v>938</v>
      </c>
      <c r="C477" s="2" t="s">
        <v>280</v>
      </c>
      <c r="D477" s="2" t="s">
        <v>972</v>
      </c>
      <c r="E477" s="2" t="s">
        <v>1092</v>
      </c>
      <c r="F477" s="2" t="s">
        <v>2789</v>
      </c>
      <c r="G477" s="2" t="s">
        <v>2790</v>
      </c>
      <c r="H477" s="2" t="s">
        <v>2791</v>
      </c>
      <c r="I477" s="2" t="s">
        <v>2829</v>
      </c>
      <c r="J477" s="2" t="s">
        <v>1935</v>
      </c>
      <c r="K477" s="2" t="s">
        <v>266</v>
      </c>
      <c r="L477" s="3">
        <v>28.5</v>
      </c>
      <c r="M477" s="3">
        <v>29.93</v>
      </c>
      <c r="N477" s="3">
        <v>69.99</v>
      </c>
      <c r="O477" s="2" t="s">
        <v>230</v>
      </c>
      <c r="P477" s="2" t="s">
        <v>231</v>
      </c>
      <c r="Q477" s="2" t="s">
        <v>232</v>
      </c>
      <c r="R477" s="2" t="s">
        <v>233</v>
      </c>
      <c r="S477" s="2" t="s">
        <v>2830</v>
      </c>
      <c r="T477" s="2" t="s">
        <v>233</v>
      </c>
      <c r="U477" s="2" t="s">
        <v>711</v>
      </c>
      <c r="V477" s="2" t="s">
        <v>236</v>
      </c>
      <c r="W477" s="2" t="s">
        <v>712</v>
      </c>
      <c r="X477" s="2" t="s">
        <v>2130</v>
      </c>
      <c r="Y477" s="2" t="s">
        <v>2831</v>
      </c>
      <c r="Z477" s="4">
        <v>218</v>
      </c>
      <c r="AA477" s="4">
        <f>=ROUNDDOWN(21.8,0)</f>
      </c>
      <c r="AB477" s="5">
        <v>10</v>
      </c>
      <c r="AC477" s="2" t="s">
        <v>145</v>
      </c>
      <c r="AD477" s="4">
        <v>188</v>
      </c>
      <c r="AE477" s="4">
        <v>396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233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233</v>
      </c>
      <c r="AW477" s="8" t="s">
        <v>233</v>
      </c>
      <c r="AX477" s="4" t="s">
        <v>233</v>
      </c>
      <c r="AY477" s="8" t="s">
        <v>233</v>
      </c>
      <c r="AZ477" s="7" t="s">
        <v>233</v>
      </c>
      <c r="BA477" s="7" t="s">
        <v>233</v>
      </c>
      <c r="BB477" s="7"/>
      <c r="BC477" s="4" t="s">
        <v>233</v>
      </c>
      <c r="BD477" s="8" t="s">
        <v>233</v>
      </c>
      <c r="BE477" s="4" t="s">
        <v>233</v>
      </c>
      <c r="BF477" s="8" t="s">
        <v>233</v>
      </c>
      <c r="BG477" s="7" t="s">
        <v>233</v>
      </c>
      <c r="BH477" s="7" t="s">
        <v>233</v>
      </c>
      <c r="BI477" s="7"/>
      <c r="BJ477" s="4">
        <v>26</v>
      </c>
      <c r="BK477" s="8">
        <v>873.32</v>
      </c>
      <c r="BL477" s="2" t="s">
        <v>2832</v>
      </c>
      <c r="BM477" s="7"/>
      <c r="BN477" s="7"/>
      <c r="BO477" s="4"/>
      <c r="BP477" s="8"/>
      <c r="BQ477" s="4"/>
      <c r="BR477" s="8"/>
      <c r="BS477" s="7"/>
      <c r="BT477" s="7"/>
      <c r="BU477" s="2" t="s">
        <v>2833</v>
      </c>
      <c r="BV477" s="2" t="s">
        <v>233</v>
      </c>
      <c r="BW477" s="2" t="s">
        <v>233</v>
      </c>
      <c r="BX477" s="2" t="s">
        <v>624</v>
      </c>
      <c r="BY477" s="2" t="s">
        <v>242</v>
      </c>
      <c r="BZ477" s="2" t="s">
        <v>230</v>
      </c>
      <c r="CA477" s="2" t="s">
        <v>2834</v>
      </c>
      <c r="CB477" s="2" t="s">
        <v>1552</v>
      </c>
      <c r="CC477" s="2" t="s">
        <v>245</v>
      </c>
      <c r="CD477" s="2" t="s">
        <v>233</v>
      </c>
      <c r="CE477" s="4">
        <v>218</v>
      </c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>
        <v>188</v>
      </c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>
        <v>108</v>
      </c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>
        <v>100</v>
      </c>
      <c r="FV477" s="4"/>
      <c r="FW477" s="4"/>
      <c r="FX477" s="4"/>
      <c r="FY477" s="4"/>
      <c r="FZ477" s="4"/>
      <c r="GA477" s="4"/>
      <c r="GB477" s="4"/>
      <c r="GC477" s="4">
        <v>222</v>
      </c>
      <c r="GD477" s="4">
        <v>186</v>
      </c>
      <c r="GE477" s="4">
        <v>114</v>
      </c>
      <c r="GF477" s="4">
        <v>291</v>
      </c>
      <c r="GG477" s="4">
        <v>278</v>
      </c>
      <c r="GH477" s="4">
        <v>267</v>
      </c>
      <c r="GI477" s="4">
        <v>362</v>
      </c>
      <c r="GJ477" s="4">
        <v>292</v>
      </c>
      <c r="GK477" s="4">
        <v>287</v>
      </c>
      <c r="GL477" s="4">
        <v>283</v>
      </c>
      <c r="GM477" s="4">
        <v>279</v>
      </c>
      <c r="GN477" s="4">
        <v>275</v>
      </c>
      <c r="GO477" s="4">
        <v>271</v>
      </c>
      <c r="GP477" s="4">
        <v>267</v>
      </c>
      <c r="GQ477" s="4">
        <v>263</v>
      </c>
      <c r="GR477" s="4">
        <v>259</v>
      </c>
      <c r="GS477" s="4">
        <v>255</v>
      </c>
      <c r="GT477" s="4">
        <v>349</v>
      </c>
      <c r="GU477" s="4">
        <v>339</v>
      </c>
      <c r="GV477" s="4">
        <v>329</v>
      </c>
      <c r="GW477" s="4">
        <v>319</v>
      </c>
      <c r="GX477" s="4">
        <v>309</v>
      </c>
      <c r="GY477" s="4">
        <v>299</v>
      </c>
      <c r="GZ477" s="4">
        <v>289</v>
      </c>
      <c r="HA477" s="4">
        <v>278</v>
      </c>
      <c r="HB477" s="4">
        <v>268</v>
      </c>
      <c r="HC477" s="19">
        <v>6.7</v>
      </c>
      <c r="HD477" s="19">
        <v>6.9</v>
      </c>
      <c r="HE477" s="19">
        <v>9.5</v>
      </c>
      <c r="HF477" s="19">
        <v>10.8</v>
      </c>
      <c r="HG477" s="19">
        <v>11.1</v>
      </c>
      <c r="HH477" s="19">
        <v>11.6</v>
      </c>
      <c r="HI477" s="19">
        <v>17.2</v>
      </c>
      <c r="HJ477" s="19">
        <v>73</v>
      </c>
      <c r="HK477" s="19">
        <v>71.8</v>
      </c>
      <c r="HL477" s="19">
        <v>70.8</v>
      </c>
      <c r="HM477" s="19">
        <v>69.8</v>
      </c>
      <c r="HN477" s="19">
        <v>68.8</v>
      </c>
      <c r="HO477" s="19">
        <v>67.8</v>
      </c>
      <c r="HP477" s="19">
        <v>66.8</v>
      </c>
      <c r="HQ477" s="19">
        <v>43.8</v>
      </c>
      <c r="HR477" s="19">
        <v>32.4</v>
      </c>
      <c r="HS477" s="19">
        <v>28.3</v>
      </c>
      <c r="HT477" s="19">
        <v>34.9</v>
      </c>
      <c r="HU477" s="19">
        <v>33.9</v>
      </c>
      <c r="HV477" s="19">
        <v>32.9</v>
      </c>
      <c r="HW477" s="19">
        <v>31.9</v>
      </c>
      <c r="HX477" s="19">
        <v>30.9</v>
      </c>
      <c r="HY477" s="19">
        <v>29.9</v>
      </c>
      <c r="HZ477" s="19">
        <v>28.9</v>
      </c>
      <c r="IA477" s="19">
        <v>27.8</v>
      </c>
      <c r="IB477" s="19">
        <v>26.8</v>
      </c>
    </row>
    <row r="478">
      <c r="A478" s="2" t="s">
        <v>2835</v>
      </c>
      <c r="B478" s="2" t="s">
        <v>938</v>
      </c>
      <c r="C478" s="2" t="s">
        <v>280</v>
      </c>
      <c r="D478" s="2" t="s">
        <v>972</v>
      </c>
      <c r="E478" s="2" t="s">
        <v>973</v>
      </c>
      <c r="F478" s="2" t="s">
        <v>2789</v>
      </c>
      <c r="G478" s="2" t="s">
        <v>2790</v>
      </c>
      <c r="H478" s="2" t="s">
        <v>2791</v>
      </c>
      <c r="I478" s="2" t="s">
        <v>2798</v>
      </c>
      <c r="J478" s="2" t="s">
        <v>2799</v>
      </c>
      <c r="K478" s="2" t="s">
        <v>266</v>
      </c>
      <c r="L478" s="3">
        <v>18.4</v>
      </c>
      <c r="M478" s="3">
        <v>19.32</v>
      </c>
      <c r="N478" s="3">
        <v>39.99</v>
      </c>
      <c r="O478" s="2" t="s">
        <v>230</v>
      </c>
      <c r="P478" s="2" t="s">
        <v>586</v>
      </c>
      <c r="Q478" s="2" t="s">
        <v>232</v>
      </c>
      <c r="R478" s="2" t="s">
        <v>233</v>
      </c>
      <c r="S478" s="2" t="s">
        <v>2830</v>
      </c>
      <c r="T478" s="2" t="s">
        <v>233</v>
      </c>
      <c r="U478" s="2" t="s">
        <v>329</v>
      </c>
      <c r="V478" s="2" t="s">
        <v>236</v>
      </c>
      <c r="W478" s="2" t="s">
        <v>712</v>
      </c>
      <c r="X478" s="2" t="s">
        <v>1324</v>
      </c>
      <c r="Y478" s="2" t="s">
        <v>2802</v>
      </c>
      <c r="Z478" s="4">
        <v>582</v>
      </c>
      <c r="AA478" s="4">
        <f>=ROUNDDOWN(29.1,0)</f>
      </c>
      <c r="AB478" s="5">
        <v>20</v>
      </c>
      <c r="AC478" s="2" t="s">
        <v>145</v>
      </c>
      <c r="AD478" s="4">
        <v>20</v>
      </c>
      <c r="AE478" s="4">
        <v>340</v>
      </c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233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233</v>
      </c>
      <c r="AW478" s="8" t="s">
        <v>233</v>
      </c>
      <c r="AX478" s="4" t="s">
        <v>233</v>
      </c>
      <c r="AY478" s="8" t="s">
        <v>233</v>
      </c>
      <c r="AZ478" s="7" t="s">
        <v>233</v>
      </c>
      <c r="BA478" s="7" t="s">
        <v>233</v>
      </c>
      <c r="BB478" s="7"/>
      <c r="BC478" s="4" t="s">
        <v>233</v>
      </c>
      <c r="BD478" s="8" t="s">
        <v>233</v>
      </c>
      <c r="BE478" s="4" t="s">
        <v>233</v>
      </c>
      <c r="BF478" s="8" t="s">
        <v>233</v>
      </c>
      <c r="BG478" s="7" t="s">
        <v>233</v>
      </c>
      <c r="BH478" s="7" t="s">
        <v>233</v>
      </c>
      <c r="BI478" s="7"/>
      <c r="BJ478" s="4">
        <v>71</v>
      </c>
      <c r="BK478" s="8">
        <v>1458.43</v>
      </c>
      <c r="BL478" s="2" t="s">
        <v>2836</v>
      </c>
      <c r="BM478" s="7"/>
      <c r="BN478" s="7"/>
      <c r="BO478" s="4"/>
      <c r="BP478" s="8"/>
      <c r="BQ478" s="4"/>
      <c r="BR478" s="8"/>
      <c r="BS478" s="7"/>
      <c r="BT478" s="7"/>
      <c r="BU478" s="2" t="s">
        <v>2804</v>
      </c>
      <c r="BV478" s="2" t="s">
        <v>233</v>
      </c>
      <c r="BW478" s="2" t="s">
        <v>233</v>
      </c>
      <c r="BX478" s="2" t="s">
        <v>624</v>
      </c>
      <c r="BY478" s="2" t="s">
        <v>242</v>
      </c>
      <c r="BZ478" s="2" t="s">
        <v>230</v>
      </c>
      <c r="CA478" s="2" t="s">
        <v>2805</v>
      </c>
      <c r="CB478" s="2" t="s">
        <v>2837</v>
      </c>
      <c r="CC478" s="2" t="s">
        <v>245</v>
      </c>
      <c r="CD478" s="2" t="s">
        <v>233</v>
      </c>
      <c r="CE478" s="4">
        <v>582</v>
      </c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>
        <v>20</v>
      </c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>
        <v>140</v>
      </c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>
        <v>180</v>
      </c>
      <c r="FV478" s="4"/>
      <c r="FW478" s="4"/>
      <c r="FX478" s="4"/>
      <c r="FY478" s="4"/>
      <c r="FZ478" s="4"/>
      <c r="GA478" s="4"/>
      <c r="GB478" s="4"/>
      <c r="GC478" s="4">
        <v>581</v>
      </c>
      <c r="GD478" s="4">
        <v>560</v>
      </c>
      <c r="GE478" s="4">
        <v>536</v>
      </c>
      <c r="GF478" s="4">
        <v>535</v>
      </c>
      <c r="GG478" s="4">
        <v>508</v>
      </c>
      <c r="GH478" s="4">
        <v>487</v>
      </c>
      <c r="GI478" s="4">
        <v>600</v>
      </c>
      <c r="GJ478" s="4">
        <v>584</v>
      </c>
      <c r="GK478" s="4">
        <v>565</v>
      </c>
      <c r="GL478" s="4">
        <v>549</v>
      </c>
      <c r="GM478" s="4">
        <v>533</v>
      </c>
      <c r="GN478" s="4">
        <v>517</v>
      </c>
      <c r="GO478" s="4">
        <v>501</v>
      </c>
      <c r="GP478" s="4">
        <v>485</v>
      </c>
      <c r="GQ478" s="4">
        <v>469</v>
      </c>
      <c r="GR478" s="4">
        <v>452</v>
      </c>
      <c r="GS478" s="4">
        <v>432</v>
      </c>
      <c r="GT478" s="4">
        <v>589</v>
      </c>
      <c r="GU478" s="4">
        <v>569</v>
      </c>
      <c r="GV478" s="4">
        <v>549</v>
      </c>
      <c r="GW478" s="4">
        <v>529</v>
      </c>
      <c r="GX478" s="4">
        <v>509</v>
      </c>
      <c r="GY478" s="4">
        <v>489</v>
      </c>
      <c r="GZ478" s="4">
        <v>469</v>
      </c>
      <c r="HA478" s="4">
        <v>448</v>
      </c>
      <c r="HB478" s="4">
        <v>428</v>
      </c>
      <c r="HC478" s="19">
        <v>25.3</v>
      </c>
      <c r="HD478" s="19">
        <v>24.3</v>
      </c>
      <c r="HE478" s="19">
        <v>22.3</v>
      </c>
      <c r="HF478" s="19">
        <v>23.3</v>
      </c>
      <c r="HG478" s="19">
        <v>24.2</v>
      </c>
      <c r="HH478" s="19">
        <v>24.4</v>
      </c>
      <c r="HI478" s="19">
        <v>35.3</v>
      </c>
      <c r="HJ478" s="19">
        <v>34.4</v>
      </c>
      <c r="HK478" s="19">
        <v>35.3</v>
      </c>
      <c r="HL478" s="19">
        <v>34.3</v>
      </c>
      <c r="HM478" s="19">
        <v>33.3</v>
      </c>
      <c r="HN478" s="19">
        <v>32.3</v>
      </c>
      <c r="HO478" s="19">
        <v>29.5</v>
      </c>
      <c r="HP478" s="19">
        <v>25.5</v>
      </c>
      <c r="HQ478" s="19">
        <v>23.5</v>
      </c>
      <c r="HR478" s="19">
        <v>21.5</v>
      </c>
      <c r="HS478" s="19">
        <v>20.6</v>
      </c>
      <c r="HT478" s="19">
        <v>29.5</v>
      </c>
      <c r="HU478" s="19">
        <v>28.5</v>
      </c>
      <c r="HV478" s="19">
        <v>27.5</v>
      </c>
      <c r="HW478" s="19">
        <v>26.5</v>
      </c>
      <c r="HX478" s="19">
        <v>25.5</v>
      </c>
      <c r="HY478" s="19">
        <v>24.5</v>
      </c>
      <c r="HZ478" s="19">
        <v>23.5</v>
      </c>
      <c r="IA478" s="19">
        <v>22.4</v>
      </c>
      <c r="IB478" s="19">
        <v>21.4</v>
      </c>
    </row>
    <row r="479">
      <c r="A479" s="2" t="s">
        <v>2838</v>
      </c>
      <c r="B479" s="2" t="s">
        <v>938</v>
      </c>
      <c r="C479" s="2" t="s">
        <v>280</v>
      </c>
      <c r="D479" s="2" t="s">
        <v>972</v>
      </c>
      <c r="E479" s="2" t="s">
        <v>973</v>
      </c>
      <c r="F479" s="2" t="s">
        <v>2789</v>
      </c>
      <c r="G479" s="2" t="s">
        <v>2790</v>
      </c>
      <c r="H479" s="2" t="s">
        <v>2791</v>
      </c>
      <c r="I479" s="2" t="s">
        <v>2798</v>
      </c>
      <c r="J479" s="2" t="s">
        <v>2808</v>
      </c>
      <c r="K479" s="2" t="s">
        <v>266</v>
      </c>
      <c r="L479" s="3">
        <v>20.25</v>
      </c>
      <c r="M479" s="3">
        <v>21.26</v>
      </c>
      <c r="N479" s="3">
        <v>44.99</v>
      </c>
      <c r="O479" s="2" t="s">
        <v>230</v>
      </c>
      <c r="P479" s="2" t="s">
        <v>586</v>
      </c>
      <c r="Q479" s="2" t="s">
        <v>232</v>
      </c>
      <c r="R479" s="2" t="s">
        <v>233</v>
      </c>
      <c r="S479" s="2" t="s">
        <v>2830</v>
      </c>
      <c r="T479" s="2" t="s">
        <v>233</v>
      </c>
      <c r="U479" s="2" t="s">
        <v>329</v>
      </c>
      <c r="V479" s="2" t="s">
        <v>236</v>
      </c>
      <c r="W479" s="2" t="s">
        <v>712</v>
      </c>
      <c r="X479" s="2" t="s">
        <v>1324</v>
      </c>
      <c r="Y479" s="2" t="s">
        <v>2802</v>
      </c>
      <c r="Z479" s="4">
        <v>204</v>
      </c>
      <c r="AA479" s="4">
        <f>=ROUNDDOWN(12,0)</f>
      </c>
      <c r="AB479" s="5">
        <v>17</v>
      </c>
      <c r="AC479" s="2" t="s">
        <v>145</v>
      </c>
      <c r="AD479" s="4">
        <v>156</v>
      </c>
      <c r="AE479" s="4">
        <v>416</v>
      </c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233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233</v>
      </c>
      <c r="AW479" s="8" t="s">
        <v>233</v>
      </c>
      <c r="AX479" s="4" t="s">
        <v>233</v>
      </c>
      <c r="AY479" s="8" t="s">
        <v>233</v>
      </c>
      <c r="AZ479" s="7" t="s">
        <v>233</v>
      </c>
      <c r="BA479" s="7" t="s">
        <v>233</v>
      </c>
      <c r="BB479" s="7"/>
      <c r="BC479" s="4" t="s">
        <v>233</v>
      </c>
      <c r="BD479" s="8" t="s">
        <v>233</v>
      </c>
      <c r="BE479" s="4" t="s">
        <v>233</v>
      </c>
      <c r="BF479" s="8" t="s">
        <v>233</v>
      </c>
      <c r="BG479" s="7" t="s">
        <v>233</v>
      </c>
      <c r="BH479" s="7" t="s">
        <v>233</v>
      </c>
      <c r="BI479" s="7"/>
      <c r="BJ479" s="4">
        <v>37</v>
      </c>
      <c r="BK479" s="8">
        <v>788.78</v>
      </c>
      <c r="BL479" s="2" t="s">
        <v>2839</v>
      </c>
      <c r="BM479" s="7"/>
      <c r="BN479" s="7"/>
      <c r="BO479" s="4"/>
      <c r="BP479" s="8"/>
      <c r="BQ479" s="4"/>
      <c r="BR479" s="8"/>
      <c r="BS479" s="7"/>
      <c r="BT479" s="7"/>
      <c r="BU479" s="2" t="s">
        <v>2804</v>
      </c>
      <c r="BV479" s="2" t="s">
        <v>233</v>
      </c>
      <c r="BW479" s="2" t="s">
        <v>233</v>
      </c>
      <c r="BX479" s="2" t="s">
        <v>624</v>
      </c>
      <c r="BY479" s="2" t="s">
        <v>242</v>
      </c>
      <c r="BZ479" s="2" t="s">
        <v>230</v>
      </c>
      <c r="CA479" s="2" t="s">
        <v>2805</v>
      </c>
      <c r="CB479" s="2" t="s">
        <v>673</v>
      </c>
      <c r="CC479" s="2" t="s">
        <v>245</v>
      </c>
      <c r="CD479" s="2" t="s">
        <v>233</v>
      </c>
      <c r="CE479" s="4">
        <v>204</v>
      </c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>
        <v>156</v>
      </c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>
        <v>120</v>
      </c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>
        <v>140</v>
      </c>
      <c r="FV479" s="4"/>
      <c r="FW479" s="4"/>
      <c r="FX479" s="4"/>
      <c r="FY479" s="4"/>
      <c r="FZ479" s="4"/>
      <c r="GA479" s="4"/>
      <c r="GB479" s="4"/>
      <c r="GC479" s="4">
        <v>205</v>
      </c>
      <c r="GD479" s="4">
        <v>185</v>
      </c>
      <c r="GE479" s="4">
        <v>163</v>
      </c>
      <c r="GF479" s="4">
        <v>299</v>
      </c>
      <c r="GG479" s="4">
        <v>274</v>
      </c>
      <c r="GH479" s="4">
        <v>256</v>
      </c>
      <c r="GI479" s="4">
        <v>352</v>
      </c>
      <c r="GJ479" s="4">
        <v>338</v>
      </c>
      <c r="GK479" s="4">
        <v>321</v>
      </c>
      <c r="GL479" s="4">
        <v>307</v>
      </c>
      <c r="GM479" s="4">
        <v>293</v>
      </c>
      <c r="GN479" s="4">
        <v>279</v>
      </c>
      <c r="GO479" s="4">
        <v>265</v>
      </c>
      <c r="GP479" s="4">
        <v>251</v>
      </c>
      <c r="GQ479" s="4">
        <v>237</v>
      </c>
      <c r="GR479" s="4">
        <v>223</v>
      </c>
      <c r="GS479" s="4">
        <v>209</v>
      </c>
      <c r="GT479" s="4">
        <v>332</v>
      </c>
      <c r="GU479" s="4">
        <v>318</v>
      </c>
      <c r="GV479" s="4">
        <v>304</v>
      </c>
      <c r="GW479" s="4">
        <v>290</v>
      </c>
      <c r="GX479" s="4">
        <v>275</v>
      </c>
      <c r="GY479" s="4">
        <v>258</v>
      </c>
      <c r="GZ479" s="4">
        <v>241</v>
      </c>
      <c r="HA479" s="4">
        <v>223</v>
      </c>
      <c r="HB479" s="4">
        <v>206</v>
      </c>
      <c r="HC479" s="19">
        <v>9.3</v>
      </c>
      <c r="HD479" s="19">
        <v>8.8</v>
      </c>
      <c r="HE479" s="19">
        <v>7.4</v>
      </c>
      <c r="HF479" s="19">
        <v>15</v>
      </c>
      <c r="HG479" s="19">
        <v>15.2</v>
      </c>
      <c r="HH479" s="19">
        <v>15.1</v>
      </c>
      <c r="HI479" s="19">
        <v>23.5</v>
      </c>
      <c r="HJ479" s="19">
        <v>22.5</v>
      </c>
      <c r="HK479" s="19">
        <v>22.9</v>
      </c>
      <c r="HL479" s="19">
        <v>21.9</v>
      </c>
      <c r="HM479" s="19">
        <v>20.9</v>
      </c>
      <c r="HN479" s="19">
        <v>19.9</v>
      </c>
      <c r="HO479" s="19">
        <v>18.9</v>
      </c>
      <c r="HP479" s="19">
        <v>16.7</v>
      </c>
      <c r="HQ479" s="19">
        <v>15.8</v>
      </c>
      <c r="HR479" s="19">
        <v>14.9</v>
      </c>
      <c r="HS479" s="19">
        <v>13.9</v>
      </c>
      <c r="HT479" s="19">
        <v>23.7</v>
      </c>
      <c r="HU479" s="19">
        <v>21.2</v>
      </c>
      <c r="HV479" s="19">
        <v>19</v>
      </c>
      <c r="HW479" s="19">
        <v>17.1</v>
      </c>
      <c r="HX479" s="19">
        <v>16.2</v>
      </c>
      <c r="HY479" s="19">
        <v>15.2</v>
      </c>
      <c r="HZ479" s="19">
        <v>14.2</v>
      </c>
      <c r="IA479" s="19">
        <v>13.1</v>
      </c>
      <c r="IB479" s="19">
        <v>12.1</v>
      </c>
    </row>
    <row r="480">
      <c r="A480" s="2" t="s">
        <v>2840</v>
      </c>
      <c r="B480" s="2" t="s">
        <v>761</v>
      </c>
      <c r="C480" s="2" t="s">
        <v>280</v>
      </c>
      <c r="D480" s="2" t="s">
        <v>763</v>
      </c>
      <c r="E480" s="2" t="s">
        <v>764</v>
      </c>
      <c r="F480" s="2" t="s">
        <v>2841</v>
      </c>
      <c r="G480" s="2" t="s">
        <v>2842</v>
      </c>
      <c r="H480" s="2" t="s">
        <v>2843</v>
      </c>
      <c r="I480" s="2" t="s">
        <v>2844</v>
      </c>
      <c r="J480" s="2" t="s">
        <v>741</v>
      </c>
      <c r="K480" s="2" t="s">
        <v>671</v>
      </c>
      <c r="L480" s="3">
        <v>131.87</v>
      </c>
      <c r="M480" s="3">
        <v>138.46</v>
      </c>
      <c r="N480" s="3">
        <v>279</v>
      </c>
      <c r="O480" s="2" t="s">
        <v>230</v>
      </c>
      <c r="P480" s="2" t="s">
        <v>231</v>
      </c>
      <c r="Q480" s="2" t="s">
        <v>232</v>
      </c>
      <c r="R480" s="2" t="s">
        <v>233</v>
      </c>
      <c r="S480" s="2" t="s">
        <v>233</v>
      </c>
      <c r="T480" s="2" t="s">
        <v>233</v>
      </c>
      <c r="U480" s="2" t="s">
        <v>329</v>
      </c>
      <c r="V480" s="2" t="s">
        <v>609</v>
      </c>
      <c r="W480" s="2" t="s">
        <v>712</v>
      </c>
      <c r="X480" s="2" t="s">
        <v>233</v>
      </c>
      <c r="Y480" s="2" t="s">
        <v>2845</v>
      </c>
      <c r="Z480" s="4">
        <v>137</v>
      </c>
      <c r="AA480" s="4">
        <f>=ROUNDDOWN(15.2222222222222,0)</f>
      </c>
      <c r="AB480" s="5">
        <v>9</v>
      </c>
      <c r="AC480" s="2" t="s">
        <v>153</v>
      </c>
      <c r="AD480" s="4">
        <v>100</v>
      </c>
      <c r="AE480" s="4">
        <v>190</v>
      </c>
      <c r="AF480" s="6">
        <v>68</v>
      </c>
      <c r="AG480" s="6">
        <v>51</v>
      </c>
      <c r="AH480" s="7">
        <v>1</v>
      </c>
      <c r="AI480" s="4"/>
      <c r="AJ480" s="4">
        <f>=ROUNDDOWN({0},0)</f>
      </c>
      <c r="AK480" s="5"/>
      <c r="AL480" s="2" t="s">
        <v>233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 t="s">
        <v>233</v>
      </c>
      <c r="BD480" s="8" t="s">
        <v>233</v>
      </c>
      <c r="BE480" s="4" t="s">
        <v>233</v>
      </c>
      <c r="BF480" s="8" t="s">
        <v>233</v>
      </c>
      <c r="BG480" s="7" t="s">
        <v>233</v>
      </c>
      <c r="BH480" s="7" t="s">
        <v>233</v>
      </c>
      <c r="BI480" s="7"/>
      <c r="BJ480" s="4">
        <v>27</v>
      </c>
      <c r="BK480" s="8">
        <v>3905.67</v>
      </c>
      <c r="BL480" s="2" t="s">
        <v>2846</v>
      </c>
      <c r="BM480" s="7"/>
      <c r="BN480" s="7"/>
      <c r="BO480" s="4"/>
      <c r="BP480" s="8"/>
      <c r="BQ480" s="4"/>
      <c r="BR480" s="8"/>
      <c r="BS480" s="7"/>
      <c r="BT480" s="7"/>
      <c r="BU480" s="2" t="s">
        <v>2847</v>
      </c>
      <c r="BV480" s="2" t="s">
        <v>233</v>
      </c>
      <c r="BW480" s="2" t="s">
        <v>233</v>
      </c>
      <c r="BX480" s="2" t="s">
        <v>293</v>
      </c>
      <c r="BY480" s="2" t="s">
        <v>242</v>
      </c>
      <c r="BZ480" s="2" t="s">
        <v>230</v>
      </c>
      <c r="CA480" s="2" t="s">
        <v>2848</v>
      </c>
      <c r="CB480" s="2" t="s">
        <v>2849</v>
      </c>
      <c r="CC480" s="2" t="s">
        <v>245</v>
      </c>
      <c r="CD480" s="2" t="s">
        <v>233</v>
      </c>
      <c r="CE480" s="4"/>
      <c r="CF480" s="4">
        <v>136</v>
      </c>
      <c r="CG480" s="4"/>
      <c r="CH480" s="4">
        <v>1</v>
      </c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>
        <v>100</v>
      </c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>
        <v>90</v>
      </c>
      <c r="FX480" s="4"/>
      <c r="FY480" s="4"/>
      <c r="FZ480" s="4"/>
      <c r="GA480" s="4"/>
      <c r="GB480" s="4"/>
      <c r="GC480" s="4">
        <v>138</v>
      </c>
      <c r="GD480" s="4">
        <v>116</v>
      </c>
      <c r="GE480" s="4">
        <v>101</v>
      </c>
      <c r="GF480" s="4">
        <v>89</v>
      </c>
      <c r="GG480" s="4">
        <v>164</v>
      </c>
      <c r="GH480" s="4">
        <v>150</v>
      </c>
      <c r="GI480" s="4">
        <v>138</v>
      </c>
      <c r="GJ480" s="4">
        <v>131</v>
      </c>
      <c r="GK480" s="4">
        <v>124</v>
      </c>
      <c r="GL480" s="4">
        <v>116</v>
      </c>
      <c r="GM480" s="4">
        <v>109</v>
      </c>
      <c r="GN480" s="4">
        <v>101</v>
      </c>
      <c r="GO480" s="4">
        <v>94</v>
      </c>
      <c r="GP480" s="4">
        <v>87</v>
      </c>
      <c r="GQ480" s="4">
        <v>80</v>
      </c>
      <c r="GR480" s="4">
        <v>73</v>
      </c>
      <c r="GS480" s="4">
        <v>66</v>
      </c>
      <c r="GT480" s="4">
        <v>58</v>
      </c>
      <c r="GU480" s="4">
        <v>141</v>
      </c>
      <c r="GV480" s="4">
        <v>133</v>
      </c>
      <c r="GW480" s="4">
        <v>125</v>
      </c>
      <c r="GX480" s="4">
        <v>117</v>
      </c>
      <c r="GY480" s="4">
        <v>109</v>
      </c>
      <c r="GZ480" s="4">
        <v>100</v>
      </c>
      <c r="HA480" s="4">
        <v>91</v>
      </c>
      <c r="HB480" s="4">
        <v>82</v>
      </c>
      <c r="HC480" s="19">
        <v>3.8</v>
      </c>
      <c r="HD480" s="19">
        <v>3.7</v>
      </c>
      <c r="HE480" s="19">
        <v>3.2</v>
      </c>
      <c r="HF480" s="19">
        <v>3.2</v>
      </c>
      <c r="HG480" s="19">
        <v>8.2</v>
      </c>
      <c r="HH480" s="19">
        <v>9.4</v>
      </c>
      <c r="HI480" s="19">
        <v>9.9</v>
      </c>
      <c r="HJ480" s="19">
        <v>8.2</v>
      </c>
      <c r="HK480" s="19">
        <v>7.8</v>
      </c>
      <c r="HL480" s="19">
        <v>8.3</v>
      </c>
      <c r="HM480" s="19">
        <v>7.8</v>
      </c>
      <c r="HN480" s="19">
        <v>7.2</v>
      </c>
      <c r="HO480" s="19">
        <v>6.7</v>
      </c>
      <c r="HP480" s="19">
        <v>6.2</v>
      </c>
      <c r="HQ480" s="19">
        <v>5.7</v>
      </c>
      <c r="HR480" s="19">
        <v>4.6</v>
      </c>
      <c r="HS480" s="19">
        <v>4.2</v>
      </c>
      <c r="HT480" s="19">
        <v>3.7</v>
      </c>
      <c r="HU480" s="19">
        <v>8.8</v>
      </c>
      <c r="HV480" s="19">
        <v>8.3</v>
      </c>
      <c r="HW480" s="19">
        <v>7.8</v>
      </c>
      <c r="HX480" s="19">
        <v>6.5</v>
      </c>
      <c r="HY480" s="19">
        <v>6.1</v>
      </c>
      <c r="HZ480" s="19">
        <v>5.6</v>
      </c>
      <c r="IA480" s="19">
        <v>5.1</v>
      </c>
      <c r="IB480" s="19">
        <v>4.6</v>
      </c>
    </row>
    <row r="481">
      <c r="A481" s="2" t="s">
        <v>2850</v>
      </c>
      <c r="B481" s="2" t="s">
        <v>761</v>
      </c>
      <c r="C481" s="2" t="s">
        <v>280</v>
      </c>
      <c r="D481" s="2" t="s">
        <v>763</v>
      </c>
      <c r="E481" s="2" t="s">
        <v>764</v>
      </c>
      <c r="F481" s="2" t="s">
        <v>2841</v>
      </c>
      <c r="G481" s="2" t="s">
        <v>2842</v>
      </c>
      <c r="H481" s="2" t="s">
        <v>2843</v>
      </c>
      <c r="I481" s="2" t="s">
        <v>2844</v>
      </c>
      <c r="J481" s="2" t="s">
        <v>741</v>
      </c>
      <c r="K481" s="2" t="s">
        <v>642</v>
      </c>
      <c r="L481" s="3">
        <v>131.87</v>
      </c>
      <c r="M481" s="3">
        <v>138.46</v>
      </c>
      <c r="N481" s="3">
        <v>279</v>
      </c>
      <c r="O481" s="2" t="s">
        <v>230</v>
      </c>
      <c r="P481" s="2" t="s">
        <v>231</v>
      </c>
      <c r="Q481" s="2" t="s">
        <v>232</v>
      </c>
      <c r="R481" s="2" t="s">
        <v>233</v>
      </c>
      <c r="S481" s="2" t="s">
        <v>233</v>
      </c>
      <c r="T481" s="2" t="s">
        <v>233</v>
      </c>
      <c r="U481" s="2" t="s">
        <v>329</v>
      </c>
      <c r="V481" s="2" t="s">
        <v>236</v>
      </c>
      <c r="W481" s="2" t="s">
        <v>712</v>
      </c>
      <c r="X481" s="2" t="s">
        <v>233</v>
      </c>
      <c r="Y481" s="2" t="s">
        <v>2851</v>
      </c>
      <c r="Z481" s="4">
        <v>802</v>
      </c>
      <c r="AA481" s="4">
        <f>=ROUNDDOWN(50.125,0)</f>
      </c>
      <c r="AB481" s="5">
        <v>16</v>
      </c>
      <c r="AC481" s="2" t="s">
        <v>233</v>
      </c>
      <c r="AD481" s="4"/>
      <c r="AE481" s="4"/>
      <c r="AF481" s="6">
        <v>68</v>
      </c>
      <c r="AG481" s="6">
        <v>51</v>
      </c>
      <c r="AH481" s="7">
        <v>1</v>
      </c>
      <c r="AI481" s="4"/>
      <c r="AJ481" s="4">
        <f>=ROUNDDOWN({0},0)</f>
      </c>
      <c r="AK481" s="5"/>
      <c r="AL481" s="2" t="s">
        <v>233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233</v>
      </c>
      <c r="BD481" s="8" t="s">
        <v>233</v>
      </c>
      <c r="BE481" s="4" t="s">
        <v>233</v>
      </c>
      <c r="BF481" s="8" t="s">
        <v>233</v>
      </c>
      <c r="BG481" s="7" t="s">
        <v>233</v>
      </c>
      <c r="BH481" s="7" t="s">
        <v>233</v>
      </c>
      <c r="BI481" s="7"/>
      <c r="BJ481" s="4">
        <v>57</v>
      </c>
      <c r="BK481" s="8">
        <v>7406.8</v>
      </c>
      <c r="BL481" s="2" t="s">
        <v>2852</v>
      </c>
      <c r="BM481" s="7"/>
      <c r="BN481" s="7"/>
      <c r="BO481" s="4"/>
      <c r="BP481" s="8"/>
      <c r="BQ481" s="4"/>
      <c r="BR481" s="8"/>
      <c r="BS481" s="7"/>
      <c r="BT481" s="7"/>
      <c r="BU481" s="2" t="s">
        <v>2847</v>
      </c>
      <c r="BV481" s="2" t="s">
        <v>233</v>
      </c>
      <c r="BW481" s="2" t="s">
        <v>233</v>
      </c>
      <c r="BX481" s="2" t="s">
        <v>293</v>
      </c>
      <c r="BY481" s="2" t="s">
        <v>242</v>
      </c>
      <c r="BZ481" s="2" t="s">
        <v>230</v>
      </c>
      <c r="CA481" s="2" t="s">
        <v>2646</v>
      </c>
      <c r="CB481" s="2" t="s">
        <v>2853</v>
      </c>
      <c r="CC481" s="2" t="s">
        <v>245</v>
      </c>
      <c r="CD481" s="2" t="s">
        <v>233</v>
      </c>
      <c r="CE481" s="4"/>
      <c r="CF481" s="4">
        <v>802</v>
      </c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>
        <v>810</v>
      </c>
      <c r="GD481" s="4">
        <v>750</v>
      </c>
      <c r="GE481" s="4">
        <v>712</v>
      </c>
      <c r="GF481" s="4">
        <v>679</v>
      </c>
      <c r="GG481" s="4">
        <v>608</v>
      </c>
      <c r="GH481" s="4">
        <v>573</v>
      </c>
      <c r="GI481" s="4">
        <v>539</v>
      </c>
      <c r="GJ481" s="4">
        <v>528</v>
      </c>
      <c r="GK481" s="4">
        <v>516</v>
      </c>
      <c r="GL481" s="4">
        <v>502</v>
      </c>
      <c r="GM481" s="4">
        <v>490</v>
      </c>
      <c r="GN481" s="4">
        <v>476</v>
      </c>
      <c r="GO481" s="4">
        <v>464</v>
      </c>
      <c r="GP481" s="4">
        <v>452</v>
      </c>
      <c r="GQ481" s="4">
        <v>439</v>
      </c>
      <c r="GR481" s="4">
        <v>426</v>
      </c>
      <c r="GS481" s="4">
        <v>413</v>
      </c>
      <c r="GT481" s="4">
        <v>398</v>
      </c>
      <c r="GU481" s="4">
        <v>385</v>
      </c>
      <c r="GV481" s="4">
        <v>370</v>
      </c>
      <c r="GW481" s="4">
        <v>355</v>
      </c>
      <c r="GX481" s="4">
        <v>340</v>
      </c>
      <c r="GY481" s="4">
        <v>325</v>
      </c>
      <c r="GZ481" s="4">
        <v>309</v>
      </c>
      <c r="HA481" s="4">
        <v>292</v>
      </c>
      <c r="HB481" s="4">
        <v>276</v>
      </c>
      <c r="HC481" s="19">
        <v>8.1</v>
      </c>
      <c r="HD481" s="19">
        <v>8.5</v>
      </c>
      <c r="HE481" s="19">
        <v>8.3</v>
      </c>
      <c r="HF481" s="19">
        <v>9</v>
      </c>
      <c r="HG481" s="19">
        <v>13.2</v>
      </c>
      <c r="HH481" s="19">
        <v>15.9</v>
      </c>
      <c r="HI481" s="19">
        <v>22.5</v>
      </c>
      <c r="HJ481" s="19">
        <v>20.3</v>
      </c>
      <c r="HK481" s="19">
        <v>19.9</v>
      </c>
      <c r="HL481" s="19">
        <v>20.9</v>
      </c>
      <c r="HM481" s="19">
        <v>18.9</v>
      </c>
      <c r="HN481" s="19">
        <v>19.9</v>
      </c>
      <c r="HO481" s="19">
        <v>17.9</v>
      </c>
      <c r="HP481" s="19">
        <v>16.2</v>
      </c>
      <c r="HQ481" s="19">
        <v>15.7</v>
      </c>
      <c r="HR481" s="19">
        <v>15.2</v>
      </c>
      <c r="HS481" s="19">
        <v>14.8</v>
      </c>
      <c r="HT481" s="19">
        <v>14.2</v>
      </c>
      <c r="HU481" s="19">
        <v>12.9</v>
      </c>
      <c r="HV481" s="19">
        <v>12.4</v>
      </c>
      <c r="HW481" s="19">
        <v>11.1</v>
      </c>
      <c r="HX481" s="19">
        <v>10.7</v>
      </c>
      <c r="HY481" s="19">
        <v>10.2</v>
      </c>
      <c r="HZ481" s="19">
        <v>9.7</v>
      </c>
      <c r="IA481" s="19">
        <v>9.2</v>
      </c>
      <c r="IB481" s="19">
        <v>8.7</v>
      </c>
    </row>
    <row r="482">
      <c r="A482" s="2" t="s">
        <v>2854</v>
      </c>
      <c r="B482" s="2" t="s">
        <v>938</v>
      </c>
      <c r="C482" s="2" t="s">
        <v>280</v>
      </c>
      <c r="D482" s="2" t="s">
        <v>972</v>
      </c>
      <c r="E482" s="2" t="s">
        <v>973</v>
      </c>
      <c r="F482" s="2" t="s">
        <v>2855</v>
      </c>
      <c r="G482" s="2" t="s">
        <v>2856</v>
      </c>
      <c r="H482" s="2" t="s">
        <v>2857</v>
      </c>
      <c r="I482" s="2" t="s">
        <v>2858</v>
      </c>
      <c r="J482" s="2" t="s">
        <v>2859</v>
      </c>
      <c r="K482" s="2" t="s">
        <v>955</v>
      </c>
      <c r="L482" s="3">
        <v>13.5</v>
      </c>
      <c r="M482" s="3">
        <v>14.18</v>
      </c>
      <c r="N482" s="3">
        <v>29.99</v>
      </c>
      <c r="O482" s="2" t="s">
        <v>230</v>
      </c>
      <c r="P482" s="2" t="s">
        <v>231</v>
      </c>
      <c r="Q482" s="2" t="s">
        <v>232</v>
      </c>
      <c r="R482" s="2" t="s">
        <v>233</v>
      </c>
      <c r="S482" s="2" t="s">
        <v>2860</v>
      </c>
      <c r="T482" s="2" t="s">
        <v>233</v>
      </c>
      <c r="U482" s="2" t="s">
        <v>329</v>
      </c>
      <c r="V482" s="2" t="s">
        <v>236</v>
      </c>
      <c r="W482" s="2" t="s">
        <v>620</v>
      </c>
      <c r="X482" s="2" t="s">
        <v>980</v>
      </c>
      <c r="Y482" s="2" t="s">
        <v>2861</v>
      </c>
      <c r="Z482" s="4">
        <v>263</v>
      </c>
      <c r="AA482" s="4">
        <f>=ROUNDDOWN(65.75,0)</f>
      </c>
      <c r="AB482" s="5">
        <v>4</v>
      </c>
      <c r="AC482" s="2" t="s">
        <v>233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233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233</v>
      </c>
      <c r="AW482" s="8" t="s">
        <v>233</v>
      </c>
      <c r="AX482" s="4" t="s">
        <v>233</v>
      </c>
      <c r="AY482" s="8" t="s">
        <v>233</v>
      </c>
      <c r="AZ482" s="7" t="s">
        <v>233</v>
      </c>
      <c r="BA482" s="7" t="s">
        <v>233</v>
      </c>
      <c r="BB482" s="7"/>
      <c r="BC482" s="4" t="s">
        <v>233</v>
      </c>
      <c r="BD482" s="8" t="s">
        <v>233</v>
      </c>
      <c r="BE482" s="4" t="s">
        <v>233</v>
      </c>
      <c r="BF482" s="8" t="s">
        <v>233</v>
      </c>
      <c r="BG482" s="7" t="s">
        <v>233</v>
      </c>
      <c r="BH482" s="7" t="s">
        <v>233</v>
      </c>
      <c r="BI482" s="7"/>
      <c r="BJ482" s="4">
        <v>20</v>
      </c>
      <c r="BK482" s="8">
        <v>287.93</v>
      </c>
      <c r="BL482" s="2" t="s">
        <v>2862</v>
      </c>
      <c r="BM482" s="7"/>
      <c r="BN482" s="7"/>
      <c r="BO482" s="4"/>
      <c r="BP482" s="8"/>
      <c r="BQ482" s="4"/>
      <c r="BR482" s="8"/>
      <c r="BS482" s="7"/>
      <c r="BT482" s="7"/>
      <c r="BU482" s="2" t="s">
        <v>2863</v>
      </c>
      <c r="BV482" s="2" t="s">
        <v>233</v>
      </c>
      <c r="BW482" s="2" t="s">
        <v>233</v>
      </c>
      <c r="BX482" s="2" t="s">
        <v>241</v>
      </c>
      <c r="BY482" s="2" t="s">
        <v>242</v>
      </c>
      <c r="BZ482" s="2" t="s">
        <v>230</v>
      </c>
      <c r="CA482" s="2" t="s">
        <v>2864</v>
      </c>
      <c r="CB482" s="2" t="s">
        <v>2865</v>
      </c>
      <c r="CC482" s="2" t="s">
        <v>245</v>
      </c>
      <c r="CD482" s="2" t="s">
        <v>233</v>
      </c>
      <c r="CE482" s="4">
        <v>263</v>
      </c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>
        <v>267</v>
      </c>
      <c r="GD482" s="4">
        <v>258</v>
      </c>
      <c r="GE482" s="4">
        <v>252</v>
      </c>
      <c r="GF482" s="4">
        <v>247</v>
      </c>
      <c r="GG482" s="4">
        <v>240</v>
      </c>
      <c r="GH482" s="4">
        <v>236</v>
      </c>
      <c r="GI482" s="4">
        <v>231</v>
      </c>
      <c r="GJ482" s="4">
        <v>227</v>
      </c>
      <c r="GK482" s="4">
        <v>223</v>
      </c>
      <c r="GL482" s="4">
        <v>219</v>
      </c>
      <c r="GM482" s="4">
        <v>215</v>
      </c>
      <c r="GN482" s="4">
        <v>211</v>
      </c>
      <c r="GO482" s="4">
        <v>207</v>
      </c>
      <c r="GP482" s="4">
        <v>203</v>
      </c>
      <c r="GQ482" s="4">
        <v>199</v>
      </c>
      <c r="GR482" s="4">
        <v>195</v>
      </c>
      <c r="GS482" s="4">
        <v>191</v>
      </c>
      <c r="GT482" s="4">
        <v>186</v>
      </c>
      <c r="GU482" s="4">
        <v>182</v>
      </c>
      <c r="GV482" s="4">
        <v>178</v>
      </c>
      <c r="GW482" s="4">
        <v>174</v>
      </c>
      <c r="GX482" s="4">
        <v>170</v>
      </c>
      <c r="GY482" s="4">
        <v>166</v>
      </c>
      <c r="GZ482" s="4">
        <v>162</v>
      </c>
      <c r="HA482" s="4">
        <v>158</v>
      </c>
      <c r="HB482" s="4">
        <v>154</v>
      </c>
      <c r="HC482" s="19">
        <v>38.1</v>
      </c>
      <c r="HD482" s="19">
        <v>43</v>
      </c>
      <c r="HE482" s="19">
        <v>50.4</v>
      </c>
      <c r="HF482" s="19">
        <v>49.4</v>
      </c>
      <c r="HG482" s="19">
        <v>60</v>
      </c>
      <c r="HH482" s="19">
        <v>59</v>
      </c>
      <c r="HI482" s="19">
        <v>57.8</v>
      </c>
      <c r="HJ482" s="19">
        <v>56.8</v>
      </c>
      <c r="HK482" s="19">
        <v>55.8</v>
      </c>
      <c r="HL482" s="19">
        <v>54.8</v>
      </c>
      <c r="HM482" s="19">
        <v>53.8</v>
      </c>
      <c r="HN482" s="19">
        <v>52.8</v>
      </c>
      <c r="HO482" s="19">
        <v>51.8</v>
      </c>
      <c r="HP482" s="19">
        <v>50.8</v>
      </c>
      <c r="HQ482" s="19">
        <v>49.8</v>
      </c>
      <c r="HR482" s="19">
        <v>48.8</v>
      </c>
      <c r="HS482" s="19">
        <v>47.8</v>
      </c>
      <c r="HT482" s="19">
        <v>46.5</v>
      </c>
      <c r="HU482" s="19">
        <v>45.5</v>
      </c>
      <c r="HV482" s="19">
        <v>44.5</v>
      </c>
      <c r="HW482" s="19">
        <v>43.5</v>
      </c>
      <c r="HX482" s="19">
        <v>42.5</v>
      </c>
      <c r="HY482" s="19">
        <v>41.5</v>
      </c>
      <c r="HZ482" s="19">
        <v>40.5</v>
      </c>
      <c r="IA482" s="19">
        <v>39.5</v>
      </c>
      <c r="IB482" s="19">
        <v>38.5</v>
      </c>
    </row>
    <row r="483">
      <c r="A483" s="2" t="s">
        <v>2866</v>
      </c>
      <c r="B483" s="2" t="s">
        <v>938</v>
      </c>
      <c r="C483" s="2" t="s">
        <v>280</v>
      </c>
      <c r="D483" s="2" t="s">
        <v>972</v>
      </c>
      <c r="E483" s="2" t="s">
        <v>973</v>
      </c>
      <c r="F483" s="2" t="s">
        <v>2855</v>
      </c>
      <c r="G483" s="2" t="s">
        <v>2856</v>
      </c>
      <c r="H483" s="2" t="s">
        <v>2857</v>
      </c>
      <c r="I483" s="2" t="s">
        <v>2858</v>
      </c>
      <c r="J483" s="2" t="s">
        <v>978</v>
      </c>
      <c r="K483" s="2" t="s">
        <v>955</v>
      </c>
      <c r="L483" s="3">
        <v>15.75</v>
      </c>
      <c r="M483" s="3">
        <v>16.54</v>
      </c>
      <c r="N483" s="3">
        <v>34.99</v>
      </c>
      <c r="O483" s="2" t="s">
        <v>230</v>
      </c>
      <c r="P483" s="2" t="s">
        <v>231</v>
      </c>
      <c r="Q483" s="2" t="s">
        <v>232</v>
      </c>
      <c r="R483" s="2" t="s">
        <v>233</v>
      </c>
      <c r="S483" s="2" t="s">
        <v>2860</v>
      </c>
      <c r="T483" s="2" t="s">
        <v>233</v>
      </c>
      <c r="U483" s="2" t="s">
        <v>329</v>
      </c>
      <c r="V483" s="2" t="s">
        <v>236</v>
      </c>
      <c r="W483" s="2" t="s">
        <v>620</v>
      </c>
      <c r="X483" s="2" t="s">
        <v>980</v>
      </c>
      <c r="Y483" s="2" t="s">
        <v>2861</v>
      </c>
      <c r="Z483" s="4">
        <v>254</v>
      </c>
      <c r="AA483" s="4">
        <f>=ROUNDDOWN(23.0909090909091,0)</f>
      </c>
      <c r="AB483" s="5">
        <v>11</v>
      </c>
      <c r="AC483" s="2" t="s">
        <v>144</v>
      </c>
      <c r="AD483" s="4">
        <v>224</v>
      </c>
      <c r="AE483" s="4">
        <v>224</v>
      </c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233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233</v>
      </c>
      <c r="AW483" s="8" t="s">
        <v>233</v>
      </c>
      <c r="AX483" s="4" t="s">
        <v>233</v>
      </c>
      <c r="AY483" s="8" t="s">
        <v>233</v>
      </c>
      <c r="AZ483" s="7" t="s">
        <v>233</v>
      </c>
      <c r="BA483" s="7" t="s">
        <v>233</v>
      </c>
      <c r="BB483" s="7"/>
      <c r="BC483" s="4" t="s">
        <v>233</v>
      </c>
      <c r="BD483" s="8" t="s">
        <v>233</v>
      </c>
      <c r="BE483" s="4" t="s">
        <v>233</v>
      </c>
      <c r="BF483" s="8" t="s">
        <v>233</v>
      </c>
      <c r="BG483" s="7" t="s">
        <v>233</v>
      </c>
      <c r="BH483" s="7" t="s">
        <v>233</v>
      </c>
      <c r="BI483" s="7"/>
      <c r="BJ483" s="4">
        <v>32</v>
      </c>
      <c r="BK483" s="8">
        <v>532.82</v>
      </c>
      <c r="BL483" s="2" t="s">
        <v>2867</v>
      </c>
      <c r="BM483" s="7"/>
      <c r="BN483" s="7"/>
      <c r="BO483" s="4"/>
      <c r="BP483" s="8"/>
      <c r="BQ483" s="4"/>
      <c r="BR483" s="8"/>
      <c r="BS483" s="7"/>
      <c r="BT483" s="7"/>
      <c r="BU483" s="2" t="s">
        <v>2863</v>
      </c>
      <c r="BV483" s="2" t="s">
        <v>233</v>
      </c>
      <c r="BW483" s="2" t="s">
        <v>233</v>
      </c>
      <c r="BX483" s="2" t="s">
        <v>241</v>
      </c>
      <c r="BY483" s="2" t="s">
        <v>242</v>
      </c>
      <c r="BZ483" s="2" t="s">
        <v>230</v>
      </c>
      <c r="CA483" s="2" t="s">
        <v>2864</v>
      </c>
      <c r="CB483" s="2" t="s">
        <v>626</v>
      </c>
      <c r="CC483" s="2" t="s">
        <v>245</v>
      </c>
      <c r="CD483" s="2" t="s">
        <v>233</v>
      </c>
      <c r="CE483" s="4">
        <v>254</v>
      </c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>
        <v>224</v>
      </c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>
        <v>261</v>
      </c>
      <c r="GD483" s="4">
        <v>242</v>
      </c>
      <c r="GE483" s="4">
        <v>225</v>
      </c>
      <c r="GF483" s="4">
        <v>435</v>
      </c>
      <c r="GG483" s="4">
        <v>416</v>
      </c>
      <c r="GH483" s="4">
        <v>402</v>
      </c>
      <c r="GI483" s="4">
        <v>383</v>
      </c>
      <c r="GJ483" s="4">
        <v>372</v>
      </c>
      <c r="GK483" s="4">
        <v>359</v>
      </c>
      <c r="GL483" s="4">
        <v>348</v>
      </c>
      <c r="GM483" s="4">
        <v>337</v>
      </c>
      <c r="GN483" s="4">
        <v>326</v>
      </c>
      <c r="GO483" s="4">
        <v>315</v>
      </c>
      <c r="GP483" s="4">
        <v>304</v>
      </c>
      <c r="GQ483" s="4">
        <v>293</v>
      </c>
      <c r="GR483" s="4">
        <v>282</v>
      </c>
      <c r="GS483" s="4">
        <v>271</v>
      </c>
      <c r="GT483" s="4">
        <v>258</v>
      </c>
      <c r="GU483" s="4">
        <v>247</v>
      </c>
      <c r="GV483" s="4">
        <v>236</v>
      </c>
      <c r="GW483" s="4">
        <v>225</v>
      </c>
      <c r="GX483" s="4">
        <v>214</v>
      </c>
      <c r="GY483" s="4">
        <v>203</v>
      </c>
      <c r="GZ483" s="4">
        <v>192</v>
      </c>
      <c r="HA483" s="4">
        <v>181</v>
      </c>
      <c r="HB483" s="4">
        <v>170</v>
      </c>
      <c r="HC483" s="19">
        <v>15.4</v>
      </c>
      <c r="HD483" s="19">
        <v>15.1</v>
      </c>
      <c r="HE483" s="19">
        <v>14.1</v>
      </c>
      <c r="HF483" s="19">
        <v>27.2</v>
      </c>
      <c r="HG483" s="19">
        <v>29.7</v>
      </c>
      <c r="HH483" s="19">
        <v>28.7</v>
      </c>
      <c r="HI483" s="19">
        <v>31.9</v>
      </c>
      <c r="HJ483" s="19">
        <v>31</v>
      </c>
      <c r="HK483" s="19">
        <v>32.6</v>
      </c>
      <c r="HL483" s="19">
        <v>31.6</v>
      </c>
      <c r="HM483" s="19">
        <v>30.6</v>
      </c>
      <c r="HN483" s="19">
        <v>29.6</v>
      </c>
      <c r="HO483" s="19">
        <v>28.6</v>
      </c>
      <c r="HP483" s="19">
        <v>25.3</v>
      </c>
      <c r="HQ483" s="19">
        <v>24.4</v>
      </c>
      <c r="HR483" s="19">
        <v>23.5</v>
      </c>
      <c r="HS483" s="19">
        <v>22.6</v>
      </c>
      <c r="HT483" s="19">
        <v>23.5</v>
      </c>
      <c r="HU483" s="19">
        <v>22.5</v>
      </c>
      <c r="HV483" s="19">
        <v>21.5</v>
      </c>
      <c r="HW483" s="19">
        <v>20.5</v>
      </c>
      <c r="HX483" s="19">
        <v>19.5</v>
      </c>
      <c r="HY483" s="19">
        <v>18.5</v>
      </c>
      <c r="HZ483" s="19">
        <v>17.5</v>
      </c>
      <c r="IA483" s="19">
        <v>16.5</v>
      </c>
      <c r="IB483" s="19">
        <v>15.5</v>
      </c>
    </row>
    <row r="484">
      <c r="A484" s="2" t="s">
        <v>2868</v>
      </c>
      <c r="B484" s="2" t="s">
        <v>938</v>
      </c>
      <c r="C484" s="2" t="s">
        <v>280</v>
      </c>
      <c r="D484" s="2" t="s">
        <v>972</v>
      </c>
      <c r="E484" s="2" t="s">
        <v>973</v>
      </c>
      <c r="F484" s="2" t="s">
        <v>2855</v>
      </c>
      <c r="G484" s="2" t="s">
        <v>2856</v>
      </c>
      <c r="H484" s="2" t="s">
        <v>2857</v>
      </c>
      <c r="I484" s="2" t="s">
        <v>2858</v>
      </c>
      <c r="J484" s="2" t="s">
        <v>1004</v>
      </c>
      <c r="K484" s="2" t="s">
        <v>955</v>
      </c>
      <c r="L484" s="3">
        <v>17.6</v>
      </c>
      <c r="M484" s="3">
        <v>18.48</v>
      </c>
      <c r="N484" s="3">
        <v>39.99</v>
      </c>
      <c r="O484" s="2" t="s">
        <v>230</v>
      </c>
      <c r="P484" s="2" t="s">
        <v>231</v>
      </c>
      <c r="Q484" s="2" t="s">
        <v>232</v>
      </c>
      <c r="R484" s="2" t="s">
        <v>233</v>
      </c>
      <c r="S484" s="2" t="s">
        <v>2860</v>
      </c>
      <c r="T484" s="2" t="s">
        <v>233</v>
      </c>
      <c r="U484" s="2" t="s">
        <v>329</v>
      </c>
      <c r="V484" s="2" t="s">
        <v>236</v>
      </c>
      <c r="W484" s="2" t="s">
        <v>620</v>
      </c>
      <c r="X484" s="2" t="s">
        <v>980</v>
      </c>
      <c r="Y484" s="2" t="s">
        <v>2861</v>
      </c>
      <c r="Z484" s="4">
        <v>120</v>
      </c>
      <c r="AA484" s="4">
        <f>=ROUNDDOWN(13.3333333333333,0)</f>
      </c>
      <c r="AB484" s="5">
        <v>9</v>
      </c>
      <c r="AC484" s="2" t="s">
        <v>144</v>
      </c>
      <c r="AD484" s="4">
        <v>260</v>
      </c>
      <c r="AE484" s="4">
        <v>260</v>
      </c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233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233</v>
      </c>
      <c r="AW484" s="8" t="s">
        <v>233</v>
      </c>
      <c r="AX484" s="4" t="s">
        <v>233</v>
      </c>
      <c r="AY484" s="8" t="s">
        <v>233</v>
      </c>
      <c r="AZ484" s="7" t="s">
        <v>233</v>
      </c>
      <c r="BA484" s="7" t="s">
        <v>233</v>
      </c>
      <c r="BB484" s="7"/>
      <c r="BC484" s="4" t="s">
        <v>233</v>
      </c>
      <c r="BD484" s="8" t="s">
        <v>233</v>
      </c>
      <c r="BE484" s="4" t="s">
        <v>233</v>
      </c>
      <c r="BF484" s="8" t="s">
        <v>233</v>
      </c>
      <c r="BG484" s="7" t="s">
        <v>233</v>
      </c>
      <c r="BH484" s="7" t="s">
        <v>233</v>
      </c>
      <c r="BI484" s="7"/>
      <c r="BJ484" s="4">
        <v>40</v>
      </c>
      <c r="BK484" s="8">
        <v>744.82</v>
      </c>
      <c r="BL484" s="2" t="s">
        <v>2869</v>
      </c>
      <c r="BM484" s="7"/>
      <c r="BN484" s="7"/>
      <c r="BO484" s="4"/>
      <c r="BP484" s="8"/>
      <c r="BQ484" s="4"/>
      <c r="BR484" s="8"/>
      <c r="BS484" s="7"/>
      <c r="BT484" s="7"/>
      <c r="BU484" s="2" t="s">
        <v>2863</v>
      </c>
      <c r="BV484" s="2" t="s">
        <v>233</v>
      </c>
      <c r="BW484" s="2" t="s">
        <v>233</v>
      </c>
      <c r="BX484" s="2" t="s">
        <v>241</v>
      </c>
      <c r="BY484" s="2" t="s">
        <v>242</v>
      </c>
      <c r="BZ484" s="2" t="s">
        <v>230</v>
      </c>
      <c r="CA484" s="2" t="s">
        <v>2864</v>
      </c>
      <c r="CB484" s="2" t="s">
        <v>2870</v>
      </c>
      <c r="CC484" s="2" t="s">
        <v>245</v>
      </c>
      <c r="CD484" s="2" t="s">
        <v>233</v>
      </c>
      <c r="CE484" s="4">
        <v>120</v>
      </c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>
        <v>260</v>
      </c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>
        <v>126</v>
      </c>
      <c r="GD484" s="4">
        <v>108</v>
      </c>
      <c r="GE484" s="4">
        <v>94</v>
      </c>
      <c r="GF484" s="4">
        <v>341</v>
      </c>
      <c r="GG484" s="4">
        <v>325</v>
      </c>
      <c r="GH484" s="4">
        <v>313</v>
      </c>
      <c r="GI484" s="4">
        <v>298</v>
      </c>
      <c r="GJ484" s="4">
        <v>289</v>
      </c>
      <c r="GK484" s="4">
        <v>278</v>
      </c>
      <c r="GL484" s="4">
        <v>269</v>
      </c>
      <c r="GM484" s="4">
        <v>260</v>
      </c>
      <c r="GN484" s="4">
        <v>251</v>
      </c>
      <c r="GO484" s="4">
        <v>242</v>
      </c>
      <c r="GP484" s="4">
        <v>233</v>
      </c>
      <c r="GQ484" s="4">
        <v>224</v>
      </c>
      <c r="GR484" s="4">
        <v>215</v>
      </c>
      <c r="GS484" s="4">
        <v>206</v>
      </c>
      <c r="GT484" s="4">
        <v>195</v>
      </c>
      <c r="GU484" s="4">
        <v>186</v>
      </c>
      <c r="GV484" s="4">
        <v>177</v>
      </c>
      <c r="GW484" s="4">
        <v>168</v>
      </c>
      <c r="GX484" s="4">
        <v>159</v>
      </c>
      <c r="GY484" s="4">
        <v>150</v>
      </c>
      <c r="GZ484" s="4">
        <v>141</v>
      </c>
      <c r="HA484" s="4">
        <v>132</v>
      </c>
      <c r="HB484" s="4">
        <v>123</v>
      </c>
      <c r="HC484" s="19">
        <v>8.4</v>
      </c>
      <c r="HD484" s="19">
        <v>7.7</v>
      </c>
      <c r="HE484" s="19">
        <v>6.7</v>
      </c>
      <c r="HF484" s="19">
        <v>26.2</v>
      </c>
      <c r="HG484" s="19">
        <v>27.1</v>
      </c>
      <c r="HH484" s="19">
        <v>28.5</v>
      </c>
      <c r="HI484" s="19">
        <v>29.8</v>
      </c>
      <c r="HJ484" s="19">
        <v>28.9</v>
      </c>
      <c r="HK484" s="19">
        <v>30.9</v>
      </c>
      <c r="HL484" s="19">
        <v>29.9</v>
      </c>
      <c r="HM484" s="19">
        <v>28.9</v>
      </c>
      <c r="HN484" s="19">
        <v>27.9</v>
      </c>
      <c r="HO484" s="19">
        <v>26.9</v>
      </c>
      <c r="HP484" s="19">
        <v>23.3</v>
      </c>
      <c r="HQ484" s="19">
        <v>22.4</v>
      </c>
      <c r="HR484" s="19">
        <v>21.5</v>
      </c>
      <c r="HS484" s="19">
        <v>20.6</v>
      </c>
      <c r="HT484" s="19">
        <v>21.7</v>
      </c>
      <c r="HU484" s="19">
        <v>20.7</v>
      </c>
      <c r="HV484" s="19">
        <v>19.7</v>
      </c>
      <c r="HW484" s="19">
        <v>18.7</v>
      </c>
      <c r="HX484" s="19">
        <v>17.7</v>
      </c>
      <c r="HY484" s="19">
        <v>16.7</v>
      </c>
      <c r="HZ484" s="19">
        <v>15.7</v>
      </c>
      <c r="IA484" s="19">
        <v>14.7</v>
      </c>
      <c r="IB484" s="19">
        <v>13.7</v>
      </c>
    </row>
    <row r="485">
      <c r="A485" s="2" t="s">
        <v>2871</v>
      </c>
      <c r="B485" s="2" t="s">
        <v>825</v>
      </c>
      <c r="C485" s="2" t="s">
        <v>1411</v>
      </c>
      <c r="D485" s="2" t="s">
        <v>261</v>
      </c>
      <c r="E485" s="2" t="s">
        <v>603</v>
      </c>
      <c r="F485" s="2" t="s">
        <v>2872</v>
      </c>
      <c r="G485" s="2" t="s">
        <v>2873</v>
      </c>
      <c r="H485" s="2" t="s">
        <v>2874</v>
      </c>
      <c r="I485" s="2" t="s">
        <v>2875</v>
      </c>
      <c r="J485" s="2" t="s">
        <v>1052</v>
      </c>
      <c r="K485" s="2" t="s">
        <v>1511</v>
      </c>
      <c r="L485" s="3">
        <v>31.05</v>
      </c>
      <c r="M485" s="3">
        <v>32.6</v>
      </c>
      <c r="N485" s="3">
        <v>59.99</v>
      </c>
      <c r="O485" s="2" t="s">
        <v>230</v>
      </c>
      <c r="P485" s="2" t="s">
        <v>1302</v>
      </c>
      <c r="Q485" s="2" t="s">
        <v>232</v>
      </c>
      <c r="R485" s="2" t="s">
        <v>233</v>
      </c>
      <c r="S485" s="2" t="s">
        <v>2876</v>
      </c>
      <c r="T485" s="2" t="s">
        <v>2129</v>
      </c>
      <c r="U485" s="2" t="s">
        <v>781</v>
      </c>
      <c r="V485" s="2" t="s">
        <v>236</v>
      </c>
      <c r="W485" s="2" t="s">
        <v>288</v>
      </c>
      <c r="X485" s="2" t="s">
        <v>1214</v>
      </c>
      <c r="Y485" s="2" t="s">
        <v>1325</v>
      </c>
      <c r="Z485" s="4">
        <v>408</v>
      </c>
      <c r="AA485" s="4">
        <f>=ROUNDDOWN(51,0)</f>
      </c>
      <c r="AB485" s="5">
        <v>8</v>
      </c>
      <c r="AC485" s="2" t="s">
        <v>233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233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233</v>
      </c>
      <c r="AW485" s="8" t="s">
        <v>233</v>
      </c>
      <c r="AX485" s="4" t="s">
        <v>233</v>
      </c>
      <c r="AY485" s="8" t="s">
        <v>233</v>
      </c>
      <c r="AZ485" s="7" t="s">
        <v>233</v>
      </c>
      <c r="BA485" s="7" t="s">
        <v>233</v>
      </c>
      <c r="BB485" s="7" t="s">
        <v>233</v>
      </c>
      <c r="BC485" s="4" t="s">
        <v>233</v>
      </c>
      <c r="BD485" s="8" t="s">
        <v>233</v>
      </c>
      <c r="BE485" s="4" t="s">
        <v>233</v>
      </c>
      <c r="BF485" s="8" t="s">
        <v>233</v>
      </c>
      <c r="BG485" s="7" t="s">
        <v>233</v>
      </c>
      <c r="BH485" s="7" t="s">
        <v>233</v>
      </c>
      <c r="BI485" s="7"/>
      <c r="BJ485" s="4">
        <v>50</v>
      </c>
      <c r="BK485" s="8">
        <v>1630.27</v>
      </c>
      <c r="BL485" s="2" t="s">
        <v>2877</v>
      </c>
      <c r="BM485" s="7"/>
      <c r="BN485" s="7"/>
      <c r="BO485" s="4"/>
      <c r="BP485" s="8"/>
      <c r="BQ485" s="4"/>
      <c r="BR485" s="8"/>
      <c r="BS485" s="7"/>
      <c r="BT485" s="7"/>
      <c r="BU485" s="2" t="s">
        <v>2878</v>
      </c>
      <c r="BV485" s="2" t="s">
        <v>233</v>
      </c>
      <c r="BW485" s="2" t="s">
        <v>233</v>
      </c>
      <c r="BX485" s="2" t="s">
        <v>293</v>
      </c>
      <c r="BY485" s="2" t="s">
        <v>242</v>
      </c>
      <c r="BZ485" s="2" t="s">
        <v>230</v>
      </c>
      <c r="CA485" s="2" t="s">
        <v>2879</v>
      </c>
      <c r="CB485" s="2" t="s">
        <v>2880</v>
      </c>
      <c r="CC485" s="2" t="s">
        <v>245</v>
      </c>
      <c r="CD485" s="2" t="s">
        <v>233</v>
      </c>
      <c r="CE485" s="4">
        <v>244</v>
      </c>
      <c r="CF485" s="4">
        <v>164</v>
      </c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>
        <v>439</v>
      </c>
      <c r="GD485" s="4">
        <v>381</v>
      </c>
      <c r="GE485" s="4">
        <v>365</v>
      </c>
      <c r="GF485" s="4">
        <v>350</v>
      </c>
      <c r="GG485" s="4">
        <v>319</v>
      </c>
      <c r="GH485" s="4">
        <v>294</v>
      </c>
      <c r="GI485" s="4">
        <v>266</v>
      </c>
      <c r="GJ485" s="4">
        <v>248</v>
      </c>
      <c r="GK485" s="4">
        <v>235</v>
      </c>
      <c r="GL485" s="4">
        <v>226</v>
      </c>
      <c r="GM485" s="4">
        <v>218</v>
      </c>
      <c r="GN485" s="4">
        <v>210</v>
      </c>
      <c r="GO485" s="4">
        <v>202</v>
      </c>
      <c r="GP485" s="4">
        <v>194</v>
      </c>
      <c r="GQ485" s="4">
        <v>186</v>
      </c>
      <c r="GR485" s="4">
        <v>178</v>
      </c>
      <c r="GS485" s="4">
        <v>170</v>
      </c>
      <c r="GT485" s="4">
        <v>161</v>
      </c>
      <c r="GU485" s="4">
        <v>153</v>
      </c>
      <c r="GV485" s="4">
        <v>145</v>
      </c>
      <c r="GW485" s="4">
        <v>137</v>
      </c>
      <c r="GX485" s="4">
        <v>129</v>
      </c>
      <c r="GY485" s="4">
        <v>121</v>
      </c>
      <c r="GZ485" s="4">
        <v>113</v>
      </c>
      <c r="HA485" s="4">
        <v>105</v>
      </c>
      <c r="HB485" s="4">
        <v>97</v>
      </c>
      <c r="HC485" s="19">
        <v>14.6</v>
      </c>
      <c r="HD485" s="19">
        <v>17.3</v>
      </c>
      <c r="HE485" s="19">
        <v>14.6</v>
      </c>
      <c r="HF485" s="19">
        <v>13.5</v>
      </c>
      <c r="HG485" s="19">
        <v>15.2</v>
      </c>
      <c r="HH485" s="19">
        <v>17.3</v>
      </c>
      <c r="HI485" s="19">
        <v>22.2</v>
      </c>
      <c r="HJ485" s="19">
        <v>24.8</v>
      </c>
      <c r="HK485" s="19">
        <v>29.4</v>
      </c>
      <c r="HL485" s="19">
        <v>28.3</v>
      </c>
      <c r="HM485" s="19">
        <v>27.3</v>
      </c>
      <c r="HN485" s="19">
        <v>26.3</v>
      </c>
      <c r="HO485" s="19">
        <v>25.3</v>
      </c>
      <c r="HP485" s="19">
        <v>24.3</v>
      </c>
      <c r="HQ485" s="19">
        <v>23.3</v>
      </c>
      <c r="HR485" s="19">
        <v>22.3</v>
      </c>
      <c r="HS485" s="19">
        <v>21.3</v>
      </c>
      <c r="HT485" s="19">
        <v>20.1</v>
      </c>
      <c r="HU485" s="19">
        <v>19.1</v>
      </c>
      <c r="HV485" s="19">
        <v>18.1</v>
      </c>
      <c r="HW485" s="19">
        <v>17.1</v>
      </c>
      <c r="HX485" s="19">
        <v>16.1</v>
      </c>
      <c r="HY485" s="19">
        <v>15.1</v>
      </c>
      <c r="HZ485" s="19">
        <v>14.1</v>
      </c>
      <c r="IA485" s="19">
        <v>13.1</v>
      </c>
      <c r="IB485" s="19">
        <v>12.1</v>
      </c>
    </row>
    <row r="486">
      <c r="A486" s="2" t="s">
        <v>2881</v>
      </c>
      <c r="B486" s="2" t="s">
        <v>825</v>
      </c>
      <c r="C486" s="2" t="s">
        <v>1411</v>
      </c>
      <c r="D486" s="2" t="s">
        <v>774</v>
      </c>
      <c r="E486" s="2" t="s">
        <v>827</v>
      </c>
      <c r="F486" s="2" t="s">
        <v>2872</v>
      </c>
      <c r="G486" s="2" t="s">
        <v>2873</v>
      </c>
      <c r="H486" s="2" t="s">
        <v>2874</v>
      </c>
      <c r="I486" s="2" t="s">
        <v>2882</v>
      </c>
      <c r="J486" s="2" t="s">
        <v>1052</v>
      </c>
      <c r="K486" s="2" t="s">
        <v>1511</v>
      </c>
      <c r="L486" s="3">
        <v>27.6</v>
      </c>
      <c r="M486" s="3">
        <v>28.98</v>
      </c>
      <c r="N486" s="3">
        <v>59.99</v>
      </c>
      <c r="O486" s="2" t="s">
        <v>230</v>
      </c>
      <c r="P486" s="2" t="s">
        <v>231</v>
      </c>
      <c r="Q486" s="2" t="s">
        <v>232</v>
      </c>
      <c r="R486" s="2" t="s">
        <v>233</v>
      </c>
      <c r="S486" s="2" t="s">
        <v>2876</v>
      </c>
      <c r="T486" s="2" t="s">
        <v>2129</v>
      </c>
      <c r="U486" s="2" t="s">
        <v>781</v>
      </c>
      <c r="V486" s="2" t="s">
        <v>236</v>
      </c>
      <c r="W486" s="2" t="s">
        <v>288</v>
      </c>
      <c r="X486" s="2" t="s">
        <v>1214</v>
      </c>
      <c r="Y486" s="2" t="s">
        <v>1325</v>
      </c>
      <c r="Z486" s="4">
        <v>484</v>
      </c>
      <c r="AA486" s="4">
        <f>=ROUNDDOWN(121,0)</f>
      </c>
      <c r="AB486" s="5">
        <v>4</v>
      </c>
      <c r="AC486" s="2" t="s">
        <v>233</v>
      </c>
      <c r="AD486" s="4"/>
      <c r="AE486" s="4"/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233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233</v>
      </c>
      <c r="AW486" s="8" t="s">
        <v>233</v>
      </c>
      <c r="AX486" s="4" t="s">
        <v>233</v>
      </c>
      <c r="AY486" s="8" t="s">
        <v>233</v>
      </c>
      <c r="AZ486" s="7" t="s">
        <v>233</v>
      </c>
      <c r="BA486" s="7" t="s">
        <v>233</v>
      </c>
      <c r="BB486" s="7" t="s">
        <v>233</v>
      </c>
      <c r="BC486" s="4" t="s">
        <v>233</v>
      </c>
      <c r="BD486" s="8" t="s">
        <v>233</v>
      </c>
      <c r="BE486" s="4" t="s">
        <v>233</v>
      </c>
      <c r="BF486" s="8" t="s">
        <v>233</v>
      </c>
      <c r="BG486" s="7" t="s">
        <v>233</v>
      </c>
      <c r="BH486" s="7" t="s">
        <v>233</v>
      </c>
      <c r="BI486" s="7"/>
      <c r="BJ486" s="4"/>
      <c r="BK486" s="8"/>
      <c r="BL486" s="2" t="s">
        <v>233</v>
      </c>
      <c r="BM486" s="7"/>
      <c r="BN486" s="7"/>
      <c r="BO486" s="4"/>
      <c r="BP486" s="8"/>
      <c r="BQ486" s="4"/>
      <c r="BR486" s="8"/>
      <c r="BS486" s="7"/>
      <c r="BT486" s="7"/>
      <c r="BU486" s="2" t="s">
        <v>2883</v>
      </c>
      <c r="BV486" s="2" t="s">
        <v>233</v>
      </c>
      <c r="BW486" s="2" t="s">
        <v>233</v>
      </c>
      <c r="BX486" s="2" t="s">
        <v>293</v>
      </c>
      <c r="BY486" s="2" t="s">
        <v>242</v>
      </c>
      <c r="BZ486" s="2" t="s">
        <v>230</v>
      </c>
      <c r="CA486" s="2" t="s">
        <v>2879</v>
      </c>
      <c r="CB486" s="2" t="s">
        <v>2884</v>
      </c>
      <c r="CC486" s="2" t="s">
        <v>245</v>
      </c>
      <c r="CD486" s="2" t="s">
        <v>233</v>
      </c>
      <c r="CE486" s="4">
        <v>374</v>
      </c>
      <c r="CF486" s="4">
        <v>110</v>
      </c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>
        <v>484</v>
      </c>
      <c r="GD486" s="4">
        <v>452</v>
      </c>
      <c r="GE486" s="4">
        <v>445</v>
      </c>
      <c r="GF486" s="4">
        <v>438</v>
      </c>
      <c r="GG486" s="4">
        <v>423</v>
      </c>
      <c r="GH486" s="4">
        <v>405</v>
      </c>
      <c r="GI486" s="4">
        <v>385</v>
      </c>
      <c r="GJ486" s="4">
        <v>373</v>
      </c>
      <c r="GK486" s="4">
        <v>365</v>
      </c>
      <c r="GL486" s="4">
        <v>361</v>
      </c>
      <c r="GM486" s="4">
        <v>357</v>
      </c>
      <c r="GN486" s="4">
        <v>353</v>
      </c>
      <c r="GO486" s="4">
        <v>349</v>
      </c>
      <c r="GP486" s="4">
        <v>345</v>
      </c>
      <c r="GQ486" s="4">
        <v>341</v>
      </c>
      <c r="GR486" s="4">
        <v>337</v>
      </c>
      <c r="GS486" s="4">
        <v>333</v>
      </c>
      <c r="GT486" s="4">
        <v>329</v>
      </c>
      <c r="GU486" s="4">
        <v>325</v>
      </c>
      <c r="GV486" s="4">
        <v>321</v>
      </c>
      <c r="GW486" s="4">
        <v>317</v>
      </c>
      <c r="GX486" s="4">
        <v>313</v>
      </c>
      <c r="GY486" s="4">
        <v>309</v>
      </c>
      <c r="GZ486" s="4">
        <v>305</v>
      </c>
      <c r="HA486" s="4">
        <v>301</v>
      </c>
      <c r="HB486" s="4">
        <v>297</v>
      </c>
      <c r="HC486" s="19">
        <v>32.3</v>
      </c>
      <c r="HD486" s="19">
        <v>37.7</v>
      </c>
      <c r="HE486" s="19">
        <v>29.7</v>
      </c>
      <c r="HF486" s="19">
        <v>27.4</v>
      </c>
      <c r="HG486" s="19">
        <v>30.2</v>
      </c>
      <c r="HH486" s="19">
        <v>36.8</v>
      </c>
      <c r="HI486" s="19">
        <v>55</v>
      </c>
      <c r="HJ486" s="19">
        <v>74.6</v>
      </c>
      <c r="HK486" s="19">
        <v>91.3</v>
      </c>
      <c r="HL486" s="19">
        <v>90.3</v>
      </c>
      <c r="HM486" s="19">
        <v>89.3</v>
      </c>
      <c r="HN486" s="19">
        <v>88.3</v>
      </c>
      <c r="HO486" s="19">
        <v>87.3</v>
      </c>
      <c r="HP486" s="19">
        <v>86.3</v>
      </c>
      <c r="HQ486" s="19">
        <v>85.3</v>
      </c>
      <c r="HR486" s="19">
        <v>84.3</v>
      </c>
      <c r="HS486" s="19">
        <v>83.3</v>
      </c>
      <c r="HT486" s="19">
        <v>82.3</v>
      </c>
      <c r="HU486" s="19">
        <v>81.3</v>
      </c>
      <c r="HV486" s="19">
        <v>80.3</v>
      </c>
      <c r="HW486" s="19">
        <v>79.3</v>
      </c>
      <c r="HX486" s="19">
        <v>78.3</v>
      </c>
      <c r="HY486" s="19">
        <v>77.3</v>
      </c>
      <c r="HZ486" s="19">
        <v>76.3</v>
      </c>
      <c r="IA486" s="19">
        <v>75.3</v>
      </c>
      <c r="IB486" s="19">
        <v>74.3</v>
      </c>
    </row>
    <row r="487">
      <c r="A487" s="2" t="s">
        <v>2885</v>
      </c>
      <c r="B487" s="2" t="s">
        <v>825</v>
      </c>
      <c r="C487" s="2" t="s">
        <v>1411</v>
      </c>
      <c r="D487" s="2" t="s">
        <v>774</v>
      </c>
      <c r="E487" s="2" t="s">
        <v>827</v>
      </c>
      <c r="F487" s="2" t="s">
        <v>2872</v>
      </c>
      <c r="G487" s="2" t="s">
        <v>2873</v>
      </c>
      <c r="H487" s="2" t="s">
        <v>2874</v>
      </c>
      <c r="I487" s="2" t="s">
        <v>2882</v>
      </c>
      <c r="J487" s="2" t="s">
        <v>1052</v>
      </c>
      <c r="K487" s="2" t="s">
        <v>229</v>
      </c>
      <c r="L487" s="3">
        <v>27.6</v>
      </c>
      <c r="M487" s="3">
        <v>28.98</v>
      </c>
      <c r="N487" s="3">
        <v>59.99</v>
      </c>
      <c r="O487" s="2" t="s">
        <v>230</v>
      </c>
      <c r="P487" s="2" t="s">
        <v>231</v>
      </c>
      <c r="Q487" s="2" t="s">
        <v>232</v>
      </c>
      <c r="R487" s="2" t="s">
        <v>233</v>
      </c>
      <c r="S487" s="2" t="s">
        <v>2886</v>
      </c>
      <c r="T487" s="2" t="s">
        <v>2129</v>
      </c>
      <c r="U487" s="2" t="s">
        <v>781</v>
      </c>
      <c r="V487" s="2" t="s">
        <v>236</v>
      </c>
      <c r="W487" s="2" t="s">
        <v>288</v>
      </c>
      <c r="X487" s="2" t="s">
        <v>1214</v>
      </c>
      <c r="Y487" s="2" t="s">
        <v>1149</v>
      </c>
      <c r="Z487" s="4">
        <v>148</v>
      </c>
      <c r="AA487" s="4">
        <f>=ROUNDDOWN(74,0)</f>
      </c>
      <c r="AB487" s="5">
        <v>2</v>
      </c>
      <c r="AC487" s="2" t="s">
        <v>2887</v>
      </c>
      <c r="AD487" s="4">
        <v>30</v>
      </c>
      <c r="AE487" s="4">
        <v>30</v>
      </c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233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233</v>
      </c>
      <c r="AW487" s="8" t="s">
        <v>233</v>
      </c>
      <c r="AX487" s="4" t="s">
        <v>233</v>
      </c>
      <c r="AY487" s="8" t="s">
        <v>233</v>
      </c>
      <c r="AZ487" s="7" t="s">
        <v>233</v>
      </c>
      <c r="BA487" s="7" t="s">
        <v>233</v>
      </c>
      <c r="BB487" s="7"/>
      <c r="BC487" s="4" t="s">
        <v>233</v>
      </c>
      <c r="BD487" s="8" t="s">
        <v>233</v>
      </c>
      <c r="BE487" s="4" t="s">
        <v>233</v>
      </c>
      <c r="BF487" s="8" t="s">
        <v>233</v>
      </c>
      <c r="BG487" s="7" t="s">
        <v>233</v>
      </c>
      <c r="BH487" s="7" t="s">
        <v>233</v>
      </c>
      <c r="BI487" s="7"/>
      <c r="BJ487" s="4">
        <v>5</v>
      </c>
      <c r="BK487" s="8">
        <v>152.66</v>
      </c>
      <c r="BL487" s="2" t="s">
        <v>2888</v>
      </c>
      <c r="BM487" s="7"/>
      <c r="BN487" s="7"/>
      <c r="BO487" s="4"/>
      <c r="BP487" s="8"/>
      <c r="BQ487" s="4"/>
      <c r="BR487" s="8"/>
      <c r="BS487" s="7"/>
      <c r="BT487" s="7"/>
      <c r="BU487" s="2" t="s">
        <v>2883</v>
      </c>
      <c r="BV487" s="2" t="s">
        <v>233</v>
      </c>
      <c r="BW487" s="2" t="s">
        <v>233</v>
      </c>
      <c r="BX487" s="2" t="s">
        <v>293</v>
      </c>
      <c r="BY487" s="2" t="s">
        <v>242</v>
      </c>
      <c r="BZ487" s="2" t="s">
        <v>230</v>
      </c>
      <c r="CA487" s="2" t="s">
        <v>2889</v>
      </c>
      <c r="CB487" s="2" t="s">
        <v>2890</v>
      </c>
      <c r="CC487" s="2" t="s">
        <v>245</v>
      </c>
      <c r="CD487" s="2" t="s">
        <v>233</v>
      </c>
      <c r="CE487" s="4">
        <v>148</v>
      </c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>
        <v>30</v>
      </c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>
        <v>157</v>
      </c>
      <c r="GD487" s="4">
        <v>128</v>
      </c>
      <c r="GE487" s="4">
        <v>125</v>
      </c>
      <c r="GF487" s="4">
        <v>122</v>
      </c>
      <c r="GG487" s="4">
        <v>116</v>
      </c>
      <c r="GH487" s="4">
        <v>109</v>
      </c>
      <c r="GI487" s="4">
        <v>102</v>
      </c>
      <c r="GJ487" s="4">
        <v>97</v>
      </c>
      <c r="GK487" s="4">
        <v>94</v>
      </c>
      <c r="GL487" s="4">
        <v>92</v>
      </c>
      <c r="GM487" s="4">
        <v>90</v>
      </c>
      <c r="GN487" s="4">
        <v>88</v>
      </c>
      <c r="GO487" s="4">
        <v>86</v>
      </c>
      <c r="GP487" s="4">
        <v>114</v>
      </c>
      <c r="GQ487" s="4">
        <v>112</v>
      </c>
      <c r="GR487" s="4">
        <v>110</v>
      </c>
      <c r="GS487" s="4">
        <v>108</v>
      </c>
      <c r="GT487" s="4">
        <v>106</v>
      </c>
      <c r="GU487" s="4">
        <v>104</v>
      </c>
      <c r="GV487" s="4">
        <v>102</v>
      </c>
      <c r="GW487" s="4">
        <v>100</v>
      </c>
      <c r="GX487" s="4">
        <v>98</v>
      </c>
      <c r="GY487" s="4">
        <v>96</v>
      </c>
      <c r="GZ487" s="4">
        <v>94</v>
      </c>
      <c r="HA487" s="4">
        <v>92</v>
      </c>
      <c r="HB487" s="4">
        <v>90</v>
      </c>
      <c r="HC487" s="19">
        <v>15.7</v>
      </c>
      <c r="HD487" s="19">
        <v>25.6</v>
      </c>
      <c r="HE487" s="19">
        <v>20.8</v>
      </c>
      <c r="HF487" s="19">
        <v>20.3</v>
      </c>
      <c r="HG487" s="19">
        <v>19.3</v>
      </c>
      <c r="HH487" s="19">
        <v>27.3</v>
      </c>
      <c r="HI487" s="19">
        <v>34</v>
      </c>
      <c r="HJ487" s="19">
        <v>48.5</v>
      </c>
      <c r="HK487" s="19">
        <v>47</v>
      </c>
      <c r="HL487" s="19">
        <v>46</v>
      </c>
      <c r="HM487" s="19">
        <v>45</v>
      </c>
      <c r="HN487" s="19">
        <v>44</v>
      </c>
      <c r="HO487" s="19">
        <v>43</v>
      </c>
      <c r="HP487" s="19">
        <v>57</v>
      </c>
      <c r="HQ487" s="19">
        <v>56</v>
      </c>
      <c r="HR487" s="19">
        <v>55</v>
      </c>
      <c r="HS487" s="19">
        <v>54</v>
      </c>
      <c r="HT487" s="19">
        <v>53</v>
      </c>
      <c r="HU487" s="19">
        <v>52</v>
      </c>
      <c r="HV487" s="19">
        <v>51</v>
      </c>
      <c r="HW487" s="19">
        <v>50</v>
      </c>
      <c r="HX487" s="19">
        <v>49</v>
      </c>
      <c r="HY487" s="19">
        <v>48</v>
      </c>
      <c r="HZ487" s="19">
        <v>47</v>
      </c>
      <c r="IA487" s="19">
        <v>46</v>
      </c>
      <c r="IB487" s="19">
        <v>45</v>
      </c>
    </row>
    <row r="488">
      <c r="A488" s="2" t="s">
        <v>2891</v>
      </c>
      <c r="B488" s="2" t="s">
        <v>825</v>
      </c>
      <c r="C488" s="2" t="s">
        <v>1411</v>
      </c>
      <c r="D488" s="2" t="s">
        <v>774</v>
      </c>
      <c r="E488" s="2" t="s">
        <v>827</v>
      </c>
      <c r="F488" s="2" t="s">
        <v>2872</v>
      </c>
      <c r="G488" s="2" t="s">
        <v>2873</v>
      </c>
      <c r="H488" s="2" t="s">
        <v>2874</v>
      </c>
      <c r="I488" s="2" t="s">
        <v>2882</v>
      </c>
      <c r="J488" s="2" t="s">
        <v>275</v>
      </c>
      <c r="K488" s="2" t="s">
        <v>229</v>
      </c>
      <c r="L488" s="3">
        <v>36.75</v>
      </c>
      <c r="M488" s="3">
        <v>38.59</v>
      </c>
      <c r="N488" s="3">
        <v>74.99</v>
      </c>
      <c r="O488" s="2" t="s">
        <v>230</v>
      </c>
      <c r="P488" s="2" t="s">
        <v>231</v>
      </c>
      <c r="Q488" s="2" t="s">
        <v>232</v>
      </c>
      <c r="R488" s="2" t="s">
        <v>233</v>
      </c>
      <c r="S488" s="2" t="s">
        <v>2886</v>
      </c>
      <c r="T488" s="2" t="s">
        <v>2129</v>
      </c>
      <c r="U488" s="2" t="s">
        <v>287</v>
      </c>
      <c r="V488" s="2" t="s">
        <v>236</v>
      </c>
      <c r="W488" s="2" t="s">
        <v>288</v>
      </c>
      <c r="X488" s="2" t="s">
        <v>1214</v>
      </c>
      <c r="Y488" s="2" t="s">
        <v>1149</v>
      </c>
      <c r="Z488" s="4">
        <v>40</v>
      </c>
      <c r="AA488" s="4">
        <f>=ROUNDDOWN(13.3333333333333,0)</f>
      </c>
      <c r="AB488" s="5">
        <v>3</v>
      </c>
      <c r="AC488" s="2" t="s">
        <v>2887</v>
      </c>
      <c r="AD488" s="4">
        <v>40</v>
      </c>
      <c r="AE488" s="4">
        <v>40</v>
      </c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233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233</v>
      </c>
      <c r="AW488" s="8" t="s">
        <v>233</v>
      </c>
      <c r="AX488" s="4" t="s">
        <v>233</v>
      </c>
      <c r="AY488" s="8" t="s">
        <v>233</v>
      </c>
      <c r="AZ488" s="7" t="s">
        <v>233</v>
      </c>
      <c r="BA488" s="7" t="s">
        <v>233</v>
      </c>
      <c r="BB488" s="7"/>
      <c r="BC488" s="4" t="s">
        <v>233</v>
      </c>
      <c r="BD488" s="8" t="s">
        <v>233</v>
      </c>
      <c r="BE488" s="4" t="s">
        <v>233</v>
      </c>
      <c r="BF488" s="8" t="s">
        <v>233</v>
      </c>
      <c r="BG488" s="7" t="s">
        <v>233</v>
      </c>
      <c r="BH488" s="7" t="s">
        <v>233</v>
      </c>
      <c r="BI488" s="7"/>
      <c r="BJ488" s="4">
        <v>7</v>
      </c>
      <c r="BK488" s="8">
        <v>288.61</v>
      </c>
      <c r="BL488" s="2" t="s">
        <v>2892</v>
      </c>
      <c r="BM488" s="7"/>
      <c r="BN488" s="7"/>
      <c r="BO488" s="4"/>
      <c r="BP488" s="8"/>
      <c r="BQ488" s="4"/>
      <c r="BR488" s="8"/>
      <c r="BS488" s="7"/>
      <c r="BT488" s="7"/>
      <c r="BU488" s="2" t="s">
        <v>2883</v>
      </c>
      <c r="BV488" s="2" t="s">
        <v>233</v>
      </c>
      <c r="BW488" s="2" t="s">
        <v>233</v>
      </c>
      <c r="BX488" s="2" t="s">
        <v>293</v>
      </c>
      <c r="BY488" s="2" t="s">
        <v>242</v>
      </c>
      <c r="BZ488" s="2" t="s">
        <v>230</v>
      </c>
      <c r="CA488" s="2" t="s">
        <v>2889</v>
      </c>
      <c r="CB488" s="2" t="s">
        <v>2209</v>
      </c>
      <c r="CC488" s="2" t="s">
        <v>245</v>
      </c>
      <c r="CD488" s="2" t="s">
        <v>233</v>
      </c>
      <c r="CE488" s="4">
        <v>40</v>
      </c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>
        <v>40</v>
      </c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>
        <v>110</v>
      </c>
      <c r="GD488" s="4">
        <v>87</v>
      </c>
      <c r="GE488" s="4">
        <v>82</v>
      </c>
      <c r="GF488" s="4">
        <v>77</v>
      </c>
      <c r="GG488" s="4">
        <v>67</v>
      </c>
      <c r="GH488" s="4">
        <v>60</v>
      </c>
      <c r="GI488" s="4">
        <v>52</v>
      </c>
      <c r="GJ488" s="4">
        <v>47</v>
      </c>
      <c r="GK488" s="4">
        <v>43</v>
      </c>
      <c r="GL488" s="4">
        <v>40</v>
      </c>
      <c r="GM488" s="4">
        <v>37</v>
      </c>
      <c r="GN488" s="4">
        <v>34</v>
      </c>
      <c r="GO488" s="4">
        <v>31</v>
      </c>
      <c r="GP488" s="4">
        <v>68</v>
      </c>
      <c r="GQ488" s="4">
        <v>65</v>
      </c>
      <c r="GR488" s="4">
        <v>62</v>
      </c>
      <c r="GS488" s="4">
        <v>59</v>
      </c>
      <c r="GT488" s="4">
        <v>56</v>
      </c>
      <c r="GU488" s="4">
        <v>53</v>
      </c>
      <c r="GV488" s="4">
        <v>50</v>
      </c>
      <c r="GW488" s="4">
        <v>47</v>
      </c>
      <c r="GX488" s="4">
        <v>44</v>
      </c>
      <c r="GY488" s="4">
        <v>41</v>
      </c>
      <c r="GZ488" s="4">
        <v>38</v>
      </c>
      <c r="HA488" s="4">
        <v>35</v>
      </c>
      <c r="HB488" s="4">
        <v>32</v>
      </c>
      <c r="HC488" s="19">
        <v>10</v>
      </c>
      <c r="HD488" s="19">
        <v>12.4</v>
      </c>
      <c r="HE488" s="19">
        <v>10.3</v>
      </c>
      <c r="HF488" s="19">
        <v>9.6</v>
      </c>
      <c r="HG488" s="19">
        <v>11.2</v>
      </c>
      <c r="HH488" s="19">
        <v>12</v>
      </c>
      <c r="HI488" s="19">
        <v>13</v>
      </c>
      <c r="HJ488" s="19">
        <v>15.7</v>
      </c>
      <c r="HK488" s="19">
        <v>14.3</v>
      </c>
      <c r="HL488" s="19">
        <v>13.3</v>
      </c>
      <c r="HM488" s="19">
        <v>12.3</v>
      </c>
      <c r="HN488" s="19">
        <v>11.3</v>
      </c>
      <c r="HO488" s="19">
        <v>10.3</v>
      </c>
      <c r="HP488" s="19">
        <v>22.7</v>
      </c>
      <c r="HQ488" s="19">
        <v>21.7</v>
      </c>
      <c r="HR488" s="19">
        <v>20.7</v>
      </c>
      <c r="HS488" s="19">
        <v>19.7</v>
      </c>
      <c r="HT488" s="19">
        <v>18.7</v>
      </c>
      <c r="HU488" s="19">
        <v>17.7</v>
      </c>
      <c r="HV488" s="19">
        <v>16.7</v>
      </c>
      <c r="HW488" s="19">
        <v>15.7</v>
      </c>
      <c r="HX488" s="19">
        <v>14.7</v>
      </c>
      <c r="HY488" s="19">
        <v>13.7</v>
      </c>
      <c r="HZ488" s="19">
        <v>12.7</v>
      </c>
      <c r="IA488" s="19">
        <v>11.7</v>
      </c>
      <c r="IB488" s="19">
        <v>10.7</v>
      </c>
    </row>
    <row r="489">
      <c r="A489" s="2" t="s">
        <v>2893</v>
      </c>
      <c r="B489" s="2" t="s">
        <v>825</v>
      </c>
      <c r="C489" s="2" t="s">
        <v>1411</v>
      </c>
      <c r="D489" s="2" t="s">
        <v>774</v>
      </c>
      <c r="E489" s="2" t="s">
        <v>827</v>
      </c>
      <c r="F489" s="2" t="s">
        <v>2872</v>
      </c>
      <c r="G489" s="2" t="s">
        <v>2873</v>
      </c>
      <c r="H489" s="2" t="s">
        <v>2874</v>
      </c>
      <c r="I489" s="2" t="s">
        <v>2882</v>
      </c>
      <c r="J489" s="2" t="s">
        <v>1052</v>
      </c>
      <c r="K489" s="2" t="s">
        <v>484</v>
      </c>
      <c r="L489" s="3">
        <v>27.6</v>
      </c>
      <c r="M489" s="3">
        <v>28.98</v>
      </c>
      <c r="N489" s="3">
        <v>59.99</v>
      </c>
      <c r="O489" s="2" t="s">
        <v>230</v>
      </c>
      <c r="P489" s="2" t="s">
        <v>597</v>
      </c>
      <c r="Q489" s="2" t="s">
        <v>232</v>
      </c>
      <c r="R489" s="2" t="s">
        <v>233</v>
      </c>
      <c r="S489" s="2" t="s">
        <v>2894</v>
      </c>
      <c r="T489" s="2" t="s">
        <v>2129</v>
      </c>
      <c r="U489" s="2" t="s">
        <v>781</v>
      </c>
      <c r="V489" s="2" t="s">
        <v>236</v>
      </c>
      <c r="W489" s="2" t="s">
        <v>288</v>
      </c>
      <c r="X489" s="2" t="s">
        <v>1214</v>
      </c>
      <c r="Y489" s="2" t="s">
        <v>2895</v>
      </c>
      <c r="Z489" s="4">
        <v>551</v>
      </c>
      <c r="AA489" s="4">
        <f>=ROUNDDOWN(137.75,0)</f>
      </c>
      <c r="AB489" s="5">
        <v>4</v>
      </c>
      <c r="AC489" s="2" t="s">
        <v>2462</v>
      </c>
      <c r="AD489" s="4">
        <v>180</v>
      </c>
      <c r="AE489" s="4">
        <v>180</v>
      </c>
      <c r="AF489" s="6">
        <v>64</v>
      </c>
      <c r="AG489" s="6">
        <v>47</v>
      </c>
      <c r="AH489" s="7">
        <v>1</v>
      </c>
      <c r="AI489" s="4"/>
      <c r="AJ489" s="4">
        <f>=ROUNDDOWN({0},0)</f>
      </c>
      <c r="AK489" s="5"/>
      <c r="AL489" s="2" t="s">
        <v>233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 t="s">
        <v>233</v>
      </c>
      <c r="BD489" s="8" t="s">
        <v>233</v>
      </c>
      <c r="BE489" s="4" t="s">
        <v>233</v>
      </c>
      <c r="BF489" s="8" t="s">
        <v>233</v>
      </c>
      <c r="BG489" s="7" t="s">
        <v>233</v>
      </c>
      <c r="BH489" s="7" t="s">
        <v>233</v>
      </c>
      <c r="BI489" s="7"/>
      <c r="BJ489" s="4">
        <v>19</v>
      </c>
      <c r="BK489" s="8">
        <v>571.35</v>
      </c>
      <c r="BL489" s="2" t="s">
        <v>373</v>
      </c>
      <c r="BM489" s="7"/>
      <c r="BN489" s="7"/>
      <c r="BO489" s="4"/>
      <c r="BP489" s="8"/>
      <c r="BQ489" s="4"/>
      <c r="BR489" s="8"/>
      <c r="BS489" s="7"/>
      <c r="BT489" s="7"/>
      <c r="BU489" s="2" t="s">
        <v>2883</v>
      </c>
      <c r="BV489" s="2" t="s">
        <v>233</v>
      </c>
      <c r="BW489" s="2" t="s">
        <v>233</v>
      </c>
      <c r="BX489" s="2" t="s">
        <v>293</v>
      </c>
      <c r="BY489" s="2" t="s">
        <v>242</v>
      </c>
      <c r="BZ489" s="2" t="s">
        <v>230</v>
      </c>
      <c r="CA489" s="2" t="s">
        <v>2896</v>
      </c>
      <c r="CB489" s="2" t="s">
        <v>2897</v>
      </c>
      <c r="CC489" s="2" t="s">
        <v>245</v>
      </c>
      <c r="CD489" s="2" t="s">
        <v>233</v>
      </c>
      <c r="CE489" s="4">
        <v>247</v>
      </c>
      <c r="CF489" s="4"/>
      <c r="CG489" s="4"/>
      <c r="CH489" s="4">
        <v>215</v>
      </c>
      <c r="CI489" s="4"/>
      <c r="CJ489" s="4"/>
      <c r="CK489" s="4"/>
      <c r="CL489" s="4">
        <v>89</v>
      </c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>
        <v>180</v>
      </c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>
        <v>559</v>
      </c>
      <c r="GD489" s="4">
        <v>513</v>
      </c>
      <c r="GE489" s="4">
        <v>507</v>
      </c>
      <c r="GF489" s="4">
        <v>501</v>
      </c>
      <c r="GG489" s="4">
        <v>489</v>
      </c>
      <c r="GH489" s="4">
        <v>475</v>
      </c>
      <c r="GI489" s="4">
        <v>461</v>
      </c>
      <c r="GJ489" s="4">
        <v>451</v>
      </c>
      <c r="GK489" s="4">
        <v>445</v>
      </c>
      <c r="GL489" s="4">
        <v>441</v>
      </c>
      <c r="GM489" s="4">
        <v>437</v>
      </c>
      <c r="GN489" s="4">
        <v>433</v>
      </c>
      <c r="GO489" s="4">
        <v>429</v>
      </c>
      <c r="GP489" s="4">
        <v>425</v>
      </c>
      <c r="GQ489" s="4">
        <v>421</v>
      </c>
      <c r="GR489" s="4">
        <v>417</v>
      </c>
      <c r="GS489" s="4">
        <v>593</v>
      </c>
      <c r="GT489" s="4">
        <v>589</v>
      </c>
      <c r="GU489" s="4">
        <v>585</v>
      </c>
      <c r="GV489" s="4">
        <v>581</v>
      </c>
      <c r="GW489" s="4">
        <v>577</v>
      </c>
      <c r="GX489" s="4">
        <v>573</v>
      </c>
      <c r="GY489" s="4">
        <v>569</v>
      </c>
      <c r="GZ489" s="4">
        <v>565</v>
      </c>
      <c r="HA489" s="4">
        <v>561</v>
      </c>
      <c r="HB489" s="4">
        <v>557</v>
      </c>
      <c r="HC489" s="19">
        <v>36</v>
      </c>
      <c r="HD489" s="19">
        <v>51.4</v>
      </c>
      <c r="HE489" s="19">
        <v>42.1</v>
      </c>
      <c r="HF489" s="19">
        <v>41.6</v>
      </c>
      <c r="HG489" s="19">
        <v>49</v>
      </c>
      <c r="HH489" s="19">
        <v>60.3</v>
      </c>
      <c r="HI489" s="19">
        <v>80.8</v>
      </c>
      <c r="HJ489" s="19">
        <v>135.5</v>
      </c>
      <c r="HK489" s="19">
        <v>133.9</v>
      </c>
      <c r="HL489" s="19">
        <v>132.9</v>
      </c>
      <c r="HM489" s="19">
        <v>131.9</v>
      </c>
      <c r="HN489" s="19">
        <v>130.9</v>
      </c>
      <c r="HO489" s="19">
        <v>129.9</v>
      </c>
      <c r="HP489" s="19">
        <v>128.9</v>
      </c>
      <c r="HQ489" s="19">
        <v>127.9</v>
      </c>
      <c r="HR489" s="19">
        <v>126.9</v>
      </c>
      <c r="HS489" s="19">
        <v>155.9</v>
      </c>
      <c r="HT489" s="19">
        <v>154.9</v>
      </c>
      <c r="HU489" s="19">
        <v>153.9</v>
      </c>
      <c r="HV489" s="19">
        <v>152.9</v>
      </c>
      <c r="HW489" s="19">
        <v>151.9</v>
      </c>
      <c r="HX489" s="19">
        <v>150.9</v>
      </c>
      <c r="HY489" s="19">
        <v>149.9</v>
      </c>
      <c r="HZ489" s="19">
        <v>148.9</v>
      </c>
      <c r="IA489" s="19">
        <v>147.9</v>
      </c>
      <c r="IB489" s="19">
        <v>146.9</v>
      </c>
    </row>
    <row r="490">
      <c r="A490" s="2" t="s">
        <v>2898</v>
      </c>
      <c r="B490" s="2" t="s">
        <v>825</v>
      </c>
      <c r="C490" s="2" t="s">
        <v>1411</v>
      </c>
      <c r="D490" s="2" t="s">
        <v>261</v>
      </c>
      <c r="E490" s="2" t="s">
        <v>603</v>
      </c>
      <c r="F490" s="2" t="s">
        <v>2872</v>
      </c>
      <c r="G490" s="2" t="s">
        <v>2873</v>
      </c>
      <c r="H490" s="2" t="s">
        <v>2874</v>
      </c>
      <c r="I490" s="2" t="s">
        <v>2875</v>
      </c>
      <c r="J490" s="2" t="s">
        <v>1052</v>
      </c>
      <c r="K490" s="2" t="s">
        <v>2800</v>
      </c>
      <c r="L490" s="3">
        <v>31.05</v>
      </c>
      <c r="M490" s="3">
        <v>32.6</v>
      </c>
      <c r="N490" s="3">
        <v>59.99</v>
      </c>
      <c r="O490" s="2" t="s">
        <v>230</v>
      </c>
      <c r="P490" s="2" t="s">
        <v>231</v>
      </c>
      <c r="Q490" s="2" t="s">
        <v>232</v>
      </c>
      <c r="R490" s="2" t="s">
        <v>233</v>
      </c>
      <c r="S490" s="2" t="s">
        <v>2899</v>
      </c>
      <c r="T490" s="2" t="s">
        <v>2129</v>
      </c>
      <c r="U490" s="2" t="s">
        <v>781</v>
      </c>
      <c r="V490" s="2" t="s">
        <v>236</v>
      </c>
      <c r="W490" s="2" t="s">
        <v>288</v>
      </c>
      <c r="X490" s="2" t="s">
        <v>1214</v>
      </c>
      <c r="Y490" s="2" t="s">
        <v>2900</v>
      </c>
      <c r="Z490" s="4">
        <v>74</v>
      </c>
      <c r="AA490" s="4">
        <f>=ROUNDDOWN(24.6666666666667,0)</f>
      </c>
      <c r="AB490" s="5">
        <v>3</v>
      </c>
      <c r="AC490" s="2" t="s">
        <v>2901</v>
      </c>
      <c r="AD490" s="4">
        <v>75</v>
      </c>
      <c r="AE490" s="4">
        <v>75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233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233</v>
      </c>
      <c r="BD490" s="8" t="s">
        <v>233</v>
      </c>
      <c r="BE490" s="4" t="s">
        <v>233</v>
      </c>
      <c r="BF490" s="8" t="s">
        <v>233</v>
      </c>
      <c r="BG490" s="7" t="s">
        <v>233</v>
      </c>
      <c r="BH490" s="7" t="s">
        <v>233</v>
      </c>
      <c r="BI490" s="7"/>
      <c r="BJ490" s="4">
        <v>33</v>
      </c>
      <c r="BK490" s="8">
        <v>1095.56</v>
      </c>
      <c r="BL490" s="2" t="s">
        <v>2902</v>
      </c>
      <c r="BM490" s="7"/>
      <c r="BN490" s="7"/>
      <c r="BO490" s="4"/>
      <c r="BP490" s="8"/>
      <c r="BQ490" s="4"/>
      <c r="BR490" s="8"/>
      <c r="BS490" s="7"/>
      <c r="BT490" s="7"/>
      <c r="BU490" s="2" t="s">
        <v>2878</v>
      </c>
      <c r="BV490" s="2" t="s">
        <v>233</v>
      </c>
      <c r="BW490" s="2" t="s">
        <v>233</v>
      </c>
      <c r="BX490" s="2" t="s">
        <v>293</v>
      </c>
      <c r="BY490" s="2" t="s">
        <v>242</v>
      </c>
      <c r="BZ490" s="2" t="s">
        <v>230</v>
      </c>
      <c r="CA490" s="2" t="s">
        <v>2903</v>
      </c>
      <c r="CB490" s="2" t="s">
        <v>2904</v>
      </c>
      <c r="CC490" s="2" t="s">
        <v>245</v>
      </c>
      <c r="CD490" s="2" t="s">
        <v>233</v>
      </c>
      <c r="CE490" s="4">
        <v>74</v>
      </c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>
        <v>75</v>
      </c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>
        <v>84</v>
      </c>
      <c r="GD490" s="4">
        <v>68</v>
      </c>
      <c r="GE490" s="4">
        <v>63</v>
      </c>
      <c r="GF490" s="4">
        <v>57</v>
      </c>
      <c r="GG490" s="4">
        <v>45</v>
      </c>
      <c r="GH490" s="4">
        <v>35</v>
      </c>
      <c r="GI490" s="4">
        <v>24</v>
      </c>
      <c r="GJ490" s="4">
        <v>17</v>
      </c>
      <c r="GK490" s="4">
        <v>12</v>
      </c>
      <c r="GL490" s="4">
        <v>9</v>
      </c>
      <c r="GM490" s="4">
        <v>6</v>
      </c>
      <c r="GN490" s="4">
        <v>3</v>
      </c>
      <c r="GO490" s="4">
        <v>75</v>
      </c>
      <c r="GP490" s="4">
        <v>72</v>
      </c>
      <c r="GQ490" s="4">
        <v>69</v>
      </c>
      <c r="GR490" s="4">
        <v>66</v>
      </c>
      <c r="GS490" s="4">
        <v>63</v>
      </c>
      <c r="GT490" s="4">
        <v>60</v>
      </c>
      <c r="GU490" s="4">
        <v>57</v>
      </c>
      <c r="GV490" s="4">
        <v>54</v>
      </c>
      <c r="GW490" s="4">
        <v>51</v>
      </c>
      <c r="GX490" s="4">
        <v>48</v>
      </c>
      <c r="GY490" s="4">
        <v>45</v>
      </c>
      <c r="GZ490" s="4">
        <v>42</v>
      </c>
      <c r="HA490" s="4">
        <v>39</v>
      </c>
      <c r="HB490" s="4">
        <v>40</v>
      </c>
      <c r="HC490" s="19">
        <v>8.4</v>
      </c>
      <c r="HD490" s="19">
        <v>8.5</v>
      </c>
      <c r="HE490" s="19">
        <v>6.3</v>
      </c>
      <c r="HF490" s="19">
        <v>5.7</v>
      </c>
      <c r="HG490" s="19">
        <v>5.6</v>
      </c>
      <c r="HH490" s="19">
        <v>5.8</v>
      </c>
      <c r="HI490" s="19">
        <v>6</v>
      </c>
      <c r="HJ490" s="19">
        <v>4.3</v>
      </c>
      <c r="HK490" s="19">
        <v>4</v>
      </c>
      <c r="HL490" s="19">
        <v>3</v>
      </c>
      <c r="HM490" s="19">
        <v>2</v>
      </c>
      <c r="HN490" s="19">
        <v>1</v>
      </c>
      <c r="HO490" s="19">
        <v>25</v>
      </c>
      <c r="HP490" s="19">
        <v>24</v>
      </c>
      <c r="HQ490" s="19">
        <v>23</v>
      </c>
      <c r="HR490" s="19">
        <v>22</v>
      </c>
      <c r="HS490" s="19">
        <v>21</v>
      </c>
      <c r="HT490" s="19">
        <v>20</v>
      </c>
      <c r="HU490" s="19">
        <v>19</v>
      </c>
      <c r="HV490" s="19">
        <v>18</v>
      </c>
      <c r="HW490" s="19">
        <v>17</v>
      </c>
      <c r="HX490" s="19">
        <v>16</v>
      </c>
      <c r="HY490" s="19">
        <v>15</v>
      </c>
      <c r="HZ490" s="19">
        <v>14</v>
      </c>
      <c r="IA490" s="19">
        <v>13</v>
      </c>
      <c r="IB490" s="19">
        <v>13.3</v>
      </c>
    </row>
    <row r="491">
      <c r="A491" s="2" t="s">
        <v>2905</v>
      </c>
      <c r="B491" s="2" t="s">
        <v>825</v>
      </c>
      <c r="C491" s="2" t="s">
        <v>1411</v>
      </c>
      <c r="D491" s="2" t="s">
        <v>261</v>
      </c>
      <c r="E491" s="2" t="s">
        <v>603</v>
      </c>
      <c r="F491" s="2" t="s">
        <v>2872</v>
      </c>
      <c r="G491" s="2" t="s">
        <v>2873</v>
      </c>
      <c r="H491" s="2" t="s">
        <v>2874</v>
      </c>
      <c r="I491" s="2" t="s">
        <v>2875</v>
      </c>
      <c r="J491" s="2" t="s">
        <v>1052</v>
      </c>
      <c r="K491" s="2" t="s">
        <v>1500</v>
      </c>
      <c r="L491" s="3">
        <v>31.05</v>
      </c>
      <c r="M491" s="3">
        <v>32.6</v>
      </c>
      <c r="N491" s="3">
        <v>59.99</v>
      </c>
      <c r="O491" s="2" t="s">
        <v>230</v>
      </c>
      <c r="P491" s="2" t="s">
        <v>231</v>
      </c>
      <c r="Q491" s="2" t="s">
        <v>232</v>
      </c>
      <c r="R491" s="2" t="s">
        <v>233</v>
      </c>
      <c r="S491" s="2" t="s">
        <v>2906</v>
      </c>
      <c r="T491" s="2" t="s">
        <v>2129</v>
      </c>
      <c r="U491" s="2" t="s">
        <v>781</v>
      </c>
      <c r="V491" s="2" t="s">
        <v>236</v>
      </c>
      <c r="W491" s="2" t="s">
        <v>288</v>
      </c>
      <c r="X491" s="2" t="s">
        <v>1214</v>
      </c>
      <c r="Y491" s="2" t="s">
        <v>2900</v>
      </c>
      <c r="Z491" s="4">
        <v>86</v>
      </c>
      <c r="AA491" s="4">
        <f>=ROUNDDOWN(28.6666666666667,0)</f>
      </c>
      <c r="AB491" s="5">
        <v>3</v>
      </c>
      <c r="AC491" s="2" t="s">
        <v>233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233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233</v>
      </c>
      <c r="AW491" s="8" t="s">
        <v>233</v>
      </c>
      <c r="AX491" s="4" t="s">
        <v>233</v>
      </c>
      <c r="AY491" s="8" t="s">
        <v>233</v>
      </c>
      <c r="AZ491" s="7" t="s">
        <v>233</v>
      </c>
      <c r="BA491" s="7" t="s">
        <v>233</v>
      </c>
      <c r="BB491" s="7"/>
      <c r="BC491" s="4" t="s">
        <v>233</v>
      </c>
      <c r="BD491" s="8" t="s">
        <v>233</v>
      </c>
      <c r="BE491" s="4" t="s">
        <v>233</v>
      </c>
      <c r="BF491" s="8" t="s">
        <v>233</v>
      </c>
      <c r="BG491" s="7" t="s">
        <v>233</v>
      </c>
      <c r="BH491" s="7" t="s">
        <v>233</v>
      </c>
      <c r="BI491" s="7"/>
      <c r="BJ491" s="4">
        <v>10</v>
      </c>
      <c r="BK491" s="8">
        <v>333.73</v>
      </c>
      <c r="BL491" s="2" t="s">
        <v>2907</v>
      </c>
      <c r="BM491" s="7"/>
      <c r="BN491" s="7"/>
      <c r="BO491" s="4"/>
      <c r="BP491" s="8"/>
      <c r="BQ491" s="4"/>
      <c r="BR491" s="8"/>
      <c r="BS491" s="7"/>
      <c r="BT491" s="7"/>
      <c r="BU491" s="2" t="s">
        <v>2878</v>
      </c>
      <c r="BV491" s="2" t="s">
        <v>233</v>
      </c>
      <c r="BW491" s="2" t="s">
        <v>233</v>
      </c>
      <c r="BX491" s="2" t="s">
        <v>293</v>
      </c>
      <c r="BY491" s="2" t="s">
        <v>242</v>
      </c>
      <c r="BZ491" s="2" t="s">
        <v>230</v>
      </c>
      <c r="CA491" s="2" t="s">
        <v>2903</v>
      </c>
      <c r="CB491" s="2" t="s">
        <v>2908</v>
      </c>
      <c r="CC491" s="2" t="s">
        <v>245</v>
      </c>
      <c r="CD491" s="2" t="s">
        <v>233</v>
      </c>
      <c r="CE491" s="4">
        <v>86</v>
      </c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>
        <v>91</v>
      </c>
      <c r="GD491" s="4">
        <v>76</v>
      </c>
      <c r="GE491" s="4">
        <v>70</v>
      </c>
      <c r="GF491" s="4">
        <v>64</v>
      </c>
      <c r="GG491" s="4">
        <v>52</v>
      </c>
      <c r="GH491" s="4">
        <v>42</v>
      </c>
      <c r="GI491" s="4">
        <v>31</v>
      </c>
      <c r="GJ491" s="4">
        <v>24</v>
      </c>
      <c r="GK491" s="4">
        <v>19</v>
      </c>
      <c r="GL491" s="4">
        <v>16</v>
      </c>
      <c r="GM491" s="4">
        <v>13</v>
      </c>
      <c r="GN491" s="4">
        <v>10</v>
      </c>
      <c r="GO491" s="4">
        <v>7</v>
      </c>
      <c r="GP491" s="4">
        <v>4</v>
      </c>
      <c r="GQ491" s="4">
        <v>1</v>
      </c>
      <c r="GR491" s="4"/>
      <c r="GS491" s="4"/>
      <c r="GT491" s="4"/>
      <c r="GU491" s="4"/>
      <c r="GV491" s="4">
        <v>77</v>
      </c>
      <c r="GW491" s="4">
        <v>69</v>
      </c>
      <c r="GX491" s="4">
        <v>66</v>
      </c>
      <c r="GY491" s="4">
        <v>63</v>
      </c>
      <c r="GZ491" s="4">
        <v>60</v>
      </c>
      <c r="HA491" s="4">
        <v>57</v>
      </c>
      <c r="HB491" s="4">
        <v>54</v>
      </c>
      <c r="HC491" s="19">
        <v>9.1</v>
      </c>
      <c r="HD491" s="19">
        <v>9.5</v>
      </c>
      <c r="HE491" s="19">
        <v>7</v>
      </c>
      <c r="HF491" s="19">
        <v>6.4</v>
      </c>
      <c r="HG491" s="19">
        <v>6.5</v>
      </c>
      <c r="HH491" s="19">
        <v>7</v>
      </c>
      <c r="HI491" s="19">
        <v>7.8</v>
      </c>
      <c r="HJ491" s="19">
        <v>6</v>
      </c>
      <c r="HK491" s="19">
        <v>6.3</v>
      </c>
      <c r="HL491" s="19">
        <v>5.3</v>
      </c>
      <c r="HM491" s="19">
        <v>4.3</v>
      </c>
      <c r="HN491" s="19">
        <v>3.3</v>
      </c>
      <c r="HO491" s="19">
        <v>3.5</v>
      </c>
      <c r="HP491" s="19">
        <v>2</v>
      </c>
      <c r="HQ491" s="19">
        <v>0.5</v>
      </c>
      <c r="HR491" s="20">
        <v>0</v>
      </c>
      <c r="HS491" s="20">
        <v>0</v>
      </c>
      <c r="HT491" s="20">
        <v>0</v>
      </c>
      <c r="HU491" s="20">
        <v>0</v>
      </c>
      <c r="HV491" s="19">
        <v>19.3</v>
      </c>
      <c r="HW491" s="19">
        <v>23</v>
      </c>
      <c r="HX491" s="19">
        <v>22</v>
      </c>
      <c r="HY491" s="19">
        <v>21</v>
      </c>
      <c r="HZ491" s="19">
        <v>20</v>
      </c>
      <c r="IA491" s="19">
        <v>19</v>
      </c>
      <c r="IB491" s="19">
        <v>18</v>
      </c>
    </row>
    <row r="492">
      <c r="A492" s="2" t="s">
        <v>2909</v>
      </c>
      <c r="B492" s="2" t="s">
        <v>825</v>
      </c>
      <c r="C492" s="2" t="s">
        <v>1411</v>
      </c>
      <c r="D492" s="2" t="s">
        <v>261</v>
      </c>
      <c r="E492" s="2" t="s">
        <v>603</v>
      </c>
      <c r="F492" s="2" t="s">
        <v>2872</v>
      </c>
      <c r="G492" s="2" t="s">
        <v>2873</v>
      </c>
      <c r="H492" s="2" t="s">
        <v>2874</v>
      </c>
      <c r="I492" s="2" t="s">
        <v>2875</v>
      </c>
      <c r="J492" s="2" t="s">
        <v>275</v>
      </c>
      <c r="K492" s="2" t="s">
        <v>1500</v>
      </c>
      <c r="L492" s="3">
        <v>40.5</v>
      </c>
      <c r="M492" s="3">
        <v>42.52</v>
      </c>
      <c r="N492" s="3">
        <v>79.99</v>
      </c>
      <c r="O492" s="2" t="s">
        <v>230</v>
      </c>
      <c r="P492" s="2" t="s">
        <v>231</v>
      </c>
      <c r="Q492" s="2" t="s">
        <v>232</v>
      </c>
      <c r="R492" s="2" t="s">
        <v>233</v>
      </c>
      <c r="S492" s="2" t="s">
        <v>2906</v>
      </c>
      <c r="T492" s="2" t="s">
        <v>2129</v>
      </c>
      <c r="U492" s="2" t="s">
        <v>287</v>
      </c>
      <c r="V492" s="2" t="s">
        <v>236</v>
      </c>
      <c r="W492" s="2" t="s">
        <v>288</v>
      </c>
      <c r="X492" s="2" t="s">
        <v>1214</v>
      </c>
      <c r="Y492" s="2" t="s">
        <v>2900</v>
      </c>
      <c r="Z492" s="4">
        <v>186</v>
      </c>
      <c r="AA492" s="4">
        <f>=ROUNDDOWN(37.2,0)</f>
      </c>
      <c r="AB492" s="5">
        <v>5</v>
      </c>
      <c r="AC492" s="2" t="s">
        <v>233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233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233</v>
      </c>
      <c r="AW492" s="8" t="s">
        <v>233</v>
      </c>
      <c r="AX492" s="4" t="s">
        <v>233</v>
      </c>
      <c r="AY492" s="8" t="s">
        <v>233</v>
      </c>
      <c r="AZ492" s="7" t="s">
        <v>233</v>
      </c>
      <c r="BA492" s="7" t="s">
        <v>233</v>
      </c>
      <c r="BB492" s="7"/>
      <c r="BC492" s="4" t="s">
        <v>233</v>
      </c>
      <c r="BD492" s="8" t="s">
        <v>233</v>
      </c>
      <c r="BE492" s="4" t="s">
        <v>233</v>
      </c>
      <c r="BF492" s="8" t="s">
        <v>233</v>
      </c>
      <c r="BG492" s="7" t="s">
        <v>233</v>
      </c>
      <c r="BH492" s="7" t="s">
        <v>233</v>
      </c>
      <c r="BI492" s="7"/>
      <c r="BJ492" s="4">
        <v>26</v>
      </c>
      <c r="BK492" s="8">
        <v>1153.07</v>
      </c>
      <c r="BL492" s="2" t="s">
        <v>2162</v>
      </c>
      <c r="BM492" s="7"/>
      <c r="BN492" s="7"/>
      <c r="BO492" s="4"/>
      <c r="BP492" s="8"/>
      <c r="BQ492" s="4"/>
      <c r="BR492" s="8"/>
      <c r="BS492" s="7"/>
      <c r="BT492" s="7"/>
      <c r="BU492" s="2" t="s">
        <v>2878</v>
      </c>
      <c r="BV492" s="2" t="s">
        <v>233</v>
      </c>
      <c r="BW492" s="2" t="s">
        <v>233</v>
      </c>
      <c r="BX492" s="2" t="s">
        <v>293</v>
      </c>
      <c r="BY492" s="2" t="s">
        <v>242</v>
      </c>
      <c r="BZ492" s="2" t="s">
        <v>230</v>
      </c>
      <c r="CA492" s="2" t="s">
        <v>2903</v>
      </c>
      <c r="CB492" s="2" t="s">
        <v>1920</v>
      </c>
      <c r="CC492" s="2" t="s">
        <v>245</v>
      </c>
      <c r="CD492" s="2" t="s">
        <v>233</v>
      </c>
      <c r="CE492" s="4">
        <v>186</v>
      </c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>
        <v>191</v>
      </c>
      <c r="GD492" s="4">
        <v>169</v>
      </c>
      <c r="GE492" s="4">
        <v>160</v>
      </c>
      <c r="GF492" s="4">
        <v>151</v>
      </c>
      <c r="GG492" s="4">
        <v>130</v>
      </c>
      <c r="GH492" s="4">
        <v>115</v>
      </c>
      <c r="GI492" s="4">
        <v>98</v>
      </c>
      <c r="GJ492" s="4">
        <v>87</v>
      </c>
      <c r="GK492" s="4">
        <v>80</v>
      </c>
      <c r="GL492" s="4">
        <v>75</v>
      </c>
      <c r="GM492" s="4">
        <v>70</v>
      </c>
      <c r="GN492" s="4">
        <v>65</v>
      </c>
      <c r="GO492" s="4">
        <v>60</v>
      </c>
      <c r="GP492" s="4">
        <v>55</v>
      </c>
      <c r="GQ492" s="4">
        <v>50</v>
      </c>
      <c r="GR492" s="4">
        <v>45</v>
      </c>
      <c r="GS492" s="4">
        <v>40</v>
      </c>
      <c r="GT492" s="4">
        <v>35</v>
      </c>
      <c r="GU492" s="4">
        <v>30</v>
      </c>
      <c r="GV492" s="4">
        <v>100</v>
      </c>
      <c r="GW492" s="4">
        <v>95</v>
      </c>
      <c r="GX492" s="4">
        <v>90</v>
      </c>
      <c r="GY492" s="4">
        <v>85</v>
      </c>
      <c r="GZ492" s="4">
        <v>80</v>
      </c>
      <c r="HA492" s="4">
        <v>75</v>
      </c>
      <c r="HB492" s="4">
        <v>70</v>
      </c>
      <c r="HC492" s="19">
        <v>12.7</v>
      </c>
      <c r="HD492" s="19">
        <v>12.1</v>
      </c>
      <c r="HE492" s="19">
        <v>10</v>
      </c>
      <c r="HF492" s="19">
        <v>9.4</v>
      </c>
      <c r="HG492" s="19">
        <v>10.8</v>
      </c>
      <c r="HH492" s="19">
        <v>11.5</v>
      </c>
      <c r="HI492" s="19">
        <v>14</v>
      </c>
      <c r="HJ492" s="19">
        <v>14.5</v>
      </c>
      <c r="HK492" s="19">
        <v>16</v>
      </c>
      <c r="HL492" s="19">
        <v>15</v>
      </c>
      <c r="HM492" s="19">
        <v>14</v>
      </c>
      <c r="HN492" s="19">
        <v>13</v>
      </c>
      <c r="HO492" s="19">
        <v>12</v>
      </c>
      <c r="HP492" s="19">
        <v>11</v>
      </c>
      <c r="HQ492" s="19">
        <v>10</v>
      </c>
      <c r="HR492" s="19">
        <v>9</v>
      </c>
      <c r="HS492" s="19">
        <v>8</v>
      </c>
      <c r="HT492" s="19">
        <v>7</v>
      </c>
      <c r="HU492" s="19">
        <v>6</v>
      </c>
      <c r="HV492" s="19">
        <v>20</v>
      </c>
      <c r="HW492" s="19">
        <v>19</v>
      </c>
      <c r="HX492" s="19">
        <v>18</v>
      </c>
      <c r="HY492" s="19">
        <v>17</v>
      </c>
      <c r="HZ492" s="19">
        <v>16</v>
      </c>
      <c r="IA492" s="19">
        <v>15</v>
      </c>
      <c r="IB492" s="19">
        <v>14</v>
      </c>
    </row>
    <row r="493">
      <c r="A493" s="2" t="s">
        <v>2910</v>
      </c>
      <c r="B493" s="2" t="s">
        <v>825</v>
      </c>
      <c r="C493" s="2" t="s">
        <v>1411</v>
      </c>
      <c r="D493" s="2" t="s">
        <v>774</v>
      </c>
      <c r="E493" s="2" t="s">
        <v>827</v>
      </c>
      <c r="F493" s="2" t="s">
        <v>2872</v>
      </c>
      <c r="G493" s="2" t="s">
        <v>2873</v>
      </c>
      <c r="H493" s="2" t="s">
        <v>2874</v>
      </c>
      <c r="I493" s="2" t="s">
        <v>2882</v>
      </c>
      <c r="J493" s="2" t="s">
        <v>1052</v>
      </c>
      <c r="K493" s="2" t="s">
        <v>300</v>
      </c>
      <c r="L493" s="3">
        <v>27.6</v>
      </c>
      <c r="M493" s="3">
        <v>28.98</v>
      </c>
      <c r="N493" s="3">
        <v>59.99</v>
      </c>
      <c r="O493" s="2" t="s">
        <v>230</v>
      </c>
      <c r="P493" s="2" t="s">
        <v>231</v>
      </c>
      <c r="Q493" s="2" t="s">
        <v>232</v>
      </c>
      <c r="R493" s="2" t="s">
        <v>233</v>
      </c>
      <c r="S493" s="2" t="s">
        <v>2911</v>
      </c>
      <c r="T493" s="2" t="s">
        <v>2129</v>
      </c>
      <c r="U493" s="2" t="s">
        <v>781</v>
      </c>
      <c r="V493" s="2" t="s">
        <v>236</v>
      </c>
      <c r="W493" s="2" t="s">
        <v>288</v>
      </c>
      <c r="X493" s="2" t="s">
        <v>1214</v>
      </c>
      <c r="Y493" s="2" t="s">
        <v>2912</v>
      </c>
      <c r="Z493" s="4">
        <v>112</v>
      </c>
      <c r="AA493" s="4">
        <f>=ROUNDDOWN(37.3333333333333,0)</f>
      </c>
      <c r="AB493" s="5">
        <v>3</v>
      </c>
      <c r="AC493" s="2" t="s">
        <v>2462</v>
      </c>
      <c r="AD493" s="4">
        <v>130</v>
      </c>
      <c r="AE493" s="4">
        <v>130</v>
      </c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233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233</v>
      </c>
      <c r="AW493" s="8" t="s">
        <v>233</v>
      </c>
      <c r="AX493" s="4" t="s">
        <v>233</v>
      </c>
      <c r="AY493" s="8" t="s">
        <v>233</v>
      </c>
      <c r="AZ493" s="7" t="s">
        <v>233</v>
      </c>
      <c r="BA493" s="7" t="s">
        <v>233</v>
      </c>
      <c r="BB493" s="7"/>
      <c r="BC493" s="4" t="s">
        <v>233</v>
      </c>
      <c r="BD493" s="8" t="s">
        <v>233</v>
      </c>
      <c r="BE493" s="4" t="s">
        <v>233</v>
      </c>
      <c r="BF493" s="8" t="s">
        <v>233</v>
      </c>
      <c r="BG493" s="7" t="s">
        <v>233</v>
      </c>
      <c r="BH493" s="7" t="s">
        <v>233</v>
      </c>
      <c r="BI493" s="7"/>
      <c r="BJ493" s="4">
        <v>9</v>
      </c>
      <c r="BK493" s="8">
        <v>274.57</v>
      </c>
      <c r="BL493" s="2" t="s">
        <v>2913</v>
      </c>
      <c r="BM493" s="7"/>
      <c r="BN493" s="7"/>
      <c r="BO493" s="4"/>
      <c r="BP493" s="8"/>
      <c r="BQ493" s="4"/>
      <c r="BR493" s="8"/>
      <c r="BS493" s="7"/>
      <c r="BT493" s="7"/>
      <c r="BU493" s="2" t="s">
        <v>2883</v>
      </c>
      <c r="BV493" s="2" t="s">
        <v>233</v>
      </c>
      <c r="BW493" s="2" t="s">
        <v>233</v>
      </c>
      <c r="BX493" s="2" t="s">
        <v>293</v>
      </c>
      <c r="BY493" s="2" t="s">
        <v>242</v>
      </c>
      <c r="BZ493" s="2" t="s">
        <v>230</v>
      </c>
      <c r="CA493" s="2" t="s">
        <v>2896</v>
      </c>
      <c r="CB493" s="2" t="s">
        <v>2914</v>
      </c>
      <c r="CC493" s="2" t="s">
        <v>245</v>
      </c>
      <c r="CD493" s="2" t="s">
        <v>233</v>
      </c>
      <c r="CE493" s="4">
        <v>112</v>
      </c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>
        <v>130</v>
      </c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>
        <v>190</v>
      </c>
      <c r="GD493" s="4">
        <v>166</v>
      </c>
      <c r="GE493" s="4">
        <v>161</v>
      </c>
      <c r="GF493" s="4">
        <v>156</v>
      </c>
      <c r="GG493" s="4">
        <v>146</v>
      </c>
      <c r="GH493" s="4">
        <v>134</v>
      </c>
      <c r="GI493" s="4">
        <v>120</v>
      </c>
      <c r="GJ493" s="4">
        <v>112</v>
      </c>
      <c r="GK493" s="4">
        <v>106</v>
      </c>
      <c r="GL493" s="4">
        <v>103</v>
      </c>
      <c r="GM493" s="4">
        <v>100</v>
      </c>
      <c r="GN493" s="4">
        <v>97</v>
      </c>
      <c r="GO493" s="4">
        <v>94</v>
      </c>
      <c r="GP493" s="4">
        <v>91</v>
      </c>
      <c r="GQ493" s="4">
        <v>88</v>
      </c>
      <c r="GR493" s="4">
        <v>85</v>
      </c>
      <c r="GS493" s="4">
        <v>212</v>
      </c>
      <c r="GT493" s="4">
        <v>209</v>
      </c>
      <c r="GU493" s="4">
        <v>206</v>
      </c>
      <c r="GV493" s="4">
        <v>203</v>
      </c>
      <c r="GW493" s="4">
        <v>200</v>
      </c>
      <c r="GX493" s="4">
        <v>197</v>
      </c>
      <c r="GY493" s="4">
        <v>194</v>
      </c>
      <c r="GZ493" s="4">
        <v>191</v>
      </c>
      <c r="HA493" s="4">
        <v>188</v>
      </c>
      <c r="HB493" s="4">
        <v>185</v>
      </c>
      <c r="HC493" s="19">
        <v>17.3</v>
      </c>
      <c r="HD493" s="19">
        <v>20.8</v>
      </c>
      <c r="HE493" s="19">
        <v>16.1</v>
      </c>
      <c r="HF493" s="19">
        <v>14.2</v>
      </c>
      <c r="HG493" s="19">
        <v>14.6</v>
      </c>
      <c r="HH493" s="19">
        <v>16.8</v>
      </c>
      <c r="HI493" s="19">
        <v>24</v>
      </c>
      <c r="HJ493" s="19">
        <v>28</v>
      </c>
      <c r="HK493" s="19">
        <v>35.3</v>
      </c>
      <c r="HL493" s="19">
        <v>34.3</v>
      </c>
      <c r="HM493" s="19">
        <v>33.3</v>
      </c>
      <c r="HN493" s="19">
        <v>32.3</v>
      </c>
      <c r="HO493" s="19">
        <v>31.3</v>
      </c>
      <c r="HP493" s="19">
        <v>30.3</v>
      </c>
      <c r="HQ493" s="19">
        <v>29.3</v>
      </c>
      <c r="HR493" s="19">
        <v>28.3</v>
      </c>
      <c r="HS493" s="19">
        <v>70.7</v>
      </c>
      <c r="HT493" s="19">
        <v>69.7</v>
      </c>
      <c r="HU493" s="19">
        <v>68.7</v>
      </c>
      <c r="HV493" s="19">
        <v>67.7</v>
      </c>
      <c r="HW493" s="19">
        <v>66.7</v>
      </c>
      <c r="HX493" s="19">
        <v>65.7</v>
      </c>
      <c r="HY493" s="19">
        <v>64.7</v>
      </c>
      <c r="HZ493" s="19">
        <v>63.7</v>
      </c>
      <c r="IA493" s="19">
        <v>62.7</v>
      </c>
      <c r="IB493" s="19">
        <v>61.7</v>
      </c>
    </row>
    <row r="494">
      <c r="A494" s="2" t="s">
        <v>2915</v>
      </c>
      <c r="B494" s="2" t="s">
        <v>825</v>
      </c>
      <c r="C494" s="2" t="s">
        <v>1411</v>
      </c>
      <c r="D494" s="2" t="s">
        <v>774</v>
      </c>
      <c r="E494" s="2" t="s">
        <v>827</v>
      </c>
      <c r="F494" s="2" t="s">
        <v>2872</v>
      </c>
      <c r="G494" s="2" t="s">
        <v>2873</v>
      </c>
      <c r="H494" s="2" t="s">
        <v>2874</v>
      </c>
      <c r="I494" s="2" t="s">
        <v>2882</v>
      </c>
      <c r="J494" s="2" t="s">
        <v>275</v>
      </c>
      <c r="K494" s="2" t="s">
        <v>300</v>
      </c>
      <c r="L494" s="3">
        <v>36.75</v>
      </c>
      <c r="M494" s="3">
        <v>38.59</v>
      </c>
      <c r="N494" s="3">
        <v>74.99</v>
      </c>
      <c r="O494" s="2" t="s">
        <v>230</v>
      </c>
      <c r="P494" s="2" t="s">
        <v>231</v>
      </c>
      <c r="Q494" s="2" t="s">
        <v>232</v>
      </c>
      <c r="R494" s="2" t="s">
        <v>233</v>
      </c>
      <c r="S494" s="2" t="s">
        <v>2911</v>
      </c>
      <c r="T494" s="2" t="s">
        <v>2129</v>
      </c>
      <c r="U494" s="2" t="s">
        <v>287</v>
      </c>
      <c r="V494" s="2" t="s">
        <v>236</v>
      </c>
      <c r="W494" s="2" t="s">
        <v>288</v>
      </c>
      <c r="X494" s="2" t="s">
        <v>1214</v>
      </c>
      <c r="Y494" s="2" t="s">
        <v>2916</v>
      </c>
      <c r="Z494" s="4">
        <v>131</v>
      </c>
      <c r="AA494" s="4">
        <f>=ROUNDDOWN(43.6666666666667,0)</f>
      </c>
      <c r="AB494" s="5">
        <v>3</v>
      </c>
      <c r="AC494" s="2" t="s">
        <v>2462</v>
      </c>
      <c r="AD494" s="4">
        <v>40</v>
      </c>
      <c r="AE494" s="4">
        <v>40</v>
      </c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233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233</v>
      </c>
      <c r="AW494" s="8" t="s">
        <v>233</v>
      </c>
      <c r="AX494" s="4" t="s">
        <v>233</v>
      </c>
      <c r="AY494" s="8" t="s">
        <v>233</v>
      </c>
      <c r="AZ494" s="7" t="s">
        <v>233</v>
      </c>
      <c r="BA494" s="7" t="s">
        <v>233</v>
      </c>
      <c r="BB494" s="7"/>
      <c r="BC494" s="4" t="s">
        <v>233</v>
      </c>
      <c r="BD494" s="8" t="s">
        <v>233</v>
      </c>
      <c r="BE494" s="4" t="s">
        <v>233</v>
      </c>
      <c r="BF494" s="8" t="s">
        <v>233</v>
      </c>
      <c r="BG494" s="7" t="s">
        <v>233</v>
      </c>
      <c r="BH494" s="7" t="s">
        <v>233</v>
      </c>
      <c r="BI494" s="7"/>
      <c r="BJ494" s="4">
        <v>6</v>
      </c>
      <c r="BK494" s="8">
        <v>259.29</v>
      </c>
      <c r="BL494" s="2" t="s">
        <v>2917</v>
      </c>
      <c r="BM494" s="7"/>
      <c r="BN494" s="7"/>
      <c r="BO494" s="4"/>
      <c r="BP494" s="8"/>
      <c r="BQ494" s="4"/>
      <c r="BR494" s="8"/>
      <c r="BS494" s="7"/>
      <c r="BT494" s="7"/>
      <c r="BU494" s="2" t="s">
        <v>2883</v>
      </c>
      <c r="BV494" s="2" t="s">
        <v>233</v>
      </c>
      <c r="BW494" s="2" t="s">
        <v>233</v>
      </c>
      <c r="BX494" s="2" t="s">
        <v>293</v>
      </c>
      <c r="BY494" s="2" t="s">
        <v>242</v>
      </c>
      <c r="BZ494" s="2" t="s">
        <v>230</v>
      </c>
      <c r="CA494" s="2" t="s">
        <v>2918</v>
      </c>
      <c r="CB494" s="2" t="s">
        <v>798</v>
      </c>
      <c r="CC494" s="2" t="s">
        <v>245</v>
      </c>
      <c r="CD494" s="2" t="s">
        <v>233</v>
      </c>
      <c r="CE494" s="4">
        <v>131</v>
      </c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>
        <v>40</v>
      </c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>
        <v>194</v>
      </c>
      <c r="GD494" s="4">
        <v>174</v>
      </c>
      <c r="GE494" s="4">
        <v>169</v>
      </c>
      <c r="GF494" s="4">
        <v>164</v>
      </c>
      <c r="GG494" s="4">
        <v>154</v>
      </c>
      <c r="GH494" s="4">
        <v>147</v>
      </c>
      <c r="GI494" s="4">
        <v>139</v>
      </c>
      <c r="GJ494" s="4">
        <v>134</v>
      </c>
      <c r="GK494" s="4">
        <v>130</v>
      </c>
      <c r="GL494" s="4">
        <v>127</v>
      </c>
      <c r="GM494" s="4">
        <v>124</v>
      </c>
      <c r="GN494" s="4">
        <v>121</v>
      </c>
      <c r="GO494" s="4">
        <v>118</v>
      </c>
      <c r="GP494" s="4">
        <v>115</v>
      </c>
      <c r="GQ494" s="4">
        <v>112</v>
      </c>
      <c r="GR494" s="4">
        <v>109</v>
      </c>
      <c r="GS494" s="4">
        <v>146</v>
      </c>
      <c r="GT494" s="4">
        <v>143</v>
      </c>
      <c r="GU494" s="4">
        <v>140</v>
      </c>
      <c r="GV494" s="4">
        <v>137</v>
      </c>
      <c r="GW494" s="4">
        <v>134</v>
      </c>
      <c r="GX494" s="4">
        <v>131</v>
      </c>
      <c r="GY494" s="4">
        <v>128</v>
      </c>
      <c r="GZ494" s="4">
        <v>125</v>
      </c>
      <c r="HA494" s="4">
        <v>122</v>
      </c>
      <c r="HB494" s="4">
        <v>119</v>
      </c>
      <c r="HC494" s="19">
        <v>19.4</v>
      </c>
      <c r="HD494" s="19">
        <v>24.9</v>
      </c>
      <c r="HE494" s="19">
        <v>21.1</v>
      </c>
      <c r="HF494" s="19">
        <v>20.5</v>
      </c>
      <c r="HG494" s="19">
        <v>25.7</v>
      </c>
      <c r="HH494" s="19">
        <v>29.4</v>
      </c>
      <c r="HI494" s="19">
        <v>34.8</v>
      </c>
      <c r="HJ494" s="19">
        <v>44.7</v>
      </c>
      <c r="HK494" s="19">
        <v>43.3</v>
      </c>
      <c r="HL494" s="19">
        <v>42.3</v>
      </c>
      <c r="HM494" s="19">
        <v>41.3</v>
      </c>
      <c r="HN494" s="19">
        <v>40.3</v>
      </c>
      <c r="HO494" s="19">
        <v>39.3</v>
      </c>
      <c r="HP494" s="19">
        <v>38.3</v>
      </c>
      <c r="HQ494" s="19">
        <v>37.3</v>
      </c>
      <c r="HR494" s="19">
        <v>36.3</v>
      </c>
      <c r="HS494" s="19">
        <v>48.7</v>
      </c>
      <c r="HT494" s="19">
        <v>47.7</v>
      </c>
      <c r="HU494" s="19">
        <v>46.7</v>
      </c>
      <c r="HV494" s="19">
        <v>45.7</v>
      </c>
      <c r="HW494" s="19">
        <v>44.7</v>
      </c>
      <c r="HX494" s="19">
        <v>43.7</v>
      </c>
      <c r="HY494" s="19">
        <v>42.7</v>
      </c>
      <c r="HZ494" s="19">
        <v>41.7</v>
      </c>
      <c r="IA494" s="19">
        <v>40.7</v>
      </c>
      <c r="IB494" s="19">
        <v>39.7</v>
      </c>
    </row>
    <row r="495">
      <c r="A495" s="2" t="s">
        <v>2919</v>
      </c>
      <c r="B495" s="2" t="s">
        <v>825</v>
      </c>
      <c r="C495" s="2" t="s">
        <v>1411</v>
      </c>
      <c r="D495" s="2" t="s">
        <v>261</v>
      </c>
      <c r="E495" s="2" t="s">
        <v>603</v>
      </c>
      <c r="F495" s="2" t="s">
        <v>2872</v>
      </c>
      <c r="G495" s="2" t="s">
        <v>2873</v>
      </c>
      <c r="H495" s="2" t="s">
        <v>2874</v>
      </c>
      <c r="I495" s="2" t="s">
        <v>2875</v>
      </c>
      <c r="J495" s="2" t="s">
        <v>265</v>
      </c>
      <c r="K495" s="2" t="s">
        <v>870</v>
      </c>
      <c r="L495" s="3">
        <v>36.72</v>
      </c>
      <c r="M495" s="3">
        <v>38.56</v>
      </c>
      <c r="N495" s="3">
        <v>69.99</v>
      </c>
      <c r="O495" s="2" t="s">
        <v>230</v>
      </c>
      <c r="P495" s="2" t="s">
        <v>597</v>
      </c>
      <c r="Q495" s="2" t="s">
        <v>232</v>
      </c>
      <c r="R495" s="2" t="s">
        <v>233</v>
      </c>
      <c r="S495" s="2" t="s">
        <v>2920</v>
      </c>
      <c r="T495" s="2" t="s">
        <v>2129</v>
      </c>
      <c r="U495" s="2" t="s">
        <v>287</v>
      </c>
      <c r="V495" s="2" t="s">
        <v>236</v>
      </c>
      <c r="W495" s="2" t="s">
        <v>288</v>
      </c>
      <c r="X495" s="2" t="s">
        <v>1214</v>
      </c>
      <c r="Y495" s="2" t="s">
        <v>2921</v>
      </c>
      <c r="Z495" s="4">
        <v>837</v>
      </c>
      <c r="AA495" s="4">
        <f>=ROUNDDOWN(55.8,0)</f>
      </c>
      <c r="AB495" s="5">
        <v>15</v>
      </c>
      <c r="AC495" s="2" t="s">
        <v>2462</v>
      </c>
      <c r="AD495" s="4">
        <v>750</v>
      </c>
      <c r="AE495" s="4">
        <v>750</v>
      </c>
      <c r="AF495" s="6">
        <v>64</v>
      </c>
      <c r="AG495" s="6">
        <v>47</v>
      </c>
      <c r="AH495" s="7">
        <v>1</v>
      </c>
      <c r="AI495" s="4"/>
      <c r="AJ495" s="4">
        <f>=ROUNDDOWN({0},0)</f>
      </c>
      <c r="AK495" s="5"/>
      <c r="AL495" s="2" t="s">
        <v>233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 t="s">
        <v>233</v>
      </c>
      <c r="BD495" s="8" t="s">
        <v>233</v>
      </c>
      <c r="BE495" s="4" t="s">
        <v>233</v>
      </c>
      <c r="BF495" s="8" t="s">
        <v>233</v>
      </c>
      <c r="BG495" s="7" t="s">
        <v>233</v>
      </c>
      <c r="BH495" s="7" t="s">
        <v>233</v>
      </c>
      <c r="BI495" s="7"/>
      <c r="BJ495" s="4">
        <v>82</v>
      </c>
      <c r="BK495" s="8">
        <v>3396.29</v>
      </c>
      <c r="BL495" s="2" t="s">
        <v>2922</v>
      </c>
      <c r="BM495" s="7"/>
      <c r="BN495" s="7"/>
      <c r="BO495" s="4"/>
      <c r="BP495" s="8"/>
      <c r="BQ495" s="4"/>
      <c r="BR495" s="8"/>
      <c r="BS495" s="7"/>
      <c r="BT495" s="7"/>
      <c r="BU495" s="2" t="s">
        <v>2878</v>
      </c>
      <c r="BV495" s="2" t="s">
        <v>233</v>
      </c>
      <c r="BW495" s="2" t="s">
        <v>233</v>
      </c>
      <c r="BX495" s="2" t="s">
        <v>293</v>
      </c>
      <c r="BY495" s="2" t="s">
        <v>242</v>
      </c>
      <c r="BZ495" s="2" t="s">
        <v>230</v>
      </c>
      <c r="CA495" s="2" t="s">
        <v>2923</v>
      </c>
      <c r="CB495" s="2" t="s">
        <v>1437</v>
      </c>
      <c r="CC495" s="2" t="s">
        <v>245</v>
      </c>
      <c r="CD495" s="2" t="s">
        <v>233</v>
      </c>
      <c r="CE495" s="4">
        <v>448</v>
      </c>
      <c r="CF495" s="4"/>
      <c r="CG495" s="4"/>
      <c r="CH495" s="4">
        <v>389</v>
      </c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>
        <v>750</v>
      </c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>
        <v>872</v>
      </c>
      <c r="GD495" s="4">
        <v>751</v>
      </c>
      <c r="GE495" s="4">
        <v>719</v>
      </c>
      <c r="GF495" s="4">
        <v>689</v>
      </c>
      <c r="GG495" s="4">
        <v>620</v>
      </c>
      <c r="GH495" s="4">
        <v>560</v>
      </c>
      <c r="GI495" s="4">
        <v>490</v>
      </c>
      <c r="GJ495" s="4">
        <v>448</v>
      </c>
      <c r="GK495" s="4">
        <v>420</v>
      </c>
      <c r="GL495" s="4">
        <v>404</v>
      </c>
      <c r="GM495" s="4">
        <v>389</v>
      </c>
      <c r="GN495" s="4">
        <v>374</v>
      </c>
      <c r="GO495" s="4">
        <v>359</v>
      </c>
      <c r="GP495" s="4">
        <v>344</v>
      </c>
      <c r="GQ495" s="4">
        <v>329</v>
      </c>
      <c r="GR495" s="4">
        <v>314</v>
      </c>
      <c r="GS495" s="4">
        <v>1049</v>
      </c>
      <c r="GT495" s="4">
        <v>1033</v>
      </c>
      <c r="GU495" s="4">
        <v>1018</v>
      </c>
      <c r="GV495" s="4">
        <v>1003</v>
      </c>
      <c r="GW495" s="4">
        <v>988</v>
      </c>
      <c r="GX495" s="4">
        <v>973</v>
      </c>
      <c r="GY495" s="4">
        <v>958</v>
      </c>
      <c r="GZ495" s="4">
        <v>943</v>
      </c>
      <c r="HA495" s="4">
        <v>928</v>
      </c>
      <c r="HB495" s="4">
        <v>913</v>
      </c>
      <c r="HC495" s="19">
        <v>15.6</v>
      </c>
      <c r="HD495" s="19">
        <v>17.5</v>
      </c>
      <c r="HE495" s="19">
        <v>14.2</v>
      </c>
      <c r="HF495" s="19">
        <v>13</v>
      </c>
      <c r="HG495" s="19">
        <v>14.5</v>
      </c>
      <c r="HH495" s="19">
        <v>16.6</v>
      </c>
      <c r="HI495" s="19">
        <v>23.7</v>
      </c>
      <c r="HJ495" s="19">
        <v>29.8</v>
      </c>
      <c r="HK495" s="19">
        <v>33.8</v>
      </c>
      <c r="HL495" s="19">
        <v>32.8</v>
      </c>
      <c r="HM495" s="19">
        <v>31.8</v>
      </c>
      <c r="HN495" s="19">
        <v>30.8</v>
      </c>
      <c r="HO495" s="19">
        <v>29.8</v>
      </c>
      <c r="HP495" s="19">
        <v>28.8</v>
      </c>
      <c r="HQ495" s="19">
        <v>27.8</v>
      </c>
      <c r="HR495" s="19">
        <v>26.8</v>
      </c>
      <c r="HS495" s="19">
        <v>63.3</v>
      </c>
      <c r="HT495" s="19">
        <v>62.2</v>
      </c>
      <c r="HU495" s="19">
        <v>61.2</v>
      </c>
      <c r="HV495" s="19">
        <v>60.2</v>
      </c>
      <c r="HW495" s="19">
        <v>59.2</v>
      </c>
      <c r="HX495" s="19">
        <v>58.2</v>
      </c>
      <c r="HY495" s="19">
        <v>57.2</v>
      </c>
      <c r="HZ495" s="19">
        <v>56.2</v>
      </c>
      <c r="IA495" s="19">
        <v>55.2</v>
      </c>
      <c r="IB495" s="19">
        <v>54.2</v>
      </c>
    </row>
    <row r="496">
      <c r="A496" s="2" t="s">
        <v>2924</v>
      </c>
      <c r="B496" s="2" t="s">
        <v>825</v>
      </c>
      <c r="C496" s="2" t="s">
        <v>1411</v>
      </c>
      <c r="D496" s="2" t="s">
        <v>261</v>
      </c>
      <c r="E496" s="2" t="s">
        <v>603</v>
      </c>
      <c r="F496" s="2" t="s">
        <v>2872</v>
      </c>
      <c r="G496" s="2" t="s">
        <v>2873</v>
      </c>
      <c r="H496" s="2" t="s">
        <v>2874</v>
      </c>
      <c r="I496" s="2" t="s">
        <v>2875</v>
      </c>
      <c r="J496" s="2" t="s">
        <v>1052</v>
      </c>
      <c r="K496" s="2" t="s">
        <v>1716</v>
      </c>
      <c r="L496" s="3">
        <v>31.05</v>
      </c>
      <c r="M496" s="3">
        <v>32.6</v>
      </c>
      <c r="N496" s="3">
        <v>59.99</v>
      </c>
      <c r="O496" s="2" t="s">
        <v>230</v>
      </c>
      <c r="P496" s="2" t="s">
        <v>231</v>
      </c>
      <c r="Q496" s="2" t="s">
        <v>232</v>
      </c>
      <c r="R496" s="2" t="s">
        <v>233</v>
      </c>
      <c r="S496" s="2" t="s">
        <v>2925</v>
      </c>
      <c r="T496" s="2" t="s">
        <v>2129</v>
      </c>
      <c r="U496" s="2" t="s">
        <v>781</v>
      </c>
      <c r="V496" s="2" t="s">
        <v>236</v>
      </c>
      <c r="W496" s="2" t="s">
        <v>288</v>
      </c>
      <c r="X496" s="2" t="s">
        <v>1214</v>
      </c>
      <c r="Y496" s="2" t="s">
        <v>2900</v>
      </c>
      <c r="Z496" s="4">
        <v>126</v>
      </c>
      <c r="AA496" s="4">
        <f>=ROUNDDOWN(42,0)</f>
      </c>
      <c r="AB496" s="5">
        <v>3</v>
      </c>
      <c r="AC496" s="2" t="s">
        <v>233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233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 t="s">
        <v>233</v>
      </c>
      <c r="BD496" s="8" t="s">
        <v>233</v>
      </c>
      <c r="BE496" s="4" t="s">
        <v>233</v>
      </c>
      <c r="BF496" s="8" t="s">
        <v>233</v>
      </c>
      <c r="BG496" s="7" t="s">
        <v>233</v>
      </c>
      <c r="BH496" s="7" t="s">
        <v>233</v>
      </c>
      <c r="BI496" s="7"/>
      <c r="BJ496" s="4">
        <v>4</v>
      </c>
      <c r="BK496" s="8">
        <v>124.86</v>
      </c>
      <c r="BL496" s="2" t="s">
        <v>1660</v>
      </c>
      <c r="BM496" s="7"/>
      <c r="BN496" s="7"/>
      <c r="BO496" s="4"/>
      <c r="BP496" s="8"/>
      <c r="BQ496" s="4"/>
      <c r="BR496" s="8"/>
      <c r="BS496" s="7"/>
      <c r="BT496" s="7"/>
      <c r="BU496" s="2" t="s">
        <v>2878</v>
      </c>
      <c r="BV496" s="2" t="s">
        <v>233</v>
      </c>
      <c r="BW496" s="2" t="s">
        <v>233</v>
      </c>
      <c r="BX496" s="2" t="s">
        <v>293</v>
      </c>
      <c r="BY496" s="2" t="s">
        <v>242</v>
      </c>
      <c r="BZ496" s="2" t="s">
        <v>230</v>
      </c>
      <c r="CA496" s="2" t="s">
        <v>2903</v>
      </c>
      <c r="CB496" s="2" t="s">
        <v>2926</v>
      </c>
      <c r="CC496" s="2" t="s">
        <v>245</v>
      </c>
      <c r="CD496" s="2" t="s">
        <v>233</v>
      </c>
      <c r="CE496" s="4">
        <v>126</v>
      </c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>
        <v>126</v>
      </c>
      <c r="GD496" s="4">
        <v>109</v>
      </c>
      <c r="GE496" s="4">
        <v>103</v>
      </c>
      <c r="GF496" s="4">
        <v>97</v>
      </c>
      <c r="GG496" s="4">
        <v>85</v>
      </c>
      <c r="GH496" s="4">
        <v>75</v>
      </c>
      <c r="GI496" s="4">
        <v>64</v>
      </c>
      <c r="GJ496" s="4">
        <v>57</v>
      </c>
      <c r="GK496" s="4">
        <v>52</v>
      </c>
      <c r="GL496" s="4">
        <v>49</v>
      </c>
      <c r="GM496" s="4">
        <v>46</v>
      </c>
      <c r="GN496" s="4">
        <v>43</v>
      </c>
      <c r="GO496" s="4">
        <v>40</v>
      </c>
      <c r="GP496" s="4">
        <v>37</v>
      </c>
      <c r="GQ496" s="4">
        <v>34</v>
      </c>
      <c r="GR496" s="4">
        <v>31</v>
      </c>
      <c r="GS496" s="4">
        <v>28</v>
      </c>
      <c r="GT496" s="4">
        <v>25</v>
      </c>
      <c r="GU496" s="4">
        <v>22</v>
      </c>
      <c r="GV496" s="4">
        <v>70</v>
      </c>
      <c r="GW496" s="4">
        <v>67</v>
      </c>
      <c r="GX496" s="4">
        <v>64</v>
      </c>
      <c r="GY496" s="4">
        <v>61</v>
      </c>
      <c r="GZ496" s="4">
        <v>58</v>
      </c>
      <c r="HA496" s="4">
        <v>55</v>
      </c>
      <c r="HB496" s="4">
        <v>52</v>
      </c>
      <c r="HC496" s="19">
        <v>12.6</v>
      </c>
      <c r="HD496" s="19">
        <v>13.6</v>
      </c>
      <c r="HE496" s="19">
        <v>10.3</v>
      </c>
      <c r="HF496" s="19">
        <v>9.7</v>
      </c>
      <c r="HG496" s="19">
        <v>10.6</v>
      </c>
      <c r="HH496" s="19">
        <v>12.5</v>
      </c>
      <c r="HI496" s="19">
        <v>16</v>
      </c>
      <c r="HJ496" s="19">
        <v>14.3</v>
      </c>
      <c r="HK496" s="19">
        <v>17.3</v>
      </c>
      <c r="HL496" s="19">
        <v>16.3</v>
      </c>
      <c r="HM496" s="19">
        <v>15.3</v>
      </c>
      <c r="HN496" s="19">
        <v>14.3</v>
      </c>
      <c r="HO496" s="19">
        <v>13.3</v>
      </c>
      <c r="HP496" s="19">
        <v>12.3</v>
      </c>
      <c r="HQ496" s="19">
        <v>11.3</v>
      </c>
      <c r="HR496" s="19">
        <v>10.3</v>
      </c>
      <c r="HS496" s="19">
        <v>9.3</v>
      </c>
      <c r="HT496" s="19">
        <v>8.3</v>
      </c>
      <c r="HU496" s="19">
        <v>7.3</v>
      </c>
      <c r="HV496" s="19">
        <v>23.3</v>
      </c>
      <c r="HW496" s="19">
        <v>22.3</v>
      </c>
      <c r="HX496" s="19">
        <v>21.3</v>
      </c>
      <c r="HY496" s="19">
        <v>20.3</v>
      </c>
      <c r="HZ496" s="19">
        <v>19.3</v>
      </c>
      <c r="IA496" s="19">
        <v>18.3</v>
      </c>
      <c r="IB496" s="19">
        <v>17.3</v>
      </c>
    </row>
    <row r="497">
      <c r="A497" s="2" t="s">
        <v>2927</v>
      </c>
      <c r="B497" s="2" t="s">
        <v>825</v>
      </c>
      <c r="C497" s="2" t="s">
        <v>1411</v>
      </c>
      <c r="D497" s="2" t="s">
        <v>261</v>
      </c>
      <c r="E497" s="2" t="s">
        <v>603</v>
      </c>
      <c r="F497" s="2" t="s">
        <v>2872</v>
      </c>
      <c r="G497" s="2" t="s">
        <v>2873</v>
      </c>
      <c r="H497" s="2" t="s">
        <v>2874</v>
      </c>
      <c r="I497" s="2" t="s">
        <v>2875</v>
      </c>
      <c r="J497" s="2" t="s">
        <v>1052</v>
      </c>
      <c r="K497" s="2" t="s">
        <v>651</v>
      </c>
      <c r="L497" s="3">
        <v>31.05</v>
      </c>
      <c r="M497" s="3">
        <v>32.6</v>
      </c>
      <c r="N497" s="3">
        <v>59.99</v>
      </c>
      <c r="O497" s="2" t="s">
        <v>230</v>
      </c>
      <c r="P497" s="2" t="s">
        <v>597</v>
      </c>
      <c r="Q497" s="2" t="s">
        <v>232</v>
      </c>
      <c r="R497" s="2" t="s">
        <v>233</v>
      </c>
      <c r="S497" s="2" t="s">
        <v>2928</v>
      </c>
      <c r="T497" s="2" t="s">
        <v>2129</v>
      </c>
      <c r="U497" s="2" t="s">
        <v>781</v>
      </c>
      <c r="V497" s="2" t="s">
        <v>236</v>
      </c>
      <c r="W497" s="2" t="s">
        <v>288</v>
      </c>
      <c r="X497" s="2" t="s">
        <v>1214</v>
      </c>
      <c r="Y497" s="2" t="s">
        <v>2929</v>
      </c>
      <c r="Z497" s="4">
        <v>285</v>
      </c>
      <c r="AA497" s="4">
        <f>=ROUNDDOWN(47.5,0)</f>
      </c>
      <c r="AB497" s="5">
        <v>6</v>
      </c>
      <c r="AC497" s="2" t="s">
        <v>934</v>
      </c>
      <c r="AD497" s="4">
        <v>140</v>
      </c>
      <c r="AE497" s="4">
        <v>360</v>
      </c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233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233</v>
      </c>
      <c r="AW497" s="8" t="s">
        <v>233</v>
      </c>
      <c r="AX497" s="4" t="s">
        <v>233</v>
      </c>
      <c r="AY497" s="8" t="s">
        <v>233</v>
      </c>
      <c r="AZ497" s="7" t="s">
        <v>233</v>
      </c>
      <c r="BA497" s="7" t="s">
        <v>233</v>
      </c>
      <c r="BB497" s="7"/>
      <c r="BC497" s="4" t="s">
        <v>233</v>
      </c>
      <c r="BD497" s="8" t="s">
        <v>233</v>
      </c>
      <c r="BE497" s="4" t="s">
        <v>233</v>
      </c>
      <c r="BF497" s="8" t="s">
        <v>233</v>
      </c>
      <c r="BG497" s="7" t="s">
        <v>233</v>
      </c>
      <c r="BH497" s="7" t="s">
        <v>233</v>
      </c>
      <c r="BI497" s="7"/>
      <c r="BJ497" s="4">
        <v>11</v>
      </c>
      <c r="BK497" s="8">
        <v>367.44</v>
      </c>
      <c r="BL497" s="2" t="s">
        <v>2930</v>
      </c>
      <c r="BM497" s="7"/>
      <c r="BN497" s="7"/>
      <c r="BO497" s="4"/>
      <c r="BP497" s="8"/>
      <c r="BQ497" s="4"/>
      <c r="BR497" s="8"/>
      <c r="BS497" s="7"/>
      <c r="BT497" s="7"/>
      <c r="BU497" s="2" t="s">
        <v>2878</v>
      </c>
      <c r="BV497" s="2" t="s">
        <v>233</v>
      </c>
      <c r="BW497" s="2" t="s">
        <v>233</v>
      </c>
      <c r="BX497" s="2" t="s">
        <v>293</v>
      </c>
      <c r="BY497" s="2" t="s">
        <v>242</v>
      </c>
      <c r="BZ497" s="2" t="s">
        <v>230</v>
      </c>
      <c r="CA497" s="2" t="s">
        <v>2929</v>
      </c>
      <c r="CB497" s="2" t="s">
        <v>2931</v>
      </c>
      <c r="CC497" s="2" t="s">
        <v>245</v>
      </c>
      <c r="CD497" s="2" t="s">
        <v>233</v>
      </c>
      <c r="CE497" s="4">
        <v>285</v>
      </c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>
        <v>140</v>
      </c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>
        <v>220</v>
      </c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>
        <v>287</v>
      </c>
      <c r="GD497" s="4">
        <v>225</v>
      </c>
      <c r="GE497" s="4">
        <v>213</v>
      </c>
      <c r="GF497" s="4">
        <v>202</v>
      </c>
      <c r="GG497" s="4">
        <v>178</v>
      </c>
      <c r="GH497" s="4">
        <v>159</v>
      </c>
      <c r="GI497" s="4">
        <v>137</v>
      </c>
      <c r="GJ497" s="4">
        <v>123</v>
      </c>
      <c r="GK497" s="4">
        <v>113</v>
      </c>
      <c r="GL497" s="4">
        <v>247</v>
      </c>
      <c r="GM497" s="4">
        <v>241</v>
      </c>
      <c r="GN497" s="4">
        <v>235</v>
      </c>
      <c r="GO497" s="4">
        <v>229</v>
      </c>
      <c r="GP497" s="4">
        <v>223</v>
      </c>
      <c r="GQ497" s="4">
        <v>217</v>
      </c>
      <c r="GR497" s="4">
        <v>211</v>
      </c>
      <c r="GS497" s="4">
        <v>425</v>
      </c>
      <c r="GT497" s="4">
        <v>419</v>
      </c>
      <c r="GU497" s="4">
        <v>413</v>
      </c>
      <c r="GV497" s="4">
        <v>407</v>
      </c>
      <c r="GW497" s="4">
        <v>401</v>
      </c>
      <c r="GX497" s="4">
        <v>395</v>
      </c>
      <c r="GY497" s="4">
        <v>389</v>
      </c>
      <c r="GZ497" s="4">
        <v>383</v>
      </c>
      <c r="HA497" s="4">
        <v>377</v>
      </c>
      <c r="HB497" s="4">
        <v>371</v>
      </c>
      <c r="HC497" s="19">
        <v>10.6</v>
      </c>
      <c r="HD497" s="19">
        <v>14.1</v>
      </c>
      <c r="HE497" s="19">
        <v>11.2</v>
      </c>
      <c r="HF497" s="19">
        <v>10.1</v>
      </c>
      <c r="HG497" s="19">
        <v>11.1</v>
      </c>
      <c r="HH497" s="19">
        <v>12.2</v>
      </c>
      <c r="HI497" s="19">
        <v>15.2</v>
      </c>
      <c r="HJ497" s="19">
        <v>17.6</v>
      </c>
      <c r="HK497" s="19">
        <v>18.8</v>
      </c>
      <c r="HL497" s="19">
        <v>41.2</v>
      </c>
      <c r="HM497" s="19">
        <v>40.2</v>
      </c>
      <c r="HN497" s="19">
        <v>39.2</v>
      </c>
      <c r="HO497" s="19">
        <v>38.2</v>
      </c>
      <c r="HP497" s="19">
        <v>37.2</v>
      </c>
      <c r="HQ497" s="19">
        <v>36.2</v>
      </c>
      <c r="HR497" s="19">
        <v>35.2</v>
      </c>
      <c r="HS497" s="19">
        <v>70.8</v>
      </c>
      <c r="HT497" s="19">
        <v>69.8</v>
      </c>
      <c r="HU497" s="19">
        <v>68.8</v>
      </c>
      <c r="HV497" s="19">
        <v>67.8</v>
      </c>
      <c r="HW497" s="19">
        <v>66.8</v>
      </c>
      <c r="HX497" s="19">
        <v>65.8</v>
      </c>
      <c r="HY497" s="19">
        <v>64.8</v>
      </c>
      <c r="HZ497" s="19">
        <v>63.8</v>
      </c>
      <c r="IA497" s="19">
        <v>62.8</v>
      </c>
      <c r="IB497" s="19">
        <v>61.8</v>
      </c>
    </row>
    <row r="498">
      <c r="A498" s="2" t="s">
        <v>2932</v>
      </c>
      <c r="B498" s="2" t="s">
        <v>825</v>
      </c>
      <c r="C498" s="2" t="s">
        <v>1411</v>
      </c>
      <c r="D498" s="2" t="s">
        <v>774</v>
      </c>
      <c r="E498" s="2" t="s">
        <v>827</v>
      </c>
      <c r="F498" s="2" t="s">
        <v>2872</v>
      </c>
      <c r="G498" s="2" t="s">
        <v>2873</v>
      </c>
      <c r="H498" s="2" t="s">
        <v>2874</v>
      </c>
      <c r="I498" s="2" t="s">
        <v>2882</v>
      </c>
      <c r="J498" s="2" t="s">
        <v>265</v>
      </c>
      <c r="K498" s="2" t="s">
        <v>651</v>
      </c>
      <c r="L498" s="3">
        <v>33.6</v>
      </c>
      <c r="M498" s="3">
        <v>35.28</v>
      </c>
      <c r="N498" s="3">
        <v>69.99</v>
      </c>
      <c r="O498" s="2" t="s">
        <v>230</v>
      </c>
      <c r="P498" s="2" t="s">
        <v>231</v>
      </c>
      <c r="Q498" s="2" t="s">
        <v>232</v>
      </c>
      <c r="R498" s="2" t="s">
        <v>233</v>
      </c>
      <c r="S498" s="2" t="s">
        <v>2928</v>
      </c>
      <c r="T498" s="2" t="s">
        <v>2129</v>
      </c>
      <c r="U498" s="2" t="s">
        <v>287</v>
      </c>
      <c r="V498" s="2" t="s">
        <v>236</v>
      </c>
      <c r="W498" s="2" t="s">
        <v>288</v>
      </c>
      <c r="X498" s="2" t="s">
        <v>1214</v>
      </c>
      <c r="Y498" s="2" t="s">
        <v>2929</v>
      </c>
      <c r="Z498" s="4">
        <v>342</v>
      </c>
      <c r="AA498" s="4">
        <f>=ROUNDDOWN(85.5,0)</f>
      </c>
      <c r="AB498" s="5">
        <v>4</v>
      </c>
      <c r="AC498" s="2" t="s">
        <v>2462</v>
      </c>
      <c r="AD498" s="4">
        <v>60</v>
      </c>
      <c r="AE498" s="4">
        <v>60</v>
      </c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233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233</v>
      </c>
      <c r="AW498" s="8" t="s">
        <v>233</v>
      </c>
      <c r="AX498" s="4" t="s">
        <v>233</v>
      </c>
      <c r="AY498" s="8" t="s">
        <v>233</v>
      </c>
      <c r="AZ498" s="7" t="s">
        <v>233</v>
      </c>
      <c r="BA498" s="7" t="s">
        <v>233</v>
      </c>
      <c r="BB498" s="7"/>
      <c r="BC498" s="4" t="s">
        <v>233</v>
      </c>
      <c r="BD498" s="8" t="s">
        <v>233</v>
      </c>
      <c r="BE498" s="4" t="s">
        <v>233</v>
      </c>
      <c r="BF498" s="8" t="s">
        <v>233</v>
      </c>
      <c r="BG498" s="7" t="s">
        <v>233</v>
      </c>
      <c r="BH498" s="7" t="s">
        <v>233</v>
      </c>
      <c r="BI498" s="7"/>
      <c r="BJ498" s="4">
        <v>15</v>
      </c>
      <c r="BK498" s="8">
        <v>506.13</v>
      </c>
      <c r="BL498" s="2" t="s">
        <v>2933</v>
      </c>
      <c r="BM498" s="7"/>
      <c r="BN498" s="7"/>
      <c r="BO498" s="4"/>
      <c r="BP498" s="8"/>
      <c r="BQ498" s="4"/>
      <c r="BR498" s="8"/>
      <c r="BS498" s="7"/>
      <c r="BT498" s="7"/>
      <c r="BU498" s="2" t="s">
        <v>2883</v>
      </c>
      <c r="BV498" s="2" t="s">
        <v>233</v>
      </c>
      <c r="BW498" s="2" t="s">
        <v>233</v>
      </c>
      <c r="BX498" s="2" t="s">
        <v>293</v>
      </c>
      <c r="BY498" s="2" t="s">
        <v>242</v>
      </c>
      <c r="BZ498" s="2" t="s">
        <v>230</v>
      </c>
      <c r="CA498" s="2" t="s">
        <v>2929</v>
      </c>
      <c r="CB498" s="2" t="s">
        <v>2931</v>
      </c>
      <c r="CC498" s="2" t="s">
        <v>245</v>
      </c>
      <c r="CD498" s="2" t="s">
        <v>233</v>
      </c>
      <c r="CE498" s="4">
        <v>342</v>
      </c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>
        <v>60</v>
      </c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>
        <v>342</v>
      </c>
      <c r="GD498" s="4">
        <v>310</v>
      </c>
      <c r="GE498" s="4">
        <v>302</v>
      </c>
      <c r="GF498" s="4">
        <v>294</v>
      </c>
      <c r="GG498" s="4">
        <v>276</v>
      </c>
      <c r="GH498" s="4">
        <v>261</v>
      </c>
      <c r="GI498" s="4">
        <v>244</v>
      </c>
      <c r="GJ498" s="4">
        <v>233</v>
      </c>
      <c r="GK498" s="4">
        <v>226</v>
      </c>
      <c r="GL498" s="4">
        <v>222</v>
      </c>
      <c r="GM498" s="4">
        <v>218</v>
      </c>
      <c r="GN498" s="4">
        <v>214</v>
      </c>
      <c r="GO498" s="4">
        <v>210</v>
      </c>
      <c r="GP498" s="4">
        <v>206</v>
      </c>
      <c r="GQ498" s="4">
        <v>202</v>
      </c>
      <c r="GR498" s="4">
        <v>198</v>
      </c>
      <c r="GS498" s="4">
        <v>254</v>
      </c>
      <c r="GT498" s="4">
        <v>250</v>
      </c>
      <c r="GU498" s="4">
        <v>246</v>
      </c>
      <c r="GV498" s="4">
        <v>242</v>
      </c>
      <c r="GW498" s="4">
        <v>238</v>
      </c>
      <c r="GX498" s="4">
        <v>234</v>
      </c>
      <c r="GY498" s="4">
        <v>230</v>
      </c>
      <c r="GZ498" s="4">
        <v>226</v>
      </c>
      <c r="HA498" s="4">
        <v>222</v>
      </c>
      <c r="HB498" s="4">
        <v>218</v>
      </c>
      <c r="HC498" s="19">
        <v>21.4</v>
      </c>
      <c r="HD498" s="19">
        <v>25.8</v>
      </c>
      <c r="HE498" s="19">
        <v>21.6</v>
      </c>
      <c r="HF498" s="19">
        <v>19.6</v>
      </c>
      <c r="HG498" s="19">
        <v>23</v>
      </c>
      <c r="HH498" s="19">
        <v>26.1</v>
      </c>
      <c r="HI498" s="19">
        <v>40.7</v>
      </c>
      <c r="HJ498" s="19">
        <v>46.6</v>
      </c>
      <c r="HK498" s="19">
        <v>56.5</v>
      </c>
      <c r="HL498" s="19">
        <v>55.5</v>
      </c>
      <c r="HM498" s="19">
        <v>54.5</v>
      </c>
      <c r="HN498" s="19">
        <v>53.5</v>
      </c>
      <c r="HO498" s="19">
        <v>52.5</v>
      </c>
      <c r="HP498" s="19">
        <v>51.5</v>
      </c>
      <c r="HQ498" s="19">
        <v>50.5</v>
      </c>
      <c r="HR498" s="19">
        <v>49.5</v>
      </c>
      <c r="HS498" s="19">
        <v>63.5</v>
      </c>
      <c r="HT498" s="19">
        <v>62.5</v>
      </c>
      <c r="HU498" s="19">
        <v>61.5</v>
      </c>
      <c r="HV498" s="19">
        <v>60.5</v>
      </c>
      <c r="HW498" s="19">
        <v>59.5</v>
      </c>
      <c r="HX498" s="19">
        <v>58.5</v>
      </c>
      <c r="HY498" s="19">
        <v>57.5</v>
      </c>
      <c r="HZ498" s="19">
        <v>56.5</v>
      </c>
      <c r="IA498" s="19">
        <v>55.5</v>
      </c>
      <c r="IB498" s="19">
        <v>54.5</v>
      </c>
    </row>
    <row r="499">
      <c r="A499" s="2" t="s">
        <v>2934</v>
      </c>
      <c r="B499" s="2" t="s">
        <v>773</v>
      </c>
      <c r="C499" s="2" t="s">
        <v>2240</v>
      </c>
      <c r="D499" s="2" t="s">
        <v>985</v>
      </c>
      <c r="E499" s="2" t="s">
        <v>2241</v>
      </c>
      <c r="F499" s="2" t="s">
        <v>2935</v>
      </c>
      <c r="G499" s="2" t="s">
        <v>2935</v>
      </c>
      <c r="H499" s="2" t="s">
        <v>2935</v>
      </c>
      <c r="I499" s="2" t="s">
        <v>2243</v>
      </c>
      <c r="J499" s="2" t="s">
        <v>228</v>
      </c>
      <c r="K499" s="2" t="s">
        <v>1525</v>
      </c>
      <c r="L499" s="3">
        <v>41.73</v>
      </c>
      <c r="M499" s="3">
        <v>43.82</v>
      </c>
      <c r="N499" s="3">
        <v>89.99</v>
      </c>
      <c r="O499" s="2" t="s">
        <v>230</v>
      </c>
      <c r="P499" s="2" t="s">
        <v>231</v>
      </c>
      <c r="Q499" s="2" t="s">
        <v>232</v>
      </c>
      <c r="R499" s="2" t="s">
        <v>233</v>
      </c>
      <c r="S499" s="2" t="s">
        <v>233</v>
      </c>
      <c r="T499" s="2" t="s">
        <v>2765</v>
      </c>
      <c r="U499" s="2" t="s">
        <v>329</v>
      </c>
      <c r="V499" s="2" t="s">
        <v>236</v>
      </c>
      <c r="W499" s="2" t="s">
        <v>237</v>
      </c>
      <c r="X499" s="2" t="s">
        <v>233</v>
      </c>
      <c r="Y499" s="2" t="s">
        <v>2203</v>
      </c>
      <c r="Z499" s="4">
        <v>302</v>
      </c>
      <c r="AA499" s="4">
        <f>=ROUNDDOWN(43.1428571428571,0)</f>
      </c>
      <c r="AB499" s="5">
        <v>7</v>
      </c>
      <c r="AC499" s="2" t="s">
        <v>233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233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233</v>
      </c>
      <c r="AW499" s="8" t="s">
        <v>233</v>
      </c>
      <c r="AX499" s="4" t="s">
        <v>233</v>
      </c>
      <c r="AY499" s="8" t="s">
        <v>233</v>
      </c>
      <c r="AZ499" s="7" t="s">
        <v>233</v>
      </c>
      <c r="BA499" s="7" t="s">
        <v>233</v>
      </c>
      <c r="BB499" s="7"/>
      <c r="BC499" s="4" t="s">
        <v>233</v>
      </c>
      <c r="BD499" s="8" t="s">
        <v>233</v>
      </c>
      <c r="BE499" s="4" t="s">
        <v>233</v>
      </c>
      <c r="BF499" s="8" t="s">
        <v>233</v>
      </c>
      <c r="BG499" s="7" t="s">
        <v>233</v>
      </c>
      <c r="BH499" s="7" t="s">
        <v>233</v>
      </c>
      <c r="BI499" s="7"/>
      <c r="BJ499" s="4">
        <v>56</v>
      </c>
      <c r="BK499" s="8">
        <v>2513.97</v>
      </c>
      <c r="BL499" s="2" t="s">
        <v>2936</v>
      </c>
      <c r="BM499" s="7"/>
      <c r="BN499" s="7"/>
      <c r="BO499" s="4"/>
      <c r="BP499" s="8"/>
      <c r="BQ499" s="4"/>
      <c r="BR499" s="8"/>
      <c r="BS499" s="7"/>
      <c r="BT499" s="7"/>
      <c r="BU499" s="2" t="s">
        <v>2937</v>
      </c>
      <c r="BV499" s="2" t="s">
        <v>233</v>
      </c>
      <c r="BW499" s="2" t="s">
        <v>233</v>
      </c>
      <c r="BX499" s="2" t="s">
        <v>2938</v>
      </c>
      <c r="BY499" s="2" t="s">
        <v>242</v>
      </c>
      <c r="BZ499" s="2" t="s">
        <v>230</v>
      </c>
      <c r="CA499" s="2" t="s">
        <v>2939</v>
      </c>
      <c r="CB499" s="2" t="s">
        <v>2940</v>
      </c>
      <c r="CC499" s="2" t="s">
        <v>245</v>
      </c>
      <c r="CD499" s="2" t="s">
        <v>233</v>
      </c>
      <c r="CE499" s="4">
        <v>175</v>
      </c>
      <c r="CF499" s="4">
        <v>127</v>
      </c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>
        <v>307</v>
      </c>
      <c r="GD499" s="4">
        <v>296</v>
      </c>
      <c r="GE499" s="4">
        <v>284</v>
      </c>
      <c r="GF499" s="4">
        <v>273</v>
      </c>
      <c r="GG499" s="4">
        <v>245</v>
      </c>
      <c r="GH499" s="4">
        <v>228</v>
      </c>
      <c r="GI499" s="4">
        <v>207</v>
      </c>
      <c r="GJ499" s="4">
        <v>196</v>
      </c>
      <c r="GK499" s="4">
        <v>192</v>
      </c>
      <c r="GL499" s="4">
        <v>186</v>
      </c>
      <c r="GM499" s="4">
        <v>179</v>
      </c>
      <c r="GN499" s="4">
        <v>171</v>
      </c>
      <c r="GO499" s="4">
        <v>165</v>
      </c>
      <c r="GP499" s="4">
        <v>159</v>
      </c>
      <c r="GQ499" s="4">
        <v>153</v>
      </c>
      <c r="GR499" s="4">
        <v>147</v>
      </c>
      <c r="GS499" s="4">
        <v>141</v>
      </c>
      <c r="GT499" s="4">
        <v>135</v>
      </c>
      <c r="GU499" s="4">
        <v>131</v>
      </c>
      <c r="GV499" s="4">
        <v>123</v>
      </c>
      <c r="GW499" s="4">
        <v>117</v>
      </c>
      <c r="GX499" s="4">
        <v>113</v>
      </c>
      <c r="GY499" s="4">
        <v>109</v>
      </c>
      <c r="GZ499" s="4">
        <v>106</v>
      </c>
      <c r="HA499" s="4">
        <v>104</v>
      </c>
      <c r="HB499" s="4">
        <v>102</v>
      </c>
      <c r="HC499" s="19">
        <v>19.2</v>
      </c>
      <c r="HD499" s="19">
        <v>17.4</v>
      </c>
      <c r="HE499" s="19">
        <v>14.9</v>
      </c>
      <c r="HF499" s="19">
        <v>14.4</v>
      </c>
      <c r="HG499" s="19">
        <v>18.8</v>
      </c>
      <c r="HH499" s="19">
        <v>22.8</v>
      </c>
      <c r="HI499" s="19">
        <v>29.6</v>
      </c>
      <c r="HJ499" s="19">
        <v>32.7</v>
      </c>
      <c r="HK499" s="19">
        <v>27.4</v>
      </c>
      <c r="HL499" s="19">
        <v>26.6</v>
      </c>
      <c r="HM499" s="19">
        <v>29.8</v>
      </c>
      <c r="HN499" s="19">
        <v>28.5</v>
      </c>
      <c r="HO499" s="19">
        <v>27.5</v>
      </c>
      <c r="HP499" s="19">
        <v>26.5</v>
      </c>
      <c r="HQ499" s="19">
        <v>25.5</v>
      </c>
      <c r="HR499" s="19">
        <v>24.5</v>
      </c>
      <c r="HS499" s="19">
        <v>23.5</v>
      </c>
      <c r="HT499" s="19">
        <v>22.5</v>
      </c>
      <c r="HU499" s="19">
        <v>21.8</v>
      </c>
      <c r="HV499" s="19">
        <v>30.8</v>
      </c>
      <c r="HW499" s="19">
        <v>39</v>
      </c>
      <c r="HX499" s="19">
        <v>37.7</v>
      </c>
      <c r="HY499" s="19">
        <v>54.5</v>
      </c>
      <c r="HZ499" s="19">
        <v>53</v>
      </c>
      <c r="IA499" s="19">
        <v>52</v>
      </c>
      <c r="IB499" s="19">
        <v>51</v>
      </c>
    </row>
    <row r="500">
      <c r="A500" s="2" t="s">
        <v>2941</v>
      </c>
      <c r="B500" s="2" t="s">
        <v>773</v>
      </c>
      <c r="C500" s="2" t="s">
        <v>2240</v>
      </c>
      <c r="D500" s="2" t="s">
        <v>985</v>
      </c>
      <c r="E500" s="2" t="s">
        <v>2241</v>
      </c>
      <c r="F500" s="2" t="s">
        <v>2935</v>
      </c>
      <c r="G500" s="2" t="s">
        <v>2935</v>
      </c>
      <c r="H500" s="2" t="s">
        <v>2935</v>
      </c>
      <c r="I500" s="2" t="s">
        <v>2243</v>
      </c>
      <c r="J500" s="2" t="s">
        <v>252</v>
      </c>
      <c r="K500" s="2" t="s">
        <v>1525</v>
      </c>
      <c r="L500" s="3">
        <v>47.3</v>
      </c>
      <c r="M500" s="3">
        <v>49.66</v>
      </c>
      <c r="N500" s="3">
        <v>101.99</v>
      </c>
      <c r="O500" s="2" t="s">
        <v>230</v>
      </c>
      <c r="P500" s="2" t="s">
        <v>231</v>
      </c>
      <c r="Q500" s="2" t="s">
        <v>232</v>
      </c>
      <c r="R500" s="2" t="s">
        <v>233</v>
      </c>
      <c r="S500" s="2" t="s">
        <v>233</v>
      </c>
      <c r="T500" s="2" t="s">
        <v>2765</v>
      </c>
      <c r="U500" s="2" t="s">
        <v>329</v>
      </c>
      <c r="V500" s="2" t="s">
        <v>236</v>
      </c>
      <c r="W500" s="2" t="s">
        <v>237</v>
      </c>
      <c r="X500" s="2" t="s">
        <v>233</v>
      </c>
      <c r="Y500" s="2" t="s">
        <v>2203</v>
      </c>
      <c r="Z500" s="4">
        <v>1301</v>
      </c>
      <c r="AA500" s="4">
        <f>=ROUNDDOWN(173.466666666667,0)</f>
      </c>
      <c r="AB500" s="5">
        <v>7.5</v>
      </c>
      <c r="AC500" s="2" t="s">
        <v>233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233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233</v>
      </c>
      <c r="AW500" s="8" t="s">
        <v>233</v>
      </c>
      <c r="AX500" s="4" t="s">
        <v>233</v>
      </c>
      <c r="AY500" s="8" t="s">
        <v>233</v>
      </c>
      <c r="AZ500" s="7" t="s">
        <v>233</v>
      </c>
      <c r="BA500" s="7" t="s">
        <v>233</v>
      </c>
      <c r="BB500" s="7"/>
      <c r="BC500" s="4" t="s">
        <v>233</v>
      </c>
      <c r="BD500" s="8" t="s">
        <v>233</v>
      </c>
      <c r="BE500" s="4" t="s">
        <v>233</v>
      </c>
      <c r="BF500" s="8" t="s">
        <v>233</v>
      </c>
      <c r="BG500" s="7" t="s">
        <v>233</v>
      </c>
      <c r="BH500" s="7" t="s">
        <v>233</v>
      </c>
      <c r="BI500" s="7"/>
      <c r="BJ500" s="4">
        <v>49</v>
      </c>
      <c r="BK500" s="8">
        <v>2484.23</v>
      </c>
      <c r="BL500" s="2" t="s">
        <v>2942</v>
      </c>
      <c r="BM500" s="7"/>
      <c r="BN500" s="7"/>
      <c r="BO500" s="4"/>
      <c r="BP500" s="8"/>
      <c r="BQ500" s="4"/>
      <c r="BR500" s="8"/>
      <c r="BS500" s="7"/>
      <c r="BT500" s="7"/>
      <c r="BU500" s="2" t="s">
        <v>2937</v>
      </c>
      <c r="BV500" s="2" t="s">
        <v>233</v>
      </c>
      <c r="BW500" s="2" t="s">
        <v>233</v>
      </c>
      <c r="BX500" s="2" t="s">
        <v>2938</v>
      </c>
      <c r="BY500" s="2" t="s">
        <v>242</v>
      </c>
      <c r="BZ500" s="2" t="s">
        <v>230</v>
      </c>
      <c r="CA500" s="2" t="s">
        <v>2939</v>
      </c>
      <c r="CB500" s="2" t="s">
        <v>2943</v>
      </c>
      <c r="CC500" s="2" t="s">
        <v>245</v>
      </c>
      <c r="CD500" s="2" t="s">
        <v>233</v>
      </c>
      <c r="CE500" s="4">
        <v>827</v>
      </c>
      <c r="CF500" s="4">
        <v>474</v>
      </c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>
        <v>1303</v>
      </c>
      <c r="GD500" s="4">
        <v>1293</v>
      </c>
      <c r="GE500" s="4">
        <v>1280</v>
      </c>
      <c r="GF500" s="4">
        <v>1268</v>
      </c>
      <c r="GG500" s="4">
        <v>1242</v>
      </c>
      <c r="GH500" s="4">
        <v>1227</v>
      </c>
      <c r="GI500" s="4">
        <v>1208</v>
      </c>
      <c r="GJ500" s="4">
        <v>1198</v>
      </c>
      <c r="GK500" s="4">
        <v>1194</v>
      </c>
      <c r="GL500" s="4">
        <v>1190</v>
      </c>
      <c r="GM500" s="4">
        <v>1186</v>
      </c>
      <c r="GN500" s="4">
        <v>1181</v>
      </c>
      <c r="GO500" s="4">
        <v>1177</v>
      </c>
      <c r="GP500" s="4">
        <v>1173</v>
      </c>
      <c r="GQ500" s="4">
        <v>1167</v>
      </c>
      <c r="GR500" s="4">
        <v>1163</v>
      </c>
      <c r="GS500" s="4">
        <v>1159</v>
      </c>
      <c r="GT500" s="4">
        <v>1156</v>
      </c>
      <c r="GU500" s="4">
        <v>1153</v>
      </c>
      <c r="GV500" s="4">
        <v>1151</v>
      </c>
      <c r="GW500" s="4">
        <v>1149</v>
      </c>
      <c r="GX500" s="4">
        <v>1147</v>
      </c>
      <c r="GY500" s="4">
        <v>1145</v>
      </c>
      <c r="GZ500" s="4">
        <v>1143</v>
      </c>
      <c r="HA500" s="4">
        <v>1141</v>
      </c>
      <c r="HB500" s="4">
        <v>1140</v>
      </c>
      <c r="HC500" s="19">
        <v>86.9</v>
      </c>
      <c r="HD500" s="19">
        <v>80.8</v>
      </c>
      <c r="HE500" s="19">
        <v>71.1</v>
      </c>
      <c r="HF500" s="19">
        <v>70.4</v>
      </c>
      <c r="HG500" s="19">
        <v>103.5</v>
      </c>
      <c r="HH500" s="19">
        <v>136.3</v>
      </c>
      <c r="HI500" s="19">
        <v>201.3</v>
      </c>
      <c r="HJ500" s="19">
        <v>299.5</v>
      </c>
      <c r="HK500" s="19">
        <v>298.5</v>
      </c>
      <c r="HL500" s="19">
        <v>297.5</v>
      </c>
      <c r="HM500" s="19">
        <v>237.2</v>
      </c>
      <c r="HN500" s="19">
        <v>295.3</v>
      </c>
      <c r="HO500" s="19">
        <v>294.3</v>
      </c>
      <c r="HP500" s="19">
        <v>293.3</v>
      </c>
      <c r="HQ500" s="19">
        <v>291.8</v>
      </c>
      <c r="HR500" s="19">
        <v>387.7</v>
      </c>
      <c r="HS500" s="19">
        <v>579.5</v>
      </c>
      <c r="HT500" s="19">
        <v>578</v>
      </c>
      <c r="HU500" s="19">
        <v>576.5</v>
      </c>
      <c r="HV500" s="19">
        <v>575.5</v>
      </c>
      <c r="HW500" s="19">
        <v>574.5</v>
      </c>
      <c r="HX500" s="19">
        <v>573.5</v>
      </c>
      <c r="HY500" s="19">
        <v>572.5</v>
      </c>
      <c r="HZ500" s="19">
        <v>571.5</v>
      </c>
      <c r="IA500" s="19">
        <v>570.5</v>
      </c>
      <c r="IB500" s="19">
        <v>570</v>
      </c>
    </row>
    <row r="501">
      <c r="A501" s="2" t="s">
        <v>2944</v>
      </c>
      <c r="B501" s="2" t="s">
        <v>773</v>
      </c>
      <c r="C501" s="2" t="s">
        <v>2240</v>
      </c>
      <c r="D501" s="2" t="s">
        <v>985</v>
      </c>
      <c r="E501" s="2" t="s">
        <v>2241</v>
      </c>
      <c r="F501" s="2" t="s">
        <v>2935</v>
      </c>
      <c r="G501" s="2" t="s">
        <v>2935</v>
      </c>
      <c r="H501" s="2" t="s">
        <v>2935</v>
      </c>
      <c r="I501" s="2" t="s">
        <v>2243</v>
      </c>
      <c r="J501" s="2" t="s">
        <v>336</v>
      </c>
      <c r="K501" s="2" t="s">
        <v>1525</v>
      </c>
      <c r="L501" s="3">
        <v>69.56</v>
      </c>
      <c r="M501" s="3">
        <v>73.04</v>
      </c>
      <c r="N501" s="3">
        <v>149.99</v>
      </c>
      <c r="O501" s="2" t="s">
        <v>230</v>
      </c>
      <c r="P501" s="2" t="s">
        <v>231</v>
      </c>
      <c r="Q501" s="2" t="s">
        <v>232</v>
      </c>
      <c r="R501" s="2" t="s">
        <v>233</v>
      </c>
      <c r="S501" s="2" t="s">
        <v>233</v>
      </c>
      <c r="T501" s="2" t="s">
        <v>2765</v>
      </c>
      <c r="U501" s="2" t="s">
        <v>329</v>
      </c>
      <c r="V501" s="2" t="s">
        <v>236</v>
      </c>
      <c r="W501" s="2" t="s">
        <v>237</v>
      </c>
      <c r="X501" s="2" t="s">
        <v>233</v>
      </c>
      <c r="Y501" s="2" t="s">
        <v>2203</v>
      </c>
      <c r="Z501" s="4">
        <v>313</v>
      </c>
      <c r="AA501" s="4">
        <f>=ROUNDDOWN(39.620253164557,0)</f>
      </c>
      <c r="AB501" s="5">
        <v>7.9</v>
      </c>
      <c r="AC501" s="2" t="s">
        <v>140</v>
      </c>
      <c r="AD501" s="4">
        <v>140</v>
      </c>
      <c r="AE501" s="4">
        <v>140</v>
      </c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233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233</v>
      </c>
      <c r="AW501" s="8" t="s">
        <v>233</v>
      </c>
      <c r="AX501" s="4" t="s">
        <v>233</v>
      </c>
      <c r="AY501" s="8" t="s">
        <v>233</v>
      </c>
      <c r="AZ501" s="7" t="s">
        <v>233</v>
      </c>
      <c r="BA501" s="7" t="s">
        <v>233</v>
      </c>
      <c r="BB501" s="7"/>
      <c r="BC501" s="4" t="s">
        <v>233</v>
      </c>
      <c r="BD501" s="8" t="s">
        <v>233</v>
      </c>
      <c r="BE501" s="4" t="s">
        <v>233</v>
      </c>
      <c r="BF501" s="8" t="s">
        <v>233</v>
      </c>
      <c r="BG501" s="7" t="s">
        <v>233</v>
      </c>
      <c r="BH501" s="7" t="s">
        <v>233</v>
      </c>
      <c r="BI501" s="7"/>
      <c r="BJ501" s="4">
        <v>61</v>
      </c>
      <c r="BK501" s="8">
        <v>4634.57</v>
      </c>
      <c r="BL501" s="2" t="s">
        <v>2945</v>
      </c>
      <c r="BM501" s="7"/>
      <c r="BN501" s="7"/>
      <c r="BO501" s="4"/>
      <c r="BP501" s="8"/>
      <c r="BQ501" s="4"/>
      <c r="BR501" s="8"/>
      <c r="BS501" s="7"/>
      <c r="BT501" s="7"/>
      <c r="BU501" s="2" t="s">
        <v>2937</v>
      </c>
      <c r="BV501" s="2" t="s">
        <v>233</v>
      </c>
      <c r="BW501" s="2" t="s">
        <v>233</v>
      </c>
      <c r="BX501" s="2" t="s">
        <v>2938</v>
      </c>
      <c r="BY501" s="2" t="s">
        <v>242</v>
      </c>
      <c r="BZ501" s="2" t="s">
        <v>230</v>
      </c>
      <c r="CA501" s="2" t="s">
        <v>2939</v>
      </c>
      <c r="CB501" s="2" t="s">
        <v>2946</v>
      </c>
      <c r="CC501" s="2" t="s">
        <v>245</v>
      </c>
      <c r="CD501" s="2" t="s">
        <v>233</v>
      </c>
      <c r="CE501" s="4">
        <v>313</v>
      </c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>
        <v>140</v>
      </c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>
        <v>317</v>
      </c>
      <c r="GD501" s="4">
        <v>302</v>
      </c>
      <c r="GE501" s="4">
        <v>422</v>
      </c>
      <c r="GF501" s="4">
        <v>403</v>
      </c>
      <c r="GG501" s="4">
        <v>358</v>
      </c>
      <c r="GH501" s="4">
        <v>332</v>
      </c>
      <c r="GI501" s="4">
        <v>299</v>
      </c>
      <c r="GJ501" s="4">
        <v>282</v>
      </c>
      <c r="GK501" s="4">
        <v>276</v>
      </c>
      <c r="GL501" s="4">
        <v>268</v>
      </c>
      <c r="GM501" s="4">
        <v>259</v>
      </c>
      <c r="GN501" s="4">
        <v>249</v>
      </c>
      <c r="GO501" s="4">
        <v>241</v>
      </c>
      <c r="GP501" s="4">
        <v>233</v>
      </c>
      <c r="GQ501" s="4">
        <v>228</v>
      </c>
      <c r="GR501" s="4">
        <v>223</v>
      </c>
      <c r="GS501" s="4">
        <v>219</v>
      </c>
      <c r="GT501" s="4">
        <v>215</v>
      </c>
      <c r="GU501" s="4">
        <v>213</v>
      </c>
      <c r="GV501" s="4">
        <v>210</v>
      </c>
      <c r="GW501" s="4">
        <v>205</v>
      </c>
      <c r="GX501" s="4">
        <v>203</v>
      </c>
      <c r="GY501" s="4">
        <v>200</v>
      </c>
      <c r="GZ501" s="4">
        <v>198</v>
      </c>
      <c r="HA501" s="4">
        <v>197</v>
      </c>
      <c r="HB501" s="4">
        <v>196</v>
      </c>
      <c r="HC501" s="19">
        <v>12.7</v>
      </c>
      <c r="HD501" s="19">
        <v>10.8</v>
      </c>
      <c r="HE501" s="19">
        <v>13.6</v>
      </c>
      <c r="HF501" s="19">
        <v>13.4</v>
      </c>
      <c r="HG501" s="19">
        <v>17.9</v>
      </c>
      <c r="HH501" s="19">
        <v>20.8</v>
      </c>
      <c r="HI501" s="19">
        <v>29.9</v>
      </c>
      <c r="HJ501" s="19">
        <v>35.3</v>
      </c>
      <c r="HK501" s="19">
        <v>30.7</v>
      </c>
      <c r="HL501" s="19">
        <v>29.8</v>
      </c>
      <c r="HM501" s="19">
        <v>32.4</v>
      </c>
      <c r="HN501" s="19">
        <v>41.5</v>
      </c>
      <c r="HO501" s="19">
        <v>40.2</v>
      </c>
      <c r="HP501" s="19">
        <v>58.3</v>
      </c>
      <c r="HQ501" s="19">
        <v>57</v>
      </c>
      <c r="HR501" s="19">
        <v>74.3</v>
      </c>
      <c r="HS501" s="19">
        <v>54.8</v>
      </c>
      <c r="HT501" s="19">
        <v>71.7</v>
      </c>
      <c r="HU501" s="19">
        <v>71</v>
      </c>
      <c r="HV501" s="19">
        <v>70</v>
      </c>
      <c r="HW501" s="19">
        <v>102.5</v>
      </c>
      <c r="HX501" s="19">
        <v>101.5</v>
      </c>
      <c r="HY501" s="19">
        <v>100</v>
      </c>
      <c r="HZ501" s="19">
        <v>99</v>
      </c>
      <c r="IA501" s="19">
        <v>98.5</v>
      </c>
      <c r="IB501" s="19">
        <v>98</v>
      </c>
    </row>
    <row r="502">
      <c r="A502" s="2" t="s">
        <v>2947</v>
      </c>
      <c r="B502" s="2" t="s">
        <v>773</v>
      </c>
      <c r="C502" s="2" t="s">
        <v>2240</v>
      </c>
      <c r="D502" s="2" t="s">
        <v>985</v>
      </c>
      <c r="E502" s="2" t="s">
        <v>2241</v>
      </c>
      <c r="F502" s="2" t="s">
        <v>2935</v>
      </c>
      <c r="G502" s="2" t="s">
        <v>2935</v>
      </c>
      <c r="H502" s="2" t="s">
        <v>2935</v>
      </c>
      <c r="I502" s="2" t="s">
        <v>2243</v>
      </c>
      <c r="J502" s="2" t="s">
        <v>256</v>
      </c>
      <c r="K502" s="2" t="s">
        <v>1525</v>
      </c>
      <c r="L502" s="3">
        <v>75.13</v>
      </c>
      <c r="M502" s="3">
        <v>78.89</v>
      </c>
      <c r="N502" s="3">
        <v>159.99</v>
      </c>
      <c r="O502" s="2" t="s">
        <v>230</v>
      </c>
      <c r="P502" s="2" t="s">
        <v>231</v>
      </c>
      <c r="Q502" s="2" t="s">
        <v>232</v>
      </c>
      <c r="R502" s="2" t="s">
        <v>233</v>
      </c>
      <c r="S502" s="2" t="s">
        <v>233</v>
      </c>
      <c r="T502" s="2" t="s">
        <v>2765</v>
      </c>
      <c r="U502" s="2" t="s">
        <v>329</v>
      </c>
      <c r="V502" s="2" t="s">
        <v>236</v>
      </c>
      <c r="W502" s="2" t="s">
        <v>237</v>
      </c>
      <c r="X502" s="2" t="s">
        <v>233</v>
      </c>
      <c r="Y502" s="2" t="s">
        <v>2203</v>
      </c>
      <c r="Z502" s="4">
        <v>368</v>
      </c>
      <c r="AA502" s="4">
        <f>=ROUNDDOWN(36.8,0)</f>
      </c>
      <c r="AB502" s="5">
        <v>10</v>
      </c>
      <c r="AC502" s="2" t="s">
        <v>233</v>
      </c>
      <c r="AD502" s="4"/>
      <c r="AE502" s="4"/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233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233</v>
      </c>
      <c r="AW502" s="8" t="s">
        <v>233</v>
      </c>
      <c r="AX502" s="4" t="s">
        <v>233</v>
      </c>
      <c r="AY502" s="8" t="s">
        <v>233</v>
      </c>
      <c r="AZ502" s="7" t="s">
        <v>233</v>
      </c>
      <c r="BA502" s="7" t="s">
        <v>233</v>
      </c>
      <c r="BB502" s="7"/>
      <c r="BC502" s="4" t="s">
        <v>233</v>
      </c>
      <c r="BD502" s="8" t="s">
        <v>233</v>
      </c>
      <c r="BE502" s="4" t="s">
        <v>233</v>
      </c>
      <c r="BF502" s="8" t="s">
        <v>233</v>
      </c>
      <c r="BG502" s="7" t="s">
        <v>233</v>
      </c>
      <c r="BH502" s="7" t="s">
        <v>233</v>
      </c>
      <c r="BI502" s="7"/>
      <c r="BJ502" s="4">
        <v>64</v>
      </c>
      <c r="BK502" s="8">
        <v>5251.45</v>
      </c>
      <c r="BL502" s="2" t="s">
        <v>2948</v>
      </c>
      <c r="BM502" s="7"/>
      <c r="BN502" s="7"/>
      <c r="BO502" s="4"/>
      <c r="BP502" s="8"/>
      <c r="BQ502" s="4"/>
      <c r="BR502" s="8"/>
      <c r="BS502" s="7"/>
      <c r="BT502" s="7"/>
      <c r="BU502" s="2" t="s">
        <v>2937</v>
      </c>
      <c r="BV502" s="2" t="s">
        <v>233</v>
      </c>
      <c r="BW502" s="2" t="s">
        <v>233</v>
      </c>
      <c r="BX502" s="2" t="s">
        <v>2938</v>
      </c>
      <c r="BY502" s="2" t="s">
        <v>242</v>
      </c>
      <c r="BZ502" s="2" t="s">
        <v>230</v>
      </c>
      <c r="CA502" s="2" t="s">
        <v>2939</v>
      </c>
      <c r="CB502" s="2" t="s">
        <v>2949</v>
      </c>
      <c r="CC502" s="2" t="s">
        <v>245</v>
      </c>
      <c r="CD502" s="2" t="s">
        <v>233</v>
      </c>
      <c r="CE502" s="4">
        <v>368</v>
      </c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>
        <v>379</v>
      </c>
      <c r="GD502" s="4">
        <v>358</v>
      </c>
      <c r="GE502" s="4">
        <v>340</v>
      </c>
      <c r="GF502" s="4">
        <v>323</v>
      </c>
      <c r="GG502" s="4">
        <v>285</v>
      </c>
      <c r="GH502" s="4">
        <v>263</v>
      </c>
      <c r="GI502" s="4">
        <v>236</v>
      </c>
      <c r="GJ502" s="4">
        <v>222</v>
      </c>
      <c r="GK502" s="4">
        <v>217</v>
      </c>
      <c r="GL502" s="4">
        <v>210</v>
      </c>
      <c r="GM502" s="4">
        <v>202</v>
      </c>
      <c r="GN502" s="4">
        <v>193</v>
      </c>
      <c r="GO502" s="4">
        <v>186</v>
      </c>
      <c r="GP502" s="4">
        <v>179</v>
      </c>
      <c r="GQ502" s="4">
        <v>173</v>
      </c>
      <c r="GR502" s="4">
        <v>167</v>
      </c>
      <c r="GS502" s="4">
        <v>161</v>
      </c>
      <c r="GT502" s="4">
        <v>156</v>
      </c>
      <c r="GU502" s="4">
        <v>152</v>
      </c>
      <c r="GV502" s="4">
        <v>148</v>
      </c>
      <c r="GW502" s="4">
        <v>142</v>
      </c>
      <c r="GX502" s="4">
        <v>139</v>
      </c>
      <c r="GY502" s="4">
        <v>136</v>
      </c>
      <c r="GZ502" s="4">
        <v>134</v>
      </c>
      <c r="HA502" s="4">
        <v>133</v>
      </c>
      <c r="HB502" s="4">
        <v>132</v>
      </c>
      <c r="HC502" s="19">
        <v>15.8</v>
      </c>
      <c r="HD502" s="19">
        <v>14.9</v>
      </c>
      <c r="HE502" s="19">
        <v>13.1</v>
      </c>
      <c r="HF502" s="19">
        <v>12.9</v>
      </c>
      <c r="HG502" s="19">
        <v>16.8</v>
      </c>
      <c r="HH502" s="19">
        <v>20.2</v>
      </c>
      <c r="HI502" s="19">
        <v>29.5</v>
      </c>
      <c r="HJ502" s="19">
        <v>31.7</v>
      </c>
      <c r="HK502" s="19">
        <v>27.1</v>
      </c>
      <c r="HL502" s="19">
        <v>26.3</v>
      </c>
      <c r="HM502" s="19">
        <v>28.9</v>
      </c>
      <c r="HN502" s="19">
        <v>32.2</v>
      </c>
      <c r="HO502" s="19">
        <v>31</v>
      </c>
      <c r="HP502" s="19">
        <v>29.8</v>
      </c>
      <c r="HQ502" s="19">
        <v>34.6</v>
      </c>
      <c r="HR502" s="19">
        <v>33.4</v>
      </c>
      <c r="HS502" s="19">
        <v>32.2</v>
      </c>
      <c r="HT502" s="19">
        <v>39</v>
      </c>
      <c r="HU502" s="19">
        <v>38</v>
      </c>
      <c r="HV502" s="19">
        <v>37</v>
      </c>
      <c r="HW502" s="19">
        <v>71</v>
      </c>
      <c r="HX502" s="19">
        <v>69.5</v>
      </c>
      <c r="HY502" s="19">
        <v>68</v>
      </c>
      <c r="HZ502" s="19">
        <v>67</v>
      </c>
      <c r="IA502" s="19">
        <v>66.5</v>
      </c>
      <c r="IB502" s="19">
        <v>66</v>
      </c>
    </row>
    <row r="503">
      <c r="A503" s="2" t="s">
        <v>2950</v>
      </c>
      <c r="B503" s="2" t="s">
        <v>773</v>
      </c>
      <c r="C503" s="2" t="s">
        <v>2240</v>
      </c>
      <c r="D503" s="2" t="s">
        <v>985</v>
      </c>
      <c r="E503" s="2" t="s">
        <v>2241</v>
      </c>
      <c r="F503" s="2" t="s">
        <v>2935</v>
      </c>
      <c r="G503" s="2" t="s">
        <v>2935</v>
      </c>
      <c r="H503" s="2" t="s">
        <v>2935</v>
      </c>
      <c r="I503" s="2" t="s">
        <v>2243</v>
      </c>
      <c r="J503" s="2" t="s">
        <v>228</v>
      </c>
      <c r="K503" s="2" t="s">
        <v>1108</v>
      </c>
      <c r="L503" s="3">
        <v>41.73</v>
      </c>
      <c r="M503" s="3">
        <v>43.82</v>
      </c>
      <c r="N503" s="3">
        <v>89.99</v>
      </c>
      <c r="O503" s="2" t="s">
        <v>230</v>
      </c>
      <c r="P503" s="2" t="s">
        <v>231</v>
      </c>
      <c r="Q503" s="2" t="s">
        <v>232</v>
      </c>
      <c r="R503" s="2" t="s">
        <v>233</v>
      </c>
      <c r="S503" s="2" t="s">
        <v>233</v>
      </c>
      <c r="T503" s="2" t="s">
        <v>2765</v>
      </c>
      <c r="U503" s="2" t="s">
        <v>329</v>
      </c>
      <c r="V503" s="2" t="s">
        <v>236</v>
      </c>
      <c r="W503" s="2" t="s">
        <v>237</v>
      </c>
      <c r="X503" s="2" t="s">
        <v>233</v>
      </c>
      <c r="Y503" s="2" t="s">
        <v>2203</v>
      </c>
      <c r="Z503" s="4">
        <v>256</v>
      </c>
      <c r="AA503" s="4">
        <f>=ROUNDDOWN(36.5714285714286,0)</f>
      </c>
      <c r="AB503" s="5">
        <v>7</v>
      </c>
      <c r="AC503" s="2" t="s">
        <v>233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233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233</v>
      </c>
      <c r="AW503" s="8" t="s">
        <v>233</v>
      </c>
      <c r="AX503" s="4" t="s">
        <v>233</v>
      </c>
      <c r="AY503" s="8" t="s">
        <v>233</v>
      </c>
      <c r="AZ503" s="7" t="s">
        <v>233</v>
      </c>
      <c r="BA503" s="7" t="s">
        <v>233</v>
      </c>
      <c r="BB503" s="7"/>
      <c r="BC503" s="4" t="s">
        <v>233</v>
      </c>
      <c r="BD503" s="8" t="s">
        <v>233</v>
      </c>
      <c r="BE503" s="4" t="s">
        <v>233</v>
      </c>
      <c r="BF503" s="8" t="s">
        <v>233</v>
      </c>
      <c r="BG503" s="7" t="s">
        <v>233</v>
      </c>
      <c r="BH503" s="7" t="s">
        <v>233</v>
      </c>
      <c r="BI503" s="7"/>
      <c r="BJ503" s="4">
        <v>54</v>
      </c>
      <c r="BK503" s="8">
        <v>2410.59</v>
      </c>
      <c r="BL503" s="2" t="s">
        <v>2951</v>
      </c>
      <c r="BM503" s="7"/>
      <c r="BN503" s="7"/>
      <c r="BO503" s="4"/>
      <c r="BP503" s="8"/>
      <c r="BQ503" s="4"/>
      <c r="BR503" s="8"/>
      <c r="BS503" s="7"/>
      <c r="BT503" s="7"/>
      <c r="BU503" s="2" t="s">
        <v>2937</v>
      </c>
      <c r="BV503" s="2" t="s">
        <v>233</v>
      </c>
      <c r="BW503" s="2" t="s">
        <v>233</v>
      </c>
      <c r="BX503" s="2" t="s">
        <v>2938</v>
      </c>
      <c r="BY503" s="2" t="s">
        <v>242</v>
      </c>
      <c r="BZ503" s="2" t="s">
        <v>230</v>
      </c>
      <c r="CA503" s="2" t="s">
        <v>2939</v>
      </c>
      <c r="CB503" s="2" t="s">
        <v>2952</v>
      </c>
      <c r="CC503" s="2" t="s">
        <v>245</v>
      </c>
      <c r="CD503" s="2" t="s">
        <v>233</v>
      </c>
      <c r="CE503" s="4">
        <v>256</v>
      </c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>
        <v>257</v>
      </c>
      <c r="GD503" s="4">
        <v>249</v>
      </c>
      <c r="GE503" s="4">
        <v>237</v>
      </c>
      <c r="GF503" s="4">
        <v>226</v>
      </c>
      <c r="GG503" s="4">
        <v>198</v>
      </c>
      <c r="GH503" s="4">
        <v>181</v>
      </c>
      <c r="GI503" s="4">
        <v>160</v>
      </c>
      <c r="GJ503" s="4">
        <v>149</v>
      </c>
      <c r="GK503" s="4">
        <v>145</v>
      </c>
      <c r="GL503" s="4">
        <v>139</v>
      </c>
      <c r="GM503" s="4">
        <v>132</v>
      </c>
      <c r="GN503" s="4">
        <v>124</v>
      </c>
      <c r="GO503" s="4">
        <v>118</v>
      </c>
      <c r="GP503" s="4">
        <v>112</v>
      </c>
      <c r="GQ503" s="4">
        <v>106</v>
      </c>
      <c r="GR503" s="4">
        <v>100</v>
      </c>
      <c r="GS503" s="4">
        <v>94</v>
      </c>
      <c r="GT503" s="4">
        <v>88</v>
      </c>
      <c r="GU503" s="4">
        <v>84</v>
      </c>
      <c r="GV503" s="4">
        <v>76</v>
      </c>
      <c r="GW503" s="4">
        <v>70</v>
      </c>
      <c r="GX503" s="4">
        <v>66</v>
      </c>
      <c r="GY503" s="4">
        <v>62</v>
      </c>
      <c r="GZ503" s="4">
        <v>59</v>
      </c>
      <c r="HA503" s="4">
        <v>57</v>
      </c>
      <c r="HB503" s="4">
        <v>55</v>
      </c>
      <c r="HC503" s="19">
        <v>17.1</v>
      </c>
      <c r="HD503" s="19">
        <v>14.6</v>
      </c>
      <c r="HE503" s="19">
        <v>12.5</v>
      </c>
      <c r="HF503" s="19">
        <v>11.9</v>
      </c>
      <c r="HG503" s="19">
        <v>15.2</v>
      </c>
      <c r="HH503" s="19">
        <v>18.1</v>
      </c>
      <c r="HI503" s="19">
        <v>22.9</v>
      </c>
      <c r="HJ503" s="19">
        <v>24.8</v>
      </c>
      <c r="HK503" s="19">
        <v>20.7</v>
      </c>
      <c r="HL503" s="19">
        <v>19.9</v>
      </c>
      <c r="HM503" s="19">
        <v>22</v>
      </c>
      <c r="HN503" s="19">
        <v>20.7</v>
      </c>
      <c r="HO503" s="19">
        <v>19.7</v>
      </c>
      <c r="HP503" s="19">
        <v>18.7</v>
      </c>
      <c r="HQ503" s="19">
        <v>17.7</v>
      </c>
      <c r="HR503" s="19">
        <v>16.7</v>
      </c>
      <c r="HS503" s="19">
        <v>15.7</v>
      </c>
      <c r="HT503" s="19">
        <v>14.7</v>
      </c>
      <c r="HU503" s="19">
        <v>14</v>
      </c>
      <c r="HV503" s="19">
        <v>19</v>
      </c>
      <c r="HW503" s="19">
        <v>23.3</v>
      </c>
      <c r="HX503" s="19">
        <v>22</v>
      </c>
      <c r="HY503" s="19">
        <v>31</v>
      </c>
      <c r="HZ503" s="19">
        <v>29.5</v>
      </c>
      <c r="IA503" s="19">
        <v>28.5</v>
      </c>
      <c r="IB503" s="19">
        <v>27.5</v>
      </c>
    </row>
    <row r="504">
      <c r="A504" s="2" t="s">
        <v>2953</v>
      </c>
      <c r="B504" s="2" t="s">
        <v>773</v>
      </c>
      <c r="C504" s="2" t="s">
        <v>2240</v>
      </c>
      <c r="D504" s="2" t="s">
        <v>985</v>
      </c>
      <c r="E504" s="2" t="s">
        <v>2241</v>
      </c>
      <c r="F504" s="2" t="s">
        <v>2935</v>
      </c>
      <c r="G504" s="2" t="s">
        <v>2935</v>
      </c>
      <c r="H504" s="2" t="s">
        <v>2935</v>
      </c>
      <c r="I504" s="2" t="s">
        <v>2243</v>
      </c>
      <c r="J504" s="2" t="s">
        <v>252</v>
      </c>
      <c r="K504" s="2" t="s">
        <v>1108</v>
      </c>
      <c r="L504" s="3">
        <v>47.3</v>
      </c>
      <c r="M504" s="3">
        <v>49.66</v>
      </c>
      <c r="N504" s="3">
        <v>101.99</v>
      </c>
      <c r="O504" s="2" t="s">
        <v>230</v>
      </c>
      <c r="P504" s="2" t="s">
        <v>231</v>
      </c>
      <c r="Q504" s="2" t="s">
        <v>232</v>
      </c>
      <c r="R504" s="2" t="s">
        <v>233</v>
      </c>
      <c r="S504" s="2" t="s">
        <v>233</v>
      </c>
      <c r="T504" s="2" t="s">
        <v>2765</v>
      </c>
      <c r="U504" s="2" t="s">
        <v>329</v>
      </c>
      <c r="V504" s="2" t="s">
        <v>236</v>
      </c>
      <c r="W504" s="2" t="s">
        <v>237</v>
      </c>
      <c r="X504" s="2" t="s">
        <v>233</v>
      </c>
      <c r="Y504" s="2" t="s">
        <v>2203</v>
      </c>
      <c r="Z504" s="4">
        <v>261</v>
      </c>
      <c r="AA504" s="4">
        <f>=ROUNDDOWN(29,0)</f>
      </c>
      <c r="AB504" s="5">
        <v>9</v>
      </c>
      <c r="AC504" s="2" t="s">
        <v>140</v>
      </c>
      <c r="AD504" s="4">
        <v>130</v>
      </c>
      <c r="AE504" s="4">
        <v>130</v>
      </c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233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233</v>
      </c>
      <c r="AW504" s="8" t="s">
        <v>233</v>
      </c>
      <c r="AX504" s="4" t="s">
        <v>233</v>
      </c>
      <c r="AY504" s="8" t="s">
        <v>233</v>
      </c>
      <c r="AZ504" s="7" t="s">
        <v>233</v>
      </c>
      <c r="BA504" s="7" t="s">
        <v>233</v>
      </c>
      <c r="BB504" s="7"/>
      <c r="BC504" s="4" t="s">
        <v>233</v>
      </c>
      <c r="BD504" s="8" t="s">
        <v>233</v>
      </c>
      <c r="BE504" s="4" t="s">
        <v>233</v>
      </c>
      <c r="BF504" s="8" t="s">
        <v>233</v>
      </c>
      <c r="BG504" s="7" t="s">
        <v>233</v>
      </c>
      <c r="BH504" s="7" t="s">
        <v>233</v>
      </c>
      <c r="BI504" s="7"/>
      <c r="BJ504" s="4">
        <v>71</v>
      </c>
      <c r="BK504" s="8">
        <v>3660.53</v>
      </c>
      <c r="BL504" s="2" t="s">
        <v>2945</v>
      </c>
      <c r="BM504" s="7"/>
      <c r="BN504" s="7"/>
      <c r="BO504" s="4"/>
      <c r="BP504" s="8"/>
      <c r="BQ504" s="4"/>
      <c r="BR504" s="8"/>
      <c r="BS504" s="7"/>
      <c r="BT504" s="7"/>
      <c r="BU504" s="2" t="s">
        <v>2937</v>
      </c>
      <c r="BV504" s="2" t="s">
        <v>233</v>
      </c>
      <c r="BW504" s="2" t="s">
        <v>233</v>
      </c>
      <c r="BX504" s="2" t="s">
        <v>2938</v>
      </c>
      <c r="BY504" s="2" t="s">
        <v>242</v>
      </c>
      <c r="BZ504" s="2" t="s">
        <v>230</v>
      </c>
      <c r="CA504" s="2" t="s">
        <v>2939</v>
      </c>
      <c r="CB504" s="2" t="s">
        <v>2954</v>
      </c>
      <c r="CC504" s="2" t="s">
        <v>245</v>
      </c>
      <c r="CD504" s="2" t="s">
        <v>233</v>
      </c>
      <c r="CE504" s="4">
        <v>261</v>
      </c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>
        <v>130</v>
      </c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>
        <v>266</v>
      </c>
      <c r="GD504" s="4">
        <v>250</v>
      </c>
      <c r="GE504" s="4">
        <v>361</v>
      </c>
      <c r="GF504" s="4">
        <v>343</v>
      </c>
      <c r="GG504" s="4">
        <v>304</v>
      </c>
      <c r="GH504" s="4">
        <v>281</v>
      </c>
      <c r="GI504" s="4">
        <v>253</v>
      </c>
      <c r="GJ504" s="4">
        <v>239</v>
      </c>
      <c r="GK504" s="4">
        <v>234</v>
      </c>
      <c r="GL504" s="4">
        <v>228</v>
      </c>
      <c r="GM504" s="4">
        <v>222</v>
      </c>
      <c r="GN504" s="4">
        <v>215</v>
      </c>
      <c r="GO504" s="4">
        <v>210</v>
      </c>
      <c r="GP504" s="4">
        <v>205</v>
      </c>
      <c r="GQ504" s="4">
        <v>199</v>
      </c>
      <c r="GR504" s="4">
        <v>194</v>
      </c>
      <c r="GS504" s="4">
        <v>189</v>
      </c>
      <c r="GT504" s="4">
        <v>185</v>
      </c>
      <c r="GU504" s="4">
        <v>181</v>
      </c>
      <c r="GV504" s="4">
        <v>178</v>
      </c>
      <c r="GW504" s="4">
        <v>175</v>
      </c>
      <c r="GX504" s="4">
        <v>172</v>
      </c>
      <c r="GY504" s="4">
        <v>170</v>
      </c>
      <c r="GZ504" s="4">
        <v>168</v>
      </c>
      <c r="HA504" s="4">
        <v>166</v>
      </c>
      <c r="HB504" s="4">
        <v>165</v>
      </c>
      <c r="HC504" s="19">
        <v>11.6</v>
      </c>
      <c r="HD504" s="19">
        <v>10</v>
      </c>
      <c r="HE504" s="19">
        <v>13.4</v>
      </c>
      <c r="HF504" s="19">
        <v>13.2</v>
      </c>
      <c r="HG504" s="19">
        <v>16.9</v>
      </c>
      <c r="HH504" s="19">
        <v>21.6</v>
      </c>
      <c r="HI504" s="19">
        <v>31.6</v>
      </c>
      <c r="HJ504" s="19">
        <v>39.8</v>
      </c>
      <c r="HK504" s="19">
        <v>39</v>
      </c>
      <c r="HL504" s="19">
        <v>38</v>
      </c>
      <c r="HM504" s="19">
        <v>37</v>
      </c>
      <c r="HN504" s="19">
        <v>43</v>
      </c>
      <c r="HO504" s="19">
        <v>42</v>
      </c>
      <c r="HP504" s="19">
        <v>41</v>
      </c>
      <c r="HQ504" s="19">
        <v>49.8</v>
      </c>
      <c r="HR504" s="19">
        <v>48.5</v>
      </c>
      <c r="HS504" s="19">
        <v>47.3</v>
      </c>
      <c r="HT504" s="19">
        <v>61.7</v>
      </c>
      <c r="HU504" s="19">
        <v>60.3</v>
      </c>
      <c r="HV504" s="19">
        <v>89</v>
      </c>
      <c r="HW504" s="19">
        <v>87.5</v>
      </c>
      <c r="HX504" s="19">
        <v>86</v>
      </c>
      <c r="HY504" s="19">
        <v>85</v>
      </c>
      <c r="HZ504" s="19">
        <v>84</v>
      </c>
      <c r="IA504" s="19">
        <v>55.3</v>
      </c>
      <c r="IB504" s="19">
        <v>55</v>
      </c>
    </row>
    <row r="505">
      <c r="A505" s="2" t="s">
        <v>2955</v>
      </c>
      <c r="B505" s="2" t="s">
        <v>773</v>
      </c>
      <c r="C505" s="2" t="s">
        <v>2240</v>
      </c>
      <c r="D505" s="2" t="s">
        <v>985</v>
      </c>
      <c r="E505" s="2" t="s">
        <v>2241</v>
      </c>
      <c r="F505" s="2" t="s">
        <v>2935</v>
      </c>
      <c r="G505" s="2" t="s">
        <v>2935</v>
      </c>
      <c r="H505" s="2" t="s">
        <v>2935</v>
      </c>
      <c r="I505" s="2" t="s">
        <v>2243</v>
      </c>
      <c r="J505" s="2" t="s">
        <v>336</v>
      </c>
      <c r="K505" s="2" t="s">
        <v>1108</v>
      </c>
      <c r="L505" s="3">
        <v>69.56</v>
      </c>
      <c r="M505" s="3">
        <v>73.04</v>
      </c>
      <c r="N505" s="3">
        <v>149.99</v>
      </c>
      <c r="O505" s="2" t="s">
        <v>230</v>
      </c>
      <c r="P505" s="2" t="s">
        <v>231</v>
      </c>
      <c r="Q505" s="2" t="s">
        <v>232</v>
      </c>
      <c r="R505" s="2" t="s">
        <v>233</v>
      </c>
      <c r="S505" s="2" t="s">
        <v>233</v>
      </c>
      <c r="T505" s="2" t="s">
        <v>2765</v>
      </c>
      <c r="U505" s="2" t="s">
        <v>329</v>
      </c>
      <c r="V505" s="2" t="s">
        <v>236</v>
      </c>
      <c r="W505" s="2" t="s">
        <v>237</v>
      </c>
      <c r="X505" s="2" t="s">
        <v>233</v>
      </c>
      <c r="Y505" s="2" t="s">
        <v>2203</v>
      </c>
      <c r="Z505" s="4">
        <v>498</v>
      </c>
      <c r="AA505" s="4">
        <f>=ROUNDDOWN(41.5,0)</f>
      </c>
      <c r="AB505" s="5">
        <v>12</v>
      </c>
      <c r="AC505" s="2" t="s">
        <v>233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233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233</v>
      </c>
      <c r="AW505" s="8" t="s">
        <v>233</v>
      </c>
      <c r="AX505" s="4" t="s">
        <v>233</v>
      </c>
      <c r="AY505" s="8" t="s">
        <v>233</v>
      </c>
      <c r="AZ505" s="7" t="s">
        <v>233</v>
      </c>
      <c r="BA505" s="7" t="s">
        <v>233</v>
      </c>
      <c r="BB505" s="7"/>
      <c r="BC505" s="4" t="s">
        <v>233</v>
      </c>
      <c r="BD505" s="8" t="s">
        <v>233</v>
      </c>
      <c r="BE505" s="4" t="s">
        <v>233</v>
      </c>
      <c r="BF505" s="8" t="s">
        <v>233</v>
      </c>
      <c r="BG505" s="7" t="s">
        <v>233</v>
      </c>
      <c r="BH505" s="7" t="s">
        <v>233</v>
      </c>
      <c r="BI505" s="7"/>
      <c r="BJ505" s="4">
        <v>64</v>
      </c>
      <c r="BK505" s="8">
        <v>4840.61</v>
      </c>
      <c r="BL505" s="2" t="s">
        <v>2956</v>
      </c>
      <c r="BM505" s="7"/>
      <c r="BN505" s="7"/>
      <c r="BO505" s="4"/>
      <c r="BP505" s="8"/>
      <c r="BQ505" s="4"/>
      <c r="BR505" s="8"/>
      <c r="BS505" s="7"/>
      <c r="BT505" s="7"/>
      <c r="BU505" s="2" t="s">
        <v>2937</v>
      </c>
      <c r="BV505" s="2" t="s">
        <v>233</v>
      </c>
      <c r="BW505" s="2" t="s">
        <v>233</v>
      </c>
      <c r="BX505" s="2" t="s">
        <v>2938</v>
      </c>
      <c r="BY505" s="2" t="s">
        <v>242</v>
      </c>
      <c r="BZ505" s="2" t="s">
        <v>230</v>
      </c>
      <c r="CA505" s="2" t="s">
        <v>2939</v>
      </c>
      <c r="CB505" s="2" t="s">
        <v>2943</v>
      </c>
      <c r="CC505" s="2" t="s">
        <v>245</v>
      </c>
      <c r="CD505" s="2" t="s">
        <v>233</v>
      </c>
      <c r="CE505" s="4">
        <v>498</v>
      </c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>
        <v>504</v>
      </c>
      <c r="GD505" s="4">
        <v>486</v>
      </c>
      <c r="GE505" s="4">
        <v>464</v>
      </c>
      <c r="GF505" s="4">
        <v>444</v>
      </c>
      <c r="GG505" s="4">
        <v>395</v>
      </c>
      <c r="GH505" s="4">
        <v>366</v>
      </c>
      <c r="GI505" s="4">
        <v>330</v>
      </c>
      <c r="GJ505" s="4">
        <v>312</v>
      </c>
      <c r="GK505" s="4">
        <v>306</v>
      </c>
      <c r="GL505" s="4">
        <v>298</v>
      </c>
      <c r="GM505" s="4">
        <v>288</v>
      </c>
      <c r="GN505" s="4">
        <v>277</v>
      </c>
      <c r="GO505" s="4">
        <v>269</v>
      </c>
      <c r="GP505" s="4">
        <v>261</v>
      </c>
      <c r="GQ505" s="4">
        <v>254</v>
      </c>
      <c r="GR505" s="4">
        <v>247</v>
      </c>
      <c r="GS505" s="4">
        <v>241</v>
      </c>
      <c r="GT505" s="4">
        <v>235</v>
      </c>
      <c r="GU505" s="4">
        <v>231</v>
      </c>
      <c r="GV505" s="4">
        <v>226</v>
      </c>
      <c r="GW505" s="4">
        <v>219</v>
      </c>
      <c r="GX505" s="4">
        <v>215</v>
      </c>
      <c r="GY505" s="4">
        <v>210</v>
      </c>
      <c r="GZ505" s="4">
        <v>206</v>
      </c>
      <c r="HA505" s="4">
        <v>205</v>
      </c>
      <c r="HB505" s="4">
        <v>204</v>
      </c>
      <c r="HC505" s="19">
        <v>18.7</v>
      </c>
      <c r="HD505" s="19">
        <v>16.2</v>
      </c>
      <c r="HE505" s="19">
        <v>13.6</v>
      </c>
      <c r="HF505" s="19">
        <v>13.5</v>
      </c>
      <c r="HG505" s="19">
        <v>18</v>
      </c>
      <c r="HH505" s="19">
        <v>21.5</v>
      </c>
      <c r="HI505" s="19">
        <v>33</v>
      </c>
      <c r="HJ505" s="19">
        <v>34.7</v>
      </c>
      <c r="HK505" s="19">
        <v>34</v>
      </c>
      <c r="HL505" s="19">
        <v>33.1</v>
      </c>
      <c r="HM505" s="19">
        <v>36</v>
      </c>
      <c r="HN505" s="19">
        <v>34.6</v>
      </c>
      <c r="HO505" s="19">
        <v>38.4</v>
      </c>
      <c r="HP505" s="19">
        <v>43.5</v>
      </c>
      <c r="HQ505" s="19">
        <v>42.3</v>
      </c>
      <c r="HR505" s="19">
        <v>49.4</v>
      </c>
      <c r="HS505" s="19">
        <v>40.2</v>
      </c>
      <c r="HT505" s="19">
        <v>47</v>
      </c>
      <c r="HU505" s="19">
        <v>46.2</v>
      </c>
      <c r="HV505" s="19">
        <v>45.2</v>
      </c>
      <c r="HW505" s="19">
        <v>54.8</v>
      </c>
      <c r="HX505" s="19">
        <v>71.7</v>
      </c>
      <c r="HY505" s="19">
        <v>105</v>
      </c>
      <c r="HZ505" s="19">
        <v>103</v>
      </c>
      <c r="IA505" s="19">
        <v>102.5</v>
      </c>
      <c r="IB505" s="19">
        <v>102</v>
      </c>
    </row>
    <row r="506">
      <c r="A506" s="2" t="s">
        <v>2957</v>
      </c>
      <c r="B506" s="2" t="s">
        <v>773</v>
      </c>
      <c r="C506" s="2" t="s">
        <v>2240</v>
      </c>
      <c r="D506" s="2" t="s">
        <v>985</v>
      </c>
      <c r="E506" s="2" t="s">
        <v>2241</v>
      </c>
      <c r="F506" s="2" t="s">
        <v>2935</v>
      </c>
      <c r="G506" s="2" t="s">
        <v>2935</v>
      </c>
      <c r="H506" s="2" t="s">
        <v>2935</v>
      </c>
      <c r="I506" s="2" t="s">
        <v>2243</v>
      </c>
      <c r="J506" s="2" t="s">
        <v>228</v>
      </c>
      <c r="K506" s="2" t="s">
        <v>452</v>
      </c>
      <c r="L506" s="3">
        <v>41.73</v>
      </c>
      <c r="M506" s="3">
        <v>43.82</v>
      </c>
      <c r="N506" s="3">
        <v>89.99</v>
      </c>
      <c r="O506" s="2" t="s">
        <v>230</v>
      </c>
      <c r="P506" s="2" t="s">
        <v>231</v>
      </c>
      <c r="Q506" s="2" t="s">
        <v>232</v>
      </c>
      <c r="R506" s="2" t="s">
        <v>233</v>
      </c>
      <c r="S506" s="2" t="s">
        <v>233</v>
      </c>
      <c r="T506" s="2" t="s">
        <v>2765</v>
      </c>
      <c r="U506" s="2" t="s">
        <v>329</v>
      </c>
      <c r="V506" s="2" t="s">
        <v>236</v>
      </c>
      <c r="W506" s="2" t="s">
        <v>237</v>
      </c>
      <c r="X506" s="2" t="s">
        <v>233</v>
      </c>
      <c r="Y506" s="2" t="s">
        <v>2958</v>
      </c>
      <c r="Z506" s="4">
        <v>358</v>
      </c>
      <c r="AA506" s="4">
        <f>=ROUNDDOWN(35.8,0)</f>
      </c>
      <c r="AB506" s="5">
        <v>10</v>
      </c>
      <c r="AC506" s="2" t="s">
        <v>233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233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 t="s">
        <v>233</v>
      </c>
      <c r="BD506" s="8" t="s">
        <v>233</v>
      </c>
      <c r="BE506" s="4" t="s">
        <v>233</v>
      </c>
      <c r="BF506" s="8" t="s">
        <v>233</v>
      </c>
      <c r="BG506" s="7" t="s">
        <v>233</v>
      </c>
      <c r="BH506" s="7" t="s">
        <v>233</v>
      </c>
      <c r="BI506" s="7"/>
      <c r="BJ506" s="4">
        <v>33</v>
      </c>
      <c r="BK506" s="8">
        <v>1548.58</v>
      </c>
      <c r="BL506" s="2" t="s">
        <v>2959</v>
      </c>
      <c r="BM506" s="7"/>
      <c r="BN506" s="7"/>
      <c r="BO506" s="4"/>
      <c r="BP506" s="8"/>
      <c r="BQ506" s="4"/>
      <c r="BR506" s="8"/>
      <c r="BS506" s="7"/>
      <c r="BT506" s="7"/>
      <c r="BU506" s="2" t="s">
        <v>2937</v>
      </c>
      <c r="BV506" s="2" t="s">
        <v>233</v>
      </c>
      <c r="BW506" s="2" t="s">
        <v>233</v>
      </c>
      <c r="BX506" s="2" t="s">
        <v>2938</v>
      </c>
      <c r="BY506" s="2" t="s">
        <v>242</v>
      </c>
      <c r="BZ506" s="2" t="s">
        <v>230</v>
      </c>
      <c r="CA506" s="2" t="s">
        <v>2960</v>
      </c>
      <c r="CB506" s="2" t="s">
        <v>2961</v>
      </c>
      <c r="CC506" s="2" t="s">
        <v>245</v>
      </c>
      <c r="CD506" s="2" t="s">
        <v>233</v>
      </c>
      <c r="CE506" s="4">
        <v>147</v>
      </c>
      <c r="CF506" s="4">
        <v>211</v>
      </c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>
        <v>361</v>
      </c>
      <c r="GD506" s="4">
        <v>349</v>
      </c>
      <c r="GE506" s="4">
        <v>332</v>
      </c>
      <c r="GF506" s="4">
        <v>316</v>
      </c>
      <c r="GG506" s="4">
        <v>276</v>
      </c>
      <c r="GH506" s="4">
        <v>252</v>
      </c>
      <c r="GI506" s="4">
        <v>222</v>
      </c>
      <c r="GJ506" s="4">
        <v>207</v>
      </c>
      <c r="GK506" s="4">
        <v>202</v>
      </c>
      <c r="GL506" s="4">
        <v>193</v>
      </c>
      <c r="GM506" s="4">
        <v>183</v>
      </c>
      <c r="GN506" s="4">
        <v>172</v>
      </c>
      <c r="GO506" s="4">
        <v>164</v>
      </c>
      <c r="GP506" s="4">
        <v>156</v>
      </c>
      <c r="GQ506" s="4">
        <v>147</v>
      </c>
      <c r="GR506" s="4">
        <v>138</v>
      </c>
      <c r="GS506" s="4">
        <v>130</v>
      </c>
      <c r="GT506" s="4">
        <v>122</v>
      </c>
      <c r="GU506" s="4">
        <v>116</v>
      </c>
      <c r="GV506" s="4">
        <v>105</v>
      </c>
      <c r="GW506" s="4">
        <v>96</v>
      </c>
      <c r="GX506" s="4">
        <v>91</v>
      </c>
      <c r="GY506" s="4">
        <v>85</v>
      </c>
      <c r="GZ506" s="4">
        <v>81</v>
      </c>
      <c r="HA506" s="4">
        <v>78</v>
      </c>
      <c r="HB506" s="4">
        <v>75</v>
      </c>
      <c r="HC506" s="19">
        <v>17.2</v>
      </c>
      <c r="HD506" s="19">
        <v>14.5</v>
      </c>
      <c r="HE506" s="19">
        <v>11.9</v>
      </c>
      <c r="HF506" s="19">
        <v>11.7</v>
      </c>
      <c r="HG506" s="19">
        <v>15.3</v>
      </c>
      <c r="HH506" s="19">
        <v>16.8</v>
      </c>
      <c r="HI506" s="19">
        <v>22.2</v>
      </c>
      <c r="HJ506" s="19">
        <v>23</v>
      </c>
      <c r="HK506" s="19">
        <v>20.2</v>
      </c>
      <c r="HL506" s="19">
        <v>21.4</v>
      </c>
      <c r="HM506" s="19">
        <v>20.3</v>
      </c>
      <c r="HN506" s="19">
        <v>21.5</v>
      </c>
      <c r="HO506" s="19">
        <v>20.5</v>
      </c>
      <c r="HP506" s="19">
        <v>19.5</v>
      </c>
      <c r="HQ506" s="19">
        <v>18.4</v>
      </c>
      <c r="HR506" s="19">
        <v>17.3</v>
      </c>
      <c r="HS506" s="19">
        <v>16.3</v>
      </c>
      <c r="HT506" s="19">
        <v>15.3</v>
      </c>
      <c r="HU506" s="19">
        <v>14.5</v>
      </c>
      <c r="HV506" s="19">
        <v>17.5</v>
      </c>
      <c r="HW506" s="19">
        <v>24</v>
      </c>
      <c r="HX506" s="19">
        <v>22.8</v>
      </c>
      <c r="HY506" s="19">
        <v>28.3</v>
      </c>
      <c r="HZ506" s="19">
        <v>40.5</v>
      </c>
      <c r="IA506" s="19">
        <v>26</v>
      </c>
      <c r="IB506" s="19">
        <v>25</v>
      </c>
    </row>
    <row r="507">
      <c r="A507" s="2" t="s">
        <v>2962</v>
      </c>
      <c r="B507" s="2" t="s">
        <v>773</v>
      </c>
      <c r="C507" s="2" t="s">
        <v>2240</v>
      </c>
      <c r="D507" s="2" t="s">
        <v>985</v>
      </c>
      <c r="E507" s="2" t="s">
        <v>2241</v>
      </c>
      <c r="F507" s="2" t="s">
        <v>2935</v>
      </c>
      <c r="G507" s="2" t="s">
        <v>2935</v>
      </c>
      <c r="H507" s="2" t="s">
        <v>2935</v>
      </c>
      <c r="I507" s="2" t="s">
        <v>2243</v>
      </c>
      <c r="J507" s="2" t="s">
        <v>252</v>
      </c>
      <c r="K507" s="2" t="s">
        <v>642</v>
      </c>
      <c r="L507" s="3">
        <v>47.3</v>
      </c>
      <c r="M507" s="3">
        <v>49.66</v>
      </c>
      <c r="N507" s="3">
        <v>101.99</v>
      </c>
      <c r="O507" s="2" t="s">
        <v>230</v>
      </c>
      <c r="P507" s="2" t="s">
        <v>231</v>
      </c>
      <c r="Q507" s="2" t="s">
        <v>232</v>
      </c>
      <c r="R507" s="2" t="s">
        <v>233</v>
      </c>
      <c r="S507" s="2" t="s">
        <v>233</v>
      </c>
      <c r="T507" s="2" t="s">
        <v>2765</v>
      </c>
      <c r="U507" s="2" t="s">
        <v>329</v>
      </c>
      <c r="V507" s="2" t="s">
        <v>236</v>
      </c>
      <c r="W507" s="2" t="s">
        <v>237</v>
      </c>
      <c r="X507" s="2" t="s">
        <v>233</v>
      </c>
      <c r="Y507" s="2" t="s">
        <v>2203</v>
      </c>
      <c r="Z507" s="4">
        <v>278</v>
      </c>
      <c r="AA507" s="4">
        <f>=ROUNDDOWN(23.1666666666667,0)</f>
      </c>
      <c r="AB507" s="5">
        <v>12</v>
      </c>
      <c r="AC507" s="2" t="s">
        <v>233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233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233</v>
      </c>
      <c r="AW507" s="8" t="s">
        <v>233</v>
      </c>
      <c r="AX507" s="4" t="s">
        <v>233</v>
      </c>
      <c r="AY507" s="8" t="s">
        <v>233</v>
      </c>
      <c r="AZ507" s="7" t="s">
        <v>233</v>
      </c>
      <c r="BA507" s="7" t="s">
        <v>233</v>
      </c>
      <c r="BB507" s="7"/>
      <c r="BC507" s="4" t="s">
        <v>233</v>
      </c>
      <c r="BD507" s="8" t="s">
        <v>233</v>
      </c>
      <c r="BE507" s="4" t="s">
        <v>233</v>
      </c>
      <c r="BF507" s="8" t="s">
        <v>233</v>
      </c>
      <c r="BG507" s="7" t="s">
        <v>233</v>
      </c>
      <c r="BH507" s="7" t="s">
        <v>233</v>
      </c>
      <c r="BI507" s="7"/>
      <c r="BJ507" s="4">
        <v>93</v>
      </c>
      <c r="BK507" s="8">
        <v>4736.93</v>
      </c>
      <c r="BL507" s="2" t="s">
        <v>1339</v>
      </c>
      <c r="BM507" s="7"/>
      <c r="BN507" s="7"/>
      <c r="BO507" s="4"/>
      <c r="BP507" s="8"/>
      <c r="BQ507" s="4"/>
      <c r="BR507" s="8"/>
      <c r="BS507" s="7"/>
      <c r="BT507" s="7"/>
      <c r="BU507" s="2" t="s">
        <v>2937</v>
      </c>
      <c r="BV507" s="2" t="s">
        <v>233</v>
      </c>
      <c r="BW507" s="2" t="s">
        <v>233</v>
      </c>
      <c r="BX507" s="2" t="s">
        <v>2938</v>
      </c>
      <c r="BY507" s="2" t="s">
        <v>242</v>
      </c>
      <c r="BZ507" s="2" t="s">
        <v>230</v>
      </c>
      <c r="CA507" s="2" t="s">
        <v>2939</v>
      </c>
      <c r="CB507" s="2" t="s">
        <v>2963</v>
      </c>
      <c r="CC507" s="2" t="s">
        <v>245</v>
      </c>
      <c r="CD507" s="2" t="s">
        <v>233</v>
      </c>
      <c r="CE507" s="4">
        <v>278</v>
      </c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>
        <v>286</v>
      </c>
      <c r="GD507" s="4">
        <v>263</v>
      </c>
      <c r="GE507" s="4">
        <v>238</v>
      </c>
      <c r="GF507" s="4">
        <v>214</v>
      </c>
      <c r="GG507" s="4">
        <v>162</v>
      </c>
      <c r="GH507" s="4">
        <v>132</v>
      </c>
      <c r="GI507" s="4">
        <v>95</v>
      </c>
      <c r="GJ507" s="4">
        <v>76</v>
      </c>
      <c r="GK507" s="4">
        <v>69</v>
      </c>
      <c r="GL507" s="4">
        <v>61</v>
      </c>
      <c r="GM507" s="4">
        <v>53</v>
      </c>
      <c r="GN507" s="4">
        <v>43</v>
      </c>
      <c r="GO507" s="4">
        <v>36</v>
      </c>
      <c r="GP507" s="4">
        <v>29</v>
      </c>
      <c r="GQ507" s="4">
        <v>21</v>
      </c>
      <c r="GR507" s="4">
        <v>15</v>
      </c>
      <c r="GS507" s="4">
        <v>9</v>
      </c>
      <c r="GT507" s="4">
        <v>4</v>
      </c>
      <c r="GU507" s="4"/>
      <c r="GV507" s="4">
        <v>95</v>
      </c>
      <c r="GW507" s="4">
        <v>91</v>
      </c>
      <c r="GX507" s="4">
        <v>87</v>
      </c>
      <c r="GY507" s="4">
        <v>85</v>
      </c>
      <c r="GZ507" s="4">
        <v>83</v>
      </c>
      <c r="HA507" s="4">
        <v>81</v>
      </c>
      <c r="HB507" s="4">
        <v>80</v>
      </c>
      <c r="HC507" s="19">
        <v>9.2</v>
      </c>
      <c r="HD507" s="19">
        <v>8</v>
      </c>
      <c r="HE507" s="19">
        <v>6.6</v>
      </c>
      <c r="HF507" s="19">
        <v>6.3</v>
      </c>
      <c r="HG507" s="19">
        <v>7</v>
      </c>
      <c r="HH507" s="19">
        <v>7.3</v>
      </c>
      <c r="HI507" s="19">
        <v>9.5</v>
      </c>
      <c r="HJ507" s="19">
        <v>9.5</v>
      </c>
      <c r="HK507" s="19">
        <v>8.6</v>
      </c>
      <c r="HL507" s="19">
        <v>7.6</v>
      </c>
      <c r="HM507" s="19">
        <v>6.6</v>
      </c>
      <c r="HN507" s="19">
        <v>6.1</v>
      </c>
      <c r="HO507" s="19">
        <v>5.1</v>
      </c>
      <c r="HP507" s="19">
        <v>4.8</v>
      </c>
      <c r="HQ507" s="19">
        <v>3.5</v>
      </c>
      <c r="HR507" s="19">
        <v>3</v>
      </c>
      <c r="HS507" s="19">
        <v>2.3</v>
      </c>
      <c r="HT507" s="19">
        <v>1</v>
      </c>
      <c r="HU507" s="20">
        <v>0</v>
      </c>
      <c r="HV507" s="19">
        <v>31.7</v>
      </c>
      <c r="HW507" s="19">
        <v>45.5</v>
      </c>
      <c r="HX507" s="19">
        <v>43.5</v>
      </c>
      <c r="HY507" s="19">
        <v>42.5</v>
      </c>
      <c r="HZ507" s="19">
        <v>27.7</v>
      </c>
      <c r="IA507" s="19">
        <v>20.3</v>
      </c>
      <c r="IB507" s="19">
        <v>20</v>
      </c>
    </row>
    <row r="508">
      <c r="A508" s="2" t="s">
        <v>2964</v>
      </c>
      <c r="B508" s="2" t="s">
        <v>773</v>
      </c>
      <c r="C508" s="2" t="s">
        <v>2240</v>
      </c>
      <c r="D508" s="2" t="s">
        <v>985</v>
      </c>
      <c r="E508" s="2" t="s">
        <v>986</v>
      </c>
      <c r="F508" s="2" t="s">
        <v>2935</v>
      </c>
      <c r="G508" s="2" t="s">
        <v>2935</v>
      </c>
      <c r="H508" s="2" t="s">
        <v>2935</v>
      </c>
      <c r="I508" s="2" t="s">
        <v>2965</v>
      </c>
      <c r="J508" s="2" t="s">
        <v>1446</v>
      </c>
      <c r="K508" s="2" t="s">
        <v>642</v>
      </c>
      <c r="L508" s="3">
        <v>30.02</v>
      </c>
      <c r="M508" s="3">
        <v>31.52</v>
      </c>
      <c r="N508" s="3">
        <v>64.99</v>
      </c>
      <c r="O508" s="2" t="s">
        <v>230</v>
      </c>
      <c r="P508" s="2" t="s">
        <v>231</v>
      </c>
      <c r="Q508" s="2" t="s">
        <v>232</v>
      </c>
      <c r="R508" s="2" t="s">
        <v>233</v>
      </c>
      <c r="S508" s="2" t="s">
        <v>233</v>
      </c>
      <c r="T508" s="2" t="s">
        <v>2765</v>
      </c>
      <c r="U508" s="2" t="s">
        <v>329</v>
      </c>
      <c r="V508" s="2" t="s">
        <v>236</v>
      </c>
      <c r="W508" s="2" t="s">
        <v>237</v>
      </c>
      <c r="X508" s="2" t="s">
        <v>233</v>
      </c>
      <c r="Y508" s="2" t="s">
        <v>2966</v>
      </c>
      <c r="Z508" s="4">
        <v>848</v>
      </c>
      <c r="AA508" s="4">
        <f>=ROUNDDOWN(56.5333333333333,0)</f>
      </c>
      <c r="AB508" s="5">
        <v>15</v>
      </c>
      <c r="AC508" s="2" t="s">
        <v>233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233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233</v>
      </c>
      <c r="AW508" s="8" t="s">
        <v>233</v>
      </c>
      <c r="AX508" s="4" t="s">
        <v>233</v>
      </c>
      <c r="AY508" s="8" t="s">
        <v>233</v>
      </c>
      <c r="AZ508" s="7" t="s">
        <v>233</v>
      </c>
      <c r="BA508" s="7" t="s">
        <v>233</v>
      </c>
      <c r="BB508" s="7"/>
      <c r="BC508" s="4" t="s">
        <v>233</v>
      </c>
      <c r="BD508" s="8" t="s">
        <v>233</v>
      </c>
      <c r="BE508" s="4" t="s">
        <v>233</v>
      </c>
      <c r="BF508" s="8" t="s">
        <v>233</v>
      </c>
      <c r="BG508" s="7" t="s">
        <v>233</v>
      </c>
      <c r="BH508" s="7" t="s">
        <v>233</v>
      </c>
      <c r="BI508" s="7"/>
      <c r="BJ508" s="4">
        <v>55</v>
      </c>
      <c r="BK508" s="8">
        <v>1774.6</v>
      </c>
      <c r="BL508" s="2" t="s">
        <v>538</v>
      </c>
      <c r="BM508" s="7"/>
      <c r="BN508" s="7"/>
      <c r="BO508" s="4"/>
      <c r="BP508" s="8"/>
      <c r="BQ508" s="4"/>
      <c r="BR508" s="8"/>
      <c r="BS508" s="7"/>
      <c r="BT508" s="7"/>
      <c r="BU508" s="2" t="s">
        <v>2967</v>
      </c>
      <c r="BV508" s="2" t="s">
        <v>233</v>
      </c>
      <c r="BW508" s="2" t="s">
        <v>233</v>
      </c>
      <c r="BX508" s="2" t="s">
        <v>241</v>
      </c>
      <c r="BY508" s="2" t="s">
        <v>242</v>
      </c>
      <c r="BZ508" s="2" t="s">
        <v>230</v>
      </c>
      <c r="CA508" s="2" t="s">
        <v>750</v>
      </c>
      <c r="CB508" s="2" t="s">
        <v>2968</v>
      </c>
      <c r="CC508" s="2" t="s">
        <v>245</v>
      </c>
      <c r="CD508" s="2" t="s">
        <v>233</v>
      </c>
      <c r="CE508" s="4">
        <v>848</v>
      </c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>
        <v>850</v>
      </c>
      <c r="GD508" s="4">
        <v>826</v>
      </c>
      <c r="GE508" s="4">
        <v>794</v>
      </c>
      <c r="GF508" s="4">
        <v>756</v>
      </c>
      <c r="GG508" s="4">
        <v>654</v>
      </c>
      <c r="GH508" s="4">
        <v>558</v>
      </c>
      <c r="GI508" s="4">
        <v>440</v>
      </c>
      <c r="GJ508" s="4">
        <v>386</v>
      </c>
      <c r="GK508" s="4">
        <v>372</v>
      </c>
      <c r="GL508" s="4">
        <v>344</v>
      </c>
      <c r="GM508" s="4">
        <v>330</v>
      </c>
      <c r="GN508" s="4">
        <v>296</v>
      </c>
      <c r="GO508" s="4">
        <v>274</v>
      </c>
      <c r="GP508" s="4">
        <v>252</v>
      </c>
      <c r="GQ508" s="4">
        <v>238</v>
      </c>
      <c r="GR508" s="4">
        <v>227</v>
      </c>
      <c r="GS508" s="4">
        <v>215</v>
      </c>
      <c r="GT508" s="4">
        <v>198</v>
      </c>
      <c r="GU508" s="4">
        <v>189</v>
      </c>
      <c r="GV508" s="4">
        <v>181</v>
      </c>
      <c r="GW508" s="4">
        <v>172</v>
      </c>
      <c r="GX508" s="4">
        <v>166</v>
      </c>
      <c r="GY508" s="4">
        <v>158</v>
      </c>
      <c r="GZ508" s="4">
        <v>152</v>
      </c>
      <c r="HA508" s="4">
        <v>147</v>
      </c>
      <c r="HB508" s="4">
        <v>142</v>
      </c>
      <c r="HC508" s="19">
        <v>17.3</v>
      </c>
      <c r="HD508" s="19">
        <v>12.3</v>
      </c>
      <c r="HE508" s="19">
        <v>9</v>
      </c>
      <c r="HF508" s="19">
        <v>8.2</v>
      </c>
      <c r="HG508" s="19">
        <v>9.3</v>
      </c>
      <c r="HH508" s="19">
        <v>10.3</v>
      </c>
      <c r="HI508" s="19">
        <v>15.7</v>
      </c>
      <c r="HJ508" s="19">
        <v>17.5</v>
      </c>
      <c r="HK508" s="19">
        <v>15.5</v>
      </c>
      <c r="HL508" s="19">
        <v>15</v>
      </c>
      <c r="HM508" s="19">
        <v>14.3</v>
      </c>
      <c r="HN508" s="19">
        <v>17.4</v>
      </c>
      <c r="HO508" s="19">
        <v>18.3</v>
      </c>
      <c r="HP508" s="19">
        <v>18</v>
      </c>
      <c r="HQ508" s="19">
        <v>19.8</v>
      </c>
      <c r="HR508" s="19">
        <v>18.9</v>
      </c>
      <c r="HS508" s="19">
        <v>19.5</v>
      </c>
      <c r="HT508" s="19">
        <v>24.8</v>
      </c>
      <c r="HU508" s="19">
        <v>23.6</v>
      </c>
      <c r="HV508" s="19">
        <v>25.9</v>
      </c>
      <c r="HW508" s="19">
        <v>28.7</v>
      </c>
      <c r="HX508" s="19">
        <v>27.7</v>
      </c>
      <c r="HY508" s="19">
        <v>31.6</v>
      </c>
      <c r="HZ508" s="19">
        <v>38</v>
      </c>
      <c r="IA508" s="19">
        <v>36.8</v>
      </c>
      <c r="IB508" s="19">
        <v>35.5</v>
      </c>
    </row>
    <row r="509">
      <c r="A509" s="2" t="s">
        <v>2969</v>
      </c>
      <c r="B509" s="2" t="s">
        <v>773</v>
      </c>
      <c r="C509" s="2" t="s">
        <v>2240</v>
      </c>
      <c r="D509" s="2" t="s">
        <v>985</v>
      </c>
      <c r="E509" s="2" t="s">
        <v>2241</v>
      </c>
      <c r="F509" s="2" t="s">
        <v>2935</v>
      </c>
      <c r="G509" s="2" t="s">
        <v>2935</v>
      </c>
      <c r="H509" s="2" t="s">
        <v>2935</v>
      </c>
      <c r="I509" s="2" t="s">
        <v>2243</v>
      </c>
      <c r="J509" s="2" t="s">
        <v>228</v>
      </c>
      <c r="K509" s="2" t="s">
        <v>1014</v>
      </c>
      <c r="L509" s="3">
        <v>41.73</v>
      </c>
      <c r="M509" s="3">
        <v>43.82</v>
      </c>
      <c r="N509" s="3">
        <v>89.99</v>
      </c>
      <c r="O509" s="2" t="s">
        <v>230</v>
      </c>
      <c r="P509" s="2" t="s">
        <v>231</v>
      </c>
      <c r="Q509" s="2" t="s">
        <v>232</v>
      </c>
      <c r="R509" s="2" t="s">
        <v>233</v>
      </c>
      <c r="S509" s="2" t="s">
        <v>233</v>
      </c>
      <c r="T509" s="2" t="s">
        <v>2765</v>
      </c>
      <c r="U509" s="2" t="s">
        <v>329</v>
      </c>
      <c r="V509" s="2" t="s">
        <v>236</v>
      </c>
      <c r="W509" s="2" t="s">
        <v>237</v>
      </c>
      <c r="X509" s="2" t="s">
        <v>233</v>
      </c>
      <c r="Y509" s="2" t="s">
        <v>2958</v>
      </c>
      <c r="Z509" s="4">
        <v>258</v>
      </c>
      <c r="AA509" s="4">
        <f>=ROUNDDOWN(36.8571428571429,0)</f>
      </c>
      <c r="AB509" s="5">
        <v>7</v>
      </c>
      <c r="AC509" s="2" t="s">
        <v>233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233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233</v>
      </c>
      <c r="AW509" s="8" t="s">
        <v>233</v>
      </c>
      <c r="AX509" s="4" t="s">
        <v>233</v>
      </c>
      <c r="AY509" s="8" t="s">
        <v>233</v>
      </c>
      <c r="AZ509" s="7" t="s">
        <v>233</v>
      </c>
      <c r="BA509" s="7" t="s">
        <v>233</v>
      </c>
      <c r="BB509" s="7"/>
      <c r="BC509" s="4" t="s">
        <v>233</v>
      </c>
      <c r="BD509" s="8" t="s">
        <v>233</v>
      </c>
      <c r="BE509" s="4" t="s">
        <v>233</v>
      </c>
      <c r="BF509" s="8" t="s">
        <v>233</v>
      </c>
      <c r="BG509" s="7" t="s">
        <v>233</v>
      </c>
      <c r="BH509" s="7" t="s">
        <v>233</v>
      </c>
      <c r="BI509" s="7"/>
      <c r="BJ509" s="4">
        <v>27</v>
      </c>
      <c r="BK509" s="8">
        <v>1226.67</v>
      </c>
      <c r="BL509" s="2" t="s">
        <v>2970</v>
      </c>
      <c r="BM509" s="7"/>
      <c r="BN509" s="7"/>
      <c r="BO509" s="4"/>
      <c r="BP509" s="8"/>
      <c r="BQ509" s="4"/>
      <c r="BR509" s="8"/>
      <c r="BS509" s="7"/>
      <c r="BT509" s="7"/>
      <c r="BU509" s="2" t="s">
        <v>2937</v>
      </c>
      <c r="BV509" s="2" t="s">
        <v>233</v>
      </c>
      <c r="BW509" s="2" t="s">
        <v>233</v>
      </c>
      <c r="BX509" s="2" t="s">
        <v>2938</v>
      </c>
      <c r="BY509" s="2" t="s">
        <v>242</v>
      </c>
      <c r="BZ509" s="2" t="s">
        <v>230</v>
      </c>
      <c r="CA509" s="2" t="s">
        <v>2960</v>
      </c>
      <c r="CB509" s="2" t="s">
        <v>2971</v>
      </c>
      <c r="CC509" s="2" t="s">
        <v>245</v>
      </c>
      <c r="CD509" s="2" t="s">
        <v>233</v>
      </c>
      <c r="CE509" s="4">
        <v>258</v>
      </c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>
        <v>260</v>
      </c>
      <c r="GD509" s="4">
        <v>251</v>
      </c>
      <c r="GE509" s="4">
        <v>239</v>
      </c>
      <c r="GF509" s="4">
        <v>228</v>
      </c>
      <c r="GG509" s="4">
        <v>200</v>
      </c>
      <c r="GH509" s="4">
        <v>183</v>
      </c>
      <c r="GI509" s="4">
        <v>162</v>
      </c>
      <c r="GJ509" s="4">
        <v>151</v>
      </c>
      <c r="GK509" s="4">
        <v>147</v>
      </c>
      <c r="GL509" s="4">
        <v>141</v>
      </c>
      <c r="GM509" s="4">
        <v>134</v>
      </c>
      <c r="GN509" s="4">
        <v>126</v>
      </c>
      <c r="GO509" s="4">
        <v>120</v>
      </c>
      <c r="GP509" s="4">
        <v>114</v>
      </c>
      <c r="GQ509" s="4">
        <v>108</v>
      </c>
      <c r="GR509" s="4">
        <v>102</v>
      </c>
      <c r="GS509" s="4">
        <v>96</v>
      </c>
      <c r="GT509" s="4">
        <v>90</v>
      </c>
      <c r="GU509" s="4">
        <v>86</v>
      </c>
      <c r="GV509" s="4">
        <v>133</v>
      </c>
      <c r="GW509" s="4">
        <v>127</v>
      </c>
      <c r="GX509" s="4">
        <v>123</v>
      </c>
      <c r="GY509" s="4">
        <v>119</v>
      </c>
      <c r="GZ509" s="4">
        <v>116</v>
      </c>
      <c r="HA509" s="4">
        <v>114</v>
      </c>
      <c r="HB509" s="4">
        <v>112</v>
      </c>
      <c r="HC509" s="19">
        <v>17.3</v>
      </c>
      <c r="HD509" s="19">
        <v>14.8</v>
      </c>
      <c r="HE509" s="19">
        <v>12.6</v>
      </c>
      <c r="HF509" s="19">
        <v>12</v>
      </c>
      <c r="HG509" s="19">
        <v>15.4</v>
      </c>
      <c r="HH509" s="19">
        <v>18.3</v>
      </c>
      <c r="HI509" s="19">
        <v>23.1</v>
      </c>
      <c r="HJ509" s="19">
        <v>25.2</v>
      </c>
      <c r="HK509" s="19">
        <v>21</v>
      </c>
      <c r="HL509" s="19">
        <v>20.1</v>
      </c>
      <c r="HM509" s="19">
        <v>22.3</v>
      </c>
      <c r="HN509" s="19">
        <v>21</v>
      </c>
      <c r="HO509" s="19">
        <v>20</v>
      </c>
      <c r="HP509" s="19">
        <v>19</v>
      </c>
      <c r="HQ509" s="19">
        <v>18</v>
      </c>
      <c r="HR509" s="19">
        <v>17</v>
      </c>
      <c r="HS509" s="19">
        <v>16</v>
      </c>
      <c r="HT509" s="19">
        <v>15</v>
      </c>
      <c r="HU509" s="19">
        <v>14.3</v>
      </c>
      <c r="HV509" s="19">
        <v>33.3</v>
      </c>
      <c r="HW509" s="19">
        <v>42.3</v>
      </c>
      <c r="HX509" s="19">
        <v>41</v>
      </c>
      <c r="HY509" s="19">
        <v>59.5</v>
      </c>
      <c r="HZ509" s="19">
        <v>58</v>
      </c>
      <c r="IA509" s="19">
        <v>57</v>
      </c>
      <c r="IB509" s="19">
        <v>56</v>
      </c>
    </row>
    <row r="510">
      <c r="A510" s="2" t="s">
        <v>2972</v>
      </c>
      <c r="B510" s="2" t="s">
        <v>773</v>
      </c>
      <c r="C510" s="2" t="s">
        <v>2240</v>
      </c>
      <c r="D510" s="2" t="s">
        <v>985</v>
      </c>
      <c r="E510" s="2" t="s">
        <v>2241</v>
      </c>
      <c r="F510" s="2" t="s">
        <v>2935</v>
      </c>
      <c r="G510" s="2" t="s">
        <v>2935</v>
      </c>
      <c r="H510" s="2" t="s">
        <v>2935</v>
      </c>
      <c r="I510" s="2" t="s">
        <v>2243</v>
      </c>
      <c r="J510" s="2" t="s">
        <v>252</v>
      </c>
      <c r="K510" s="2" t="s">
        <v>1014</v>
      </c>
      <c r="L510" s="3">
        <v>47.3</v>
      </c>
      <c r="M510" s="3">
        <v>49.66</v>
      </c>
      <c r="N510" s="3">
        <v>101.99</v>
      </c>
      <c r="O510" s="2" t="s">
        <v>230</v>
      </c>
      <c r="P510" s="2" t="s">
        <v>231</v>
      </c>
      <c r="Q510" s="2" t="s">
        <v>232</v>
      </c>
      <c r="R510" s="2" t="s">
        <v>233</v>
      </c>
      <c r="S510" s="2" t="s">
        <v>233</v>
      </c>
      <c r="T510" s="2" t="s">
        <v>2765</v>
      </c>
      <c r="U510" s="2" t="s">
        <v>329</v>
      </c>
      <c r="V510" s="2" t="s">
        <v>236</v>
      </c>
      <c r="W510" s="2" t="s">
        <v>237</v>
      </c>
      <c r="X510" s="2" t="s">
        <v>233</v>
      </c>
      <c r="Y510" s="2" t="s">
        <v>2958</v>
      </c>
      <c r="Z510" s="4">
        <v>190</v>
      </c>
      <c r="AA510" s="4">
        <f>=ROUNDDOWN(23.75,0)</f>
      </c>
      <c r="AB510" s="5">
        <v>8</v>
      </c>
      <c r="AC510" s="2" t="s">
        <v>233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233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233</v>
      </c>
      <c r="AW510" s="8" t="s">
        <v>233</v>
      </c>
      <c r="AX510" s="4" t="s">
        <v>233</v>
      </c>
      <c r="AY510" s="8" t="s">
        <v>233</v>
      </c>
      <c r="AZ510" s="7" t="s">
        <v>233</v>
      </c>
      <c r="BA510" s="7" t="s">
        <v>233</v>
      </c>
      <c r="BB510" s="7"/>
      <c r="BC510" s="4" t="s">
        <v>233</v>
      </c>
      <c r="BD510" s="8" t="s">
        <v>233</v>
      </c>
      <c r="BE510" s="4" t="s">
        <v>233</v>
      </c>
      <c r="BF510" s="8" t="s">
        <v>233</v>
      </c>
      <c r="BG510" s="7" t="s">
        <v>233</v>
      </c>
      <c r="BH510" s="7" t="s">
        <v>233</v>
      </c>
      <c r="BI510" s="7"/>
      <c r="BJ510" s="4">
        <v>20</v>
      </c>
      <c r="BK510" s="8">
        <v>1035.99</v>
      </c>
      <c r="BL510" s="2" t="s">
        <v>2973</v>
      </c>
      <c r="BM510" s="7"/>
      <c r="BN510" s="7"/>
      <c r="BO510" s="4"/>
      <c r="BP510" s="8"/>
      <c r="BQ510" s="4"/>
      <c r="BR510" s="8"/>
      <c r="BS510" s="7"/>
      <c r="BT510" s="7"/>
      <c r="BU510" s="2" t="s">
        <v>2937</v>
      </c>
      <c r="BV510" s="2" t="s">
        <v>233</v>
      </c>
      <c r="BW510" s="2" t="s">
        <v>233</v>
      </c>
      <c r="BX510" s="2" t="s">
        <v>2938</v>
      </c>
      <c r="BY510" s="2" t="s">
        <v>242</v>
      </c>
      <c r="BZ510" s="2" t="s">
        <v>230</v>
      </c>
      <c r="CA510" s="2" t="s">
        <v>2960</v>
      </c>
      <c r="CB510" s="2" t="s">
        <v>2974</v>
      </c>
      <c r="CC510" s="2" t="s">
        <v>245</v>
      </c>
      <c r="CD510" s="2" t="s">
        <v>233</v>
      </c>
      <c r="CE510" s="4">
        <v>190</v>
      </c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>
        <v>191</v>
      </c>
      <c r="GD510" s="4">
        <v>180</v>
      </c>
      <c r="GE510" s="4">
        <v>163</v>
      </c>
      <c r="GF510" s="4">
        <v>147</v>
      </c>
      <c r="GG510" s="4">
        <v>113</v>
      </c>
      <c r="GH510" s="4">
        <v>93</v>
      </c>
      <c r="GI510" s="4">
        <v>68</v>
      </c>
      <c r="GJ510" s="4">
        <v>55</v>
      </c>
      <c r="GK510" s="4">
        <v>50</v>
      </c>
      <c r="GL510" s="4">
        <v>44</v>
      </c>
      <c r="GM510" s="4">
        <v>38</v>
      </c>
      <c r="GN510" s="4">
        <v>32</v>
      </c>
      <c r="GO510" s="4">
        <v>27</v>
      </c>
      <c r="GP510" s="4">
        <v>22</v>
      </c>
      <c r="GQ510" s="4">
        <v>16</v>
      </c>
      <c r="GR510" s="4">
        <v>12</v>
      </c>
      <c r="GS510" s="4">
        <v>8</v>
      </c>
      <c r="GT510" s="4">
        <v>5</v>
      </c>
      <c r="GU510" s="4">
        <v>2</v>
      </c>
      <c r="GV510" s="4">
        <v>151</v>
      </c>
      <c r="GW510" s="4">
        <v>149</v>
      </c>
      <c r="GX510" s="4">
        <v>147</v>
      </c>
      <c r="GY510" s="4">
        <v>145</v>
      </c>
      <c r="GZ510" s="4">
        <v>143</v>
      </c>
      <c r="HA510" s="4">
        <v>141</v>
      </c>
      <c r="HB510" s="4">
        <v>140</v>
      </c>
      <c r="HC510" s="19">
        <v>9.6</v>
      </c>
      <c r="HD510" s="19">
        <v>8.2</v>
      </c>
      <c r="HE510" s="19">
        <v>6.8</v>
      </c>
      <c r="HF510" s="19">
        <v>6.4</v>
      </c>
      <c r="HG510" s="19">
        <v>7.1</v>
      </c>
      <c r="HH510" s="19">
        <v>7.8</v>
      </c>
      <c r="HI510" s="19">
        <v>8.5</v>
      </c>
      <c r="HJ510" s="19">
        <v>9.2</v>
      </c>
      <c r="HK510" s="19">
        <v>8.3</v>
      </c>
      <c r="HL510" s="19">
        <v>7.3</v>
      </c>
      <c r="HM510" s="19">
        <v>6.3</v>
      </c>
      <c r="HN510" s="19">
        <v>6.4</v>
      </c>
      <c r="HO510" s="19">
        <v>5.4</v>
      </c>
      <c r="HP510" s="19">
        <v>5.5</v>
      </c>
      <c r="HQ510" s="19">
        <v>4</v>
      </c>
      <c r="HR510" s="19">
        <v>4</v>
      </c>
      <c r="HS510" s="19">
        <v>4</v>
      </c>
      <c r="HT510" s="19">
        <v>2.5</v>
      </c>
      <c r="HU510" s="19">
        <v>1</v>
      </c>
      <c r="HV510" s="19">
        <v>75.5</v>
      </c>
      <c r="HW510" s="19">
        <v>74.5</v>
      </c>
      <c r="HX510" s="19">
        <v>73.5</v>
      </c>
      <c r="HY510" s="19">
        <v>72.5</v>
      </c>
      <c r="HZ510" s="19">
        <v>71.5</v>
      </c>
      <c r="IA510" s="19">
        <v>70.5</v>
      </c>
      <c r="IB510" s="19">
        <v>70</v>
      </c>
    </row>
    <row r="511">
      <c r="A511" s="2" t="s">
        <v>2975</v>
      </c>
      <c r="B511" s="2" t="s">
        <v>773</v>
      </c>
      <c r="C511" s="2" t="s">
        <v>2240</v>
      </c>
      <c r="D511" s="2" t="s">
        <v>985</v>
      </c>
      <c r="E511" s="2" t="s">
        <v>2241</v>
      </c>
      <c r="F511" s="2" t="s">
        <v>2935</v>
      </c>
      <c r="G511" s="2" t="s">
        <v>2935</v>
      </c>
      <c r="H511" s="2" t="s">
        <v>2935</v>
      </c>
      <c r="I511" s="2" t="s">
        <v>2243</v>
      </c>
      <c r="J511" s="2" t="s">
        <v>336</v>
      </c>
      <c r="K511" s="2" t="s">
        <v>1014</v>
      </c>
      <c r="L511" s="3">
        <v>69.56</v>
      </c>
      <c r="M511" s="3">
        <v>73.04</v>
      </c>
      <c r="N511" s="3">
        <v>149.99</v>
      </c>
      <c r="O511" s="2" t="s">
        <v>230</v>
      </c>
      <c r="P511" s="2" t="s">
        <v>231</v>
      </c>
      <c r="Q511" s="2" t="s">
        <v>232</v>
      </c>
      <c r="R511" s="2" t="s">
        <v>233</v>
      </c>
      <c r="S511" s="2" t="s">
        <v>233</v>
      </c>
      <c r="T511" s="2" t="s">
        <v>2765</v>
      </c>
      <c r="U511" s="2" t="s">
        <v>329</v>
      </c>
      <c r="V511" s="2" t="s">
        <v>236</v>
      </c>
      <c r="W511" s="2" t="s">
        <v>237</v>
      </c>
      <c r="X511" s="2" t="s">
        <v>233</v>
      </c>
      <c r="Y511" s="2" t="s">
        <v>2958</v>
      </c>
      <c r="Z511" s="4">
        <v>426</v>
      </c>
      <c r="AA511" s="4">
        <f>=ROUNDDOWN(35.5,0)</f>
      </c>
      <c r="AB511" s="5">
        <v>12</v>
      </c>
      <c r="AC511" s="2" t="s">
        <v>233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233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233</v>
      </c>
      <c r="AW511" s="8" t="s">
        <v>233</v>
      </c>
      <c r="AX511" s="4" t="s">
        <v>233</v>
      </c>
      <c r="AY511" s="8" t="s">
        <v>233</v>
      </c>
      <c r="AZ511" s="7" t="s">
        <v>233</v>
      </c>
      <c r="BA511" s="7" t="s">
        <v>233</v>
      </c>
      <c r="BB511" s="7"/>
      <c r="BC511" s="4" t="s">
        <v>233</v>
      </c>
      <c r="BD511" s="8" t="s">
        <v>233</v>
      </c>
      <c r="BE511" s="4" t="s">
        <v>233</v>
      </c>
      <c r="BF511" s="8" t="s">
        <v>233</v>
      </c>
      <c r="BG511" s="7" t="s">
        <v>233</v>
      </c>
      <c r="BH511" s="7" t="s">
        <v>233</v>
      </c>
      <c r="BI511" s="7"/>
      <c r="BJ511" s="4">
        <v>41</v>
      </c>
      <c r="BK511" s="8">
        <v>3099.81</v>
      </c>
      <c r="BL511" s="2" t="s">
        <v>562</v>
      </c>
      <c r="BM511" s="7"/>
      <c r="BN511" s="7"/>
      <c r="BO511" s="4"/>
      <c r="BP511" s="8"/>
      <c r="BQ511" s="4"/>
      <c r="BR511" s="8"/>
      <c r="BS511" s="7"/>
      <c r="BT511" s="7"/>
      <c r="BU511" s="2" t="s">
        <v>2937</v>
      </c>
      <c r="BV511" s="2" t="s">
        <v>233</v>
      </c>
      <c r="BW511" s="2" t="s">
        <v>233</v>
      </c>
      <c r="BX511" s="2" t="s">
        <v>2938</v>
      </c>
      <c r="BY511" s="2" t="s">
        <v>242</v>
      </c>
      <c r="BZ511" s="2" t="s">
        <v>230</v>
      </c>
      <c r="CA511" s="2" t="s">
        <v>2960</v>
      </c>
      <c r="CB511" s="2" t="s">
        <v>2976</v>
      </c>
      <c r="CC511" s="2" t="s">
        <v>245</v>
      </c>
      <c r="CD511" s="2" t="s">
        <v>233</v>
      </c>
      <c r="CE511" s="4">
        <v>291</v>
      </c>
      <c r="CF511" s="4">
        <v>135</v>
      </c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>
        <v>431</v>
      </c>
      <c r="GD511" s="4">
        <v>414</v>
      </c>
      <c r="GE511" s="4">
        <v>392</v>
      </c>
      <c r="GF511" s="4">
        <v>372</v>
      </c>
      <c r="GG511" s="4">
        <v>323</v>
      </c>
      <c r="GH511" s="4">
        <v>294</v>
      </c>
      <c r="GI511" s="4">
        <v>258</v>
      </c>
      <c r="GJ511" s="4">
        <v>240</v>
      </c>
      <c r="GK511" s="4">
        <v>234</v>
      </c>
      <c r="GL511" s="4">
        <v>226</v>
      </c>
      <c r="GM511" s="4">
        <v>216</v>
      </c>
      <c r="GN511" s="4">
        <v>205</v>
      </c>
      <c r="GO511" s="4">
        <v>197</v>
      </c>
      <c r="GP511" s="4">
        <v>189</v>
      </c>
      <c r="GQ511" s="4">
        <v>182</v>
      </c>
      <c r="GR511" s="4">
        <v>175</v>
      </c>
      <c r="GS511" s="4">
        <v>169</v>
      </c>
      <c r="GT511" s="4">
        <v>163</v>
      </c>
      <c r="GU511" s="4">
        <v>159</v>
      </c>
      <c r="GV511" s="4">
        <v>199</v>
      </c>
      <c r="GW511" s="4">
        <v>192</v>
      </c>
      <c r="GX511" s="4">
        <v>188</v>
      </c>
      <c r="GY511" s="4">
        <v>183</v>
      </c>
      <c r="GZ511" s="4">
        <v>179</v>
      </c>
      <c r="HA511" s="4">
        <v>178</v>
      </c>
      <c r="HB511" s="4">
        <v>177</v>
      </c>
      <c r="HC511" s="19">
        <v>16</v>
      </c>
      <c r="HD511" s="19">
        <v>13.8</v>
      </c>
      <c r="HE511" s="19">
        <v>11.5</v>
      </c>
      <c r="HF511" s="19">
        <v>11.3</v>
      </c>
      <c r="HG511" s="19">
        <v>14.7</v>
      </c>
      <c r="HH511" s="19">
        <v>17.3</v>
      </c>
      <c r="HI511" s="19">
        <v>25.8</v>
      </c>
      <c r="HJ511" s="19">
        <v>26.7</v>
      </c>
      <c r="HK511" s="19">
        <v>26</v>
      </c>
      <c r="HL511" s="19">
        <v>25.1</v>
      </c>
      <c r="HM511" s="19">
        <v>27</v>
      </c>
      <c r="HN511" s="19">
        <v>25.6</v>
      </c>
      <c r="HO511" s="19">
        <v>28.1</v>
      </c>
      <c r="HP511" s="19">
        <v>31.5</v>
      </c>
      <c r="HQ511" s="19">
        <v>30.3</v>
      </c>
      <c r="HR511" s="19">
        <v>35</v>
      </c>
      <c r="HS511" s="19">
        <v>28.2</v>
      </c>
      <c r="HT511" s="19">
        <v>32.6</v>
      </c>
      <c r="HU511" s="19">
        <v>31.8</v>
      </c>
      <c r="HV511" s="19">
        <v>39.8</v>
      </c>
      <c r="HW511" s="19">
        <v>48</v>
      </c>
      <c r="HX511" s="19">
        <v>62.7</v>
      </c>
      <c r="HY511" s="19">
        <v>91.5</v>
      </c>
      <c r="HZ511" s="19">
        <v>89.5</v>
      </c>
      <c r="IA511" s="19">
        <v>89</v>
      </c>
      <c r="IB511" s="19">
        <v>88.5</v>
      </c>
    </row>
    <row r="512">
      <c r="A512" s="2" t="s">
        <v>2977</v>
      </c>
      <c r="B512" s="2" t="s">
        <v>811</v>
      </c>
      <c r="C512" s="2" t="s">
        <v>762</v>
      </c>
      <c r="D512" s="2" t="s">
        <v>813</v>
      </c>
      <c r="E512" s="2" t="s">
        <v>814</v>
      </c>
      <c r="F512" s="2" t="s">
        <v>2978</v>
      </c>
      <c r="G512" s="2" t="s">
        <v>2978</v>
      </c>
      <c r="H512" s="2" t="s">
        <v>2978</v>
      </c>
      <c r="I512" s="2" t="s">
        <v>2979</v>
      </c>
      <c r="J512" s="2" t="s">
        <v>741</v>
      </c>
      <c r="K512" s="2" t="s">
        <v>2980</v>
      </c>
      <c r="L512" s="3">
        <v>49</v>
      </c>
      <c r="M512" s="3">
        <v>51.45</v>
      </c>
      <c r="N512" s="3">
        <v>99.99</v>
      </c>
      <c r="O512" s="2" t="s">
        <v>230</v>
      </c>
      <c r="P512" s="2" t="s">
        <v>721</v>
      </c>
      <c r="Q512" s="2" t="s">
        <v>232</v>
      </c>
      <c r="R512" s="2" t="s">
        <v>233</v>
      </c>
      <c r="S512" s="2" t="s">
        <v>233</v>
      </c>
      <c r="T512" s="2" t="s">
        <v>233</v>
      </c>
      <c r="U512" s="2" t="s">
        <v>329</v>
      </c>
      <c r="V512" s="2" t="s">
        <v>609</v>
      </c>
      <c r="W512" s="2" t="s">
        <v>620</v>
      </c>
      <c r="X512" s="2" t="s">
        <v>237</v>
      </c>
      <c r="Y512" s="2" t="s">
        <v>464</v>
      </c>
      <c r="Z512" s="4">
        <v>63</v>
      </c>
      <c r="AA512" s="4">
        <f>=ROUNDDOWN(63,0)</f>
      </c>
      <c r="AB512" s="5">
        <v>1</v>
      </c>
      <c r="AC512" s="2" t="s">
        <v>233</v>
      </c>
      <c r="AD512" s="4"/>
      <c r="AE512" s="4"/>
      <c r="AF512" s="6">
        <v>63</v>
      </c>
      <c r="AG512" s="6"/>
      <c r="AH512" s="7">
        <v>1</v>
      </c>
      <c r="AI512" s="4"/>
      <c r="AJ512" s="4">
        <f>=ROUNDDOWN({0},0)</f>
      </c>
      <c r="AK512" s="5"/>
      <c r="AL512" s="2" t="s">
        <v>233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/>
      <c r="BD512" s="8"/>
      <c r="BE512" s="4"/>
      <c r="BF512" s="8"/>
      <c r="BG512" s="7"/>
      <c r="BH512" s="7"/>
      <c r="BI512" s="7"/>
      <c r="BJ512" s="4">
        <v>1</v>
      </c>
      <c r="BK512" s="8">
        <v>54.02</v>
      </c>
      <c r="BL512" s="2" t="s">
        <v>2981</v>
      </c>
      <c r="BM512" s="7"/>
      <c r="BN512" s="7"/>
      <c r="BO512" s="4"/>
      <c r="BP512" s="8"/>
      <c r="BQ512" s="4"/>
      <c r="BR512" s="8"/>
      <c r="BS512" s="7"/>
      <c r="BT512" s="7"/>
      <c r="BU512" s="2" t="s">
        <v>2982</v>
      </c>
      <c r="BV512" s="2" t="s">
        <v>233</v>
      </c>
      <c r="BW512" s="2" t="s">
        <v>233</v>
      </c>
      <c r="BX512" s="2" t="s">
        <v>241</v>
      </c>
      <c r="BY512" s="2" t="s">
        <v>242</v>
      </c>
      <c r="BZ512" s="2" t="s">
        <v>230</v>
      </c>
      <c r="CA512" s="2" t="s">
        <v>464</v>
      </c>
      <c r="CB512" s="2" t="s">
        <v>2983</v>
      </c>
      <c r="CC512" s="2" t="s">
        <v>245</v>
      </c>
      <c r="CD512" s="2" t="s">
        <v>233</v>
      </c>
      <c r="CE512" s="4"/>
      <c r="CF512" s="4">
        <v>63</v>
      </c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>
        <v>63</v>
      </c>
      <c r="GD512" s="4">
        <v>62</v>
      </c>
      <c r="GE512" s="4">
        <v>61</v>
      </c>
      <c r="GF512" s="4">
        <v>60</v>
      </c>
      <c r="GG512" s="4">
        <v>59</v>
      </c>
      <c r="GH512" s="4">
        <v>58</v>
      </c>
      <c r="GI512" s="4">
        <v>57</v>
      </c>
      <c r="GJ512" s="4">
        <v>56</v>
      </c>
      <c r="GK512" s="4">
        <v>55</v>
      </c>
      <c r="GL512" s="4">
        <v>54</v>
      </c>
      <c r="GM512" s="4">
        <v>53</v>
      </c>
      <c r="GN512" s="4">
        <v>52</v>
      </c>
      <c r="GO512" s="4">
        <v>51</v>
      </c>
      <c r="GP512" s="4">
        <v>50</v>
      </c>
      <c r="GQ512" s="4">
        <v>49</v>
      </c>
      <c r="GR512" s="4">
        <v>48</v>
      </c>
      <c r="GS512" s="4">
        <v>47</v>
      </c>
      <c r="GT512" s="4">
        <v>46</v>
      </c>
      <c r="GU512" s="4">
        <v>45</v>
      </c>
      <c r="GV512" s="4">
        <v>44</v>
      </c>
      <c r="GW512" s="4">
        <v>43</v>
      </c>
      <c r="GX512" s="4">
        <v>42</v>
      </c>
      <c r="GY512" s="4">
        <v>41</v>
      </c>
      <c r="GZ512" s="4">
        <v>40</v>
      </c>
      <c r="HA512" s="4">
        <v>39</v>
      </c>
      <c r="HB512" s="4">
        <v>38</v>
      </c>
      <c r="HC512" s="19">
        <v>63</v>
      </c>
      <c r="HD512" s="19">
        <v>62</v>
      </c>
      <c r="HE512" s="19">
        <v>61</v>
      </c>
      <c r="HF512" s="19">
        <v>60</v>
      </c>
      <c r="HG512" s="19">
        <v>59</v>
      </c>
      <c r="HH512" s="19">
        <v>58</v>
      </c>
      <c r="HI512" s="19">
        <v>57</v>
      </c>
      <c r="HJ512" s="19">
        <v>56</v>
      </c>
      <c r="HK512" s="19">
        <v>55</v>
      </c>
      <c r="HL512" s="19">
        <v>54</v>
      </c>
      <c r="HM512" s="19">
        <v>53</v>
      </c>
      <c r="HN512" s="19">
        <v>52</v>
      </c>
      <c r="HO512" s="19">
        <v>51</v>
      </c>
      <c r="HP512" s="19">
        <v>50</v>
      </c>
      <c r="HQ512" s="19">
        <v>49</v>
      </c>
      <c r="HR512" s="19">
        <v>48</v>
      </c>
      <c r="HS512" s="19">
        <v>47</v>
      </c>
      <c r="HT512" s="19">
        <v>46</v>
      </c>
      <c r="HU512" s="19">
        <v>45</v>
      </c>
      <c r="HV512" s="19">
        <v>44</v>
      </c>
      <c r="HW512" s="19">
        <v>43</v>
      </c>
      <c r="HX512" s="19">
        <v>42</v>
      </c>
      <c r="HY512" s="19">
        <v>41</v>
      </c>
      <c r="HZ512" s="19">
        <v>40</v>
      </c>
      <c r="IA512" s="19">
        <v>39</v>
      </c>
      <c r="IB512" s="19">
        <v>38</v>
      </c>
    </row>
    <row r="513">
      <c r="A513" s="2" t="s">
        <v>2984</v>
      </c>
      <c r="B513" s="2" t="s">
        <v>773</v>
      </c>
      <c r="C513" s="2" t="s">
        <v>908</v>
      </c>
      <c r="D513" s="2" t="s">
        <v>261</v>
      </c>
      <c r="E513" s="2" t="s">
        <v>895</v>
      </c>
      <c r="F513" s="2" t="s">
        <v>2985</v>
      </c>
      <c r="G513" s="2" t="s">
        <v>2985</v>
      </c>
      <c r="H513" s="2" t="s">
        <v>2985</v>
      </c>
      <c r="I513" s="2" t="s">
        <v>2986</v>
      </c>
      <c r="J513" s="2" t="s">
        <v>265</v>
      </c>
      <c r="K513" s="2" t="s">
        <v>870</v>
      </c>
      <c r="L513" s="3">
        <v>34.5</v>
      </c>
      <c r="M513" s="3">
        <v>36.22</v>
      </c>
      <c r="N513" s="3">
        <v>74.99</v>
      </c>
      <c r="O513" s="2" t="s">
        <v>230</v>
      </c>
      <c r="P513" s="2" t="s">
        <v>231</v>
      </c>
      <c r="Q513" s="2" t="s">
        <v>232</v>
      </c>
      <c r="R513" s="2" t="s">
        <v>233</v>
      </c>
      <c r="S513" s="2" t="s">
        <v>2987</v>
      </c>
      <c r="T513" s="2" t="s">
        <v>2988</v>
      </c>
      <c r="U513" s="2" t="s">
        <v>781</v>
      </c>
      <c r="V513" s="2" t="s">
        <v>914</v>
      </c>
      <c r="W513" s="2" t="s">
        <v>915</v>
      </c>
      <c r="X513" s="2" t="s">
        <v>233</v>
      </c>
      <c r="Y513" s="2" t="s">
        <v>2341</v>
      </c>
      <c r="Z513" s="4">
        <v>566</v>
      </c>
      <c r="AA513" s="4">
        <f>=ROUNDDOWN(31.4444444444444,0)</f>
      </c>
      <c r="AB513" s="5">
        <v>18</v>
      </c>
      <c r="AC513" s="2" t="s">
        <v>746</v>
      </c>
      <c r="AD513" s="4">
        <v>140</v>
      </c>
      <c r="AE513" s="4">
        <v>140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233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/>
      <c r="BD513" s="8"/>
      <c r="BE513" s="4"/>
      <c r="BF513" s="8"/>
      <c r="BG513" s="7"/>
      <c r="BH513" s="7"/>
      <c r="BI513" s="7"/>
      <c r="BJ513" s="4">
        <v>109</v>
      </c>
      <c r="BK513" s="8">
        <v>4143.77</v>
      </c>
      <c r="BL513" s="2" t="s">
        <v>2989</v>
      </c>
      <c r="BM513" s="7"/>
      <c r="BN513" s="7"/>
      <c r="BO513" s="4"/>
      <c r="BP513" s="8"/>
      <c r="BQ513" s="4"/>
      <c r="BR513" s="8"/>
      <c r="BS513" s="7"/>
      <c r="BT513" s="7"/>
      <c r="BU513" s="2" t="s">
        <v>2990</v>
      </c>
      <c r="BV513" s="2" t="s">
        <v>233</v>
      </c>
      <c r="BW513" s="2" t="s">
        <v>233</v>
      </c>
      <c r="BX513" s="2" t="s">
        <v>241</v>
      </c>
      <c r="BY513" s="2" t="s">
        <v>242</v>
      </c>
      <c r="BZ513" s="2" t="s">
        <v>230</v>
      </c>
      <c r="CA513" s="2" t="s">
        <v>2991</v>
      </c>
      <c r="CB513" s="2" t="s">
        <v>2992</v>
      </c>
      <c r="CC513" s="2" t="s">
        <v>245</v>
      </c>
      <c r="CD513" s="2" t="s">
        <v>233</v>
      </c>
      <c r="CE513" s="4">
        <v>254</v>
      </c>
      <c r="CF513" s="4">
        <v>267</v>
      </c>
      <c r="CG513" s="4"/>
      <c r="CH513" s="4">
        <v>45</v>
      </c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>
        <v>140</v>
      </c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>
        <v>666</v>
      </c>
      <c r="GD513" s="4">
        <v>506</v>
      </c>
      <c r="GE513" s="4">
        <v>461</v>
      </c>
      <c r="GF513" s="4">
        <v>411</v>
      </c>
      <c r="GG513" s="4">
        <v>308</v>
      </c>
      <c r="GH513" s="4">
        <v>385</v>
      </c>
      <c r="GI513" s="4">
        <v>300</v>
      </c>
      <c r="GJ513" s="4">
        <v>235</v>
      </c>
      <c r="GK513" s="4">
        <v>198</v>
      </c>
      <c r="GL513" s="4">
        <v>167</v>
      </c>
      <c r="GM513" s="4">
        <v>152</v>
      </c>
      <c r="GN513" s="4">
        <v>147</v>
      </c>
      <c r="GO513" s="4">
        <v>142</v>
      </c>
      <c r="GP513" s="4">
        <v>137</v>
      </c>
      <c r="GQ513" s="4">
        <v>131</v>
      </c>
      <c r="GR513" s="4">
        <v>124</v>
      </c>
      <c r="GS513" s="4">
        <v>117</v>
      </c>
      <c r="GT513" s="4">
        <v>110</v>
      </c>
      <c r="GU513" s="4">
        <v>103</v>
      </c>
      <c r="GV513" s="4">
        <v>96</v>
      </c>
      <c r="GW513" s="4">
        <v>89</v>
      </c>
      <c r="GX513" s="4">
        <v>82</v>
      </c>
      <c r="GY513" s="4">
        <v>75</v>
      </c>
      <c r="GZ513" s="4">
        <v>68</v>
      </c>
      <c r="HA513" s="4">
        <v>61</v>
      </c>
      <c r="HB513" s="4">
        <v>54</v>
      </c>
      <c r="HC513" s="19">
        <v>7.4</v>
      </c>
      <c r="HD513" s="19">
        <v>7.8</v>
      </c>
      <c r="HE513" s="19">
        <v>6.1</v>
      </c>
      <c r="HF513" s="19">
        <v>5.2</v>
      </c>
      <c r="HG513" s="19">
        <v>5</v>
      </c>
      <c r="HH513" s="19">
        <v>7.1</v>
      </c>
      <c r="HI513" s="19">
        <v>8.1</v>
      </c>
      <c r="HJ513" s="19">
        <v>10.7</v>
      </c>
      <c r="HK513" s="19">
        <v>14.1</v>
      </c>
      <c r="HL513" s="19">
        <v>20.9</v>
      </c>
      <c r="HM513" s="19">
        <v>30.4</v>
      </c>
      <c r="HN513" s="19">
        <v>24.5</v>
      </c>
      <c r="HO513" s="19">
        <v>23.7</v>
      </c>
      <c r="HP513" s="19">
        <v>19.6</v>
      </c>
      <c r="HQ513" s="19">
        <v>18.7</v>
      </c>
      <c r="HR513" s="19">
        <v>17.7</v>
      </c>
      <c r="HS513" s="19">
        <v>16.7</v>
      </c>
      <c r="HT513" s="19">
        <v>15.7</v>
      </c>
      <c r="HU513" s="19">
        <v>14.7</v>
      </c>
      <c r="HV513" s="19">
        <v>13.7</v>
      </c>
      <c r="HW513" s="19">
        <v>12.7</v>
      </c>
      <c r="HX513" s="19">
        <v>11.7</v>
      </c>
      <c r="HY513" s="19">
        <v>10.7</v>
      </c>
      <c r="HZ513" s="19">
        <v>9.7</v>
      </c>
      <c r="IA513" s="19">
        <v>8.7</v>
      </c>
      <c r="IB513" s="19">
        <v>7.7</v>
      </c>
    </row>
    <row r="514">
      <c r="A514" s="2" t="s">
        <v>2993</v>
      </c>
      <c r="B514" s="2" t="s">
        <v>736</v>
      </c>
      <c r="C514" s="2" t="s">
        <v>280</v>
      </c>
      <c r="D514" s="2" t="s">
        <v>1197</v>
      </c>
      <c r="E514" s="2" t="s">
        <v>1198</v>
      </c>
      <c r="F514" s="2" t="s">
        <v>2994</v>
      </c>
      <c r="G514" s="2" t="s">
        <v>2994</v>
      </c>
      <c r="H514" s="2" t="s">
        <v>2994</v>
      </c>
      <c r="I514" s="2" t="s">
        <v>2995</v>
      </c>
      <c r="J514" s="2" t="s">
        <v>741</v>
      </c>
      <c r="K514" s="2" t="s">
        <v>2996</v>
      </c>
      <c r="L514" s="3">
        <v>49.63</v>
      </c>
      <c r="M514" s="3">
        <v>52.11</v>
      </c>
      <c r="N514" s="3">
        <v>96.04</v>
      </c>
      <c r="O514" s="2" t="s">
        <v>230</v>
      </c>
      <c r="P514" s="2" t="s">
        <v>1302</v>
      </c>
      <c r="Q514" s="2" t="s">
        <v>232</v>
      </c>
      <c r="R514" s="2" t="s">
        <v>233</v>
      </c>
      <c r="S514" s="2" t="s">
        <v>2997</v>
      </c>
      <c r="T514" s="2" t="s">
        <v>233</v>
      </c>
      <c r="U514" s="2" t="s">
        <v>781</v>
      </c>
      <c r="V514" s="2" t="s">
        <v>1201</v>
      </c>
      <c r="W514" s="2" t="s">
        <v>712</v>
      </c>
      <c r="X514" s="2" t="s">
        <v>233</v>
      </c>
      <c r="Y514" s="2" t="s">
        <v>238</v>
      </c>
      <c r="Z514" s="4">
        <v>250</v>
      </c>
      <c r="AA514" s="4">
        <f>=ROUNDDOWN(11.3636363636364,0)</f>
      </c>
      <c r="AB514" s="5">
        <v>22</v>
      </c>
      <c r="AC514" s="2" t="s">
        <v>746</v>
      </c>
      <c r="AD514" s="4">
        <v>200</v>
      </c>
      <c r="AE514" s="4">
        <v>450</v>
      </c>
      <c r="AF514" s="6">
        <v>63</v>
      </c>
      <c r="AG514" s="6">
        <v>46</v>
      </c>
      <c r="AH514" s="7">
        <v>0.6774</v>
      </c>
      <c r="AI514" s="4"/>
      <c r="AJ514" s="4">
        <f>=ROUNDDOWN({0},0)</f>
      </c>
      <c r="AK514" s="5"/>
      <c r="AL514" s="2" t="s">
        <v>233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/>
      <c r="BD514" s="8"/>
      <c r="BE514" s="4"/>
      <c r="BF514" s="8"/>
      <c r="BG514" s="7"/>
      <c r="BH514" s="7"/>
      <c r="BI514" s="7"/>
      <c r="BJ514" s="4">
        <v>226</v>
      </c>
      <c r="BK514" s="8">
        <v>13078.29</v>
      </c>
      <c r="BL514" s="2" t="s">
        <v>2998</v>
      </c>
      <c r="BM514" s="7"/>
      <c r="BN514" s="7"/>
      <c r="BO514" s="4"/>
      <c r="BP514" s="8"/>
      <c r="BQ514" s="4"/>
      <c r="BR514" s="8"/>
      <c r="BS514" s="7"/>
      <c r="BT514" s="7"/>
      <c r="BU514" s="2" t="s">
        <v>2999</v>
      </c>
      <c r="BV514" s="2" t="s">
        <v>233</v>
      </c>
      <c r="BW514" s="2" t="s">
        <v>233</v>
      </c>
      <c r="BX514" s="2" t="s">
        <v>241</v>
      </c>
      <c r="BY514" s="2" t="s">
        <v>242</v>
      </c>
      <c r="BZ514" s="2" t="s">
        <v>230</v>
      </c>
      <c r="CA514" s="2" t="s">
        <v>1592</v>
      </c>
      <c r="CB514" s="2" t="s">
        <v>3000</v>
      </c>
      <c r="CC514" s="2" t="s">
        <v>245</v>
      </c>
      <c r="CD514" s="2" t="s">
        <v>233</v>
      </c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>
        <v>250</v>
      </c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>
        <v>200</v>
      </c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>
        <v>200</v>
      </c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>
        <v>50</v>
      </c>
      <c r="FV514" s="4"/>
      <c r="FW514" s="4"/>
      <c r="FX514" s="4"/>
      <c r="FY514" s="4"/>
      <c r="FZ514" s="4"/>
      <c r="GA514" s="4"/>
      <c r="GB514" s="4"/>
      <c r="GC514" s="4">
        <v>250</v>
      </c>
      <c r="GD514" s="4">
        <v>235</v>
      </c>
      <c r="GE514" s="4">
        <v>210</v>
      </c>
      <c r="GF514" s="4">
        <v>185</v>
      </c>
      <c r="GG514" s="4">
        <v>156</v>
      </c>
      <c r="GH514" s="4">
        <v>331</v>
      </c>
      <c r="GI514" s="4">
        <v>302</v>
      </c>
      <c r="GJ514" s="4">
        <v>278</v>
      </c>
      <c r="GK514" s="4">
        <v>256</v>
      </c>
      <c r="GL514" s="4">
        <v>234</v>
      </c>
      <c r="GM514" s="4">
        <v>210</v>
      </c>
      <c r="GN514" s="4">
        <v>188</v>
      </c>
      <c r="GO514" s="4">
        <v>166</v>
      </c>
      <c r="GP514" s="4">
        <v>144</v>
      </c>
      <c r="GQ514" s="4">
        <v>322</v>
      </c>
      <c r="GR514" s="4">
        <v>300</v>
      </c>
      <c r="GS514" s="4">
        <v>278</v>
      </c>
      <c r="GT514" s="4">
        <v>304</v>
      </c>
      <c r="GU514" s="4">
        <v>282</v>
      </c>
      <c r="GV514" s="4">
        <v>260</v>
      </c>
      <c r="GW514" s="4">
        <v>238</v>
      </c>
      <c r="GX514" s="4">
        <v>216</v>
      </c>
      <c r="GY514" s="4">
        <v>194</v>
      </c>
      <c r="GZ514" s="4">
        <v>172</v>
      </c>
      <c r="HA514" s="4">
        <v>431</v>
      </c>
      <c r="HB514" s="4">
        <v>409</v>
      </c>
      <c r="HC514" s="19">
        <v>5.2</v>
      </c>
      <c r="HD514" s="19">
        <v>4.5</v>
      </c>
      <c r="HE514" s="19">
        <v>5.3</v>
      </c>
      <c r="HF514" s="19">
        <v>6.6</v>
      </c>
      <c r="HG514" s="19">
        <v>11.2</v>
      </c>
      <c r="HH514" s="19">
        <v>69.9</v>
      </c>
      <c r="HI514" s="19">
        <v>68.9</v>
      </c>
      <c r="HJ514" s="19">
        <v>67.9</v>
      </c>
      <c r="HK514" s="19">
        <v>66.9</v>
      </c>
      <c r="HL514" s="19">
        <v>66</v>
      </c>
      <c r="HM514" s="19">
        <v>65</v>
      </c>
      <c r="HN514" s="19">
        <v>64</v>
      </c>
      <c r="HO514" s="19">
        <v>63</v>
      </c>
      <c r="HP514" s="19">
        <v>62</v>
      </c>
      <c r="HQ514" s="19">
        <v>65.6</v>
      </c>
      <c r="HR514" s="19">
        <v>64.6</v>
      </c>
      <c r="HS514" s="19">
        <v>63.6</v>
      </c>
      <c r="HT514" s="19">
        <v>63.9</v>
      </c>
      <c r="HU514" s="19">
        <v>62.9</v>
      </c>
      <c r="HV514" s="19">
        <v>61.9</v>
      </c>
      <c r="HW514" s="19">
        <v>60.8</v>
      </c>
      <c r="HX514" s="19">
        <v>59.8</v>
      </c>
      <c r="HY514" s="19">
        <v>58.8</v>
      </c>
      <c r="HZ514" s="19">
        <v>57.9</v>
      </c>
      <c r="IA514" s="19">
        <v>63.6</v>
      </c>
      <c r="IB514" s="19">
        <v>62.3</v>
      </c>
    </row>
    <row r="515">
      <c r="A515" s="2" t="s">
        <v>3001</v>
      </c>
      <c r="B515" s="2" t="s">
        <v>773</v>
      </c>
      <c r="C515" s="2" t="s">
        <v>280</v>
      </c>
      <c r="D515" s="2" t="s">
        <v>1573</v>
      </c>
      <c r="E515" s="2" t="s">
        <v>1574</v>
      </c>
      <c r="F515" s="2" t="s">
        <v>3002</v>
      </c>
      <c r="G515" s="2" t="s">
        <v>3002</v>
      </c>
      <c r="H515" s="2" t="s">
        <v>3002</v>
      </c>
      <c r="I515" s="2" t="s">
        <v>3003</v>
      </c>
      <c r="J515" s="2" t="s">
        <v>228</v>
      </c>
      <c r="K515" s="2" t="s">
        <v>1500</v>
      </c>
      <c r="L515" s="3">
        <v>18.39</v>
      </c>
      <c r="M515" s="3">
        <v>19.31</v>
      </c>
      <c r="N515" s="3">
        <v>34.99</v>
      </c>
      <c r="O515" s="2" t="s">
        <v>230</v>
      </c>
      <c r="P515" s="2" t="s">
        <v>231</v>
      </c>
      <c r="Q515" s="2" t="s">
        <v>232</v>
      </c>
      <c r="R515" s="2" t="s">
        <v>233</v>
      </c>
      <c r="S515" s="2" t="s">
        <v>3004</v>
      </c>
      <c r="T515" s="2" t="s">
        <v>348</v>
      </c>
      <c r="U515" s="2" t="s">
        <v>329</v>
      </c>
      <c r="V515" s="2" t="s">
        <v>236</v>
      </c>
      <c r="W515" s="2" t="s">
        <v>237</v>
      </c>
      <c r="X515" s="2" t="s">
        <v>233</v>
      </c>
      <c r="Y515" s="2" t="s">
        <v>3005</v>
      </c>
      <c r="Z515" s="4">
        <v>455</v>
      </c>
      <c r="AA515" s="4">
        <f>=ROUNDDOWN(96.8085106382979,0)</f>
      </c>
      <c r="AB515" s="5">
        <v>4.7</v>
      </c>
      <c r="AC515" s="2" t="s">
        <v>233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233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/>
      <c r="BD515" s="8"/>
      <c r="BE515" s="4"/>
      <c r="BF515" s="8"/>
      <c r="BG515" s="7"/>
      <c r="BH515" s="7"/>
      <c r="BI515" s="7"/>
      <c r="BJ515" s="4">
        <v>25</v>
      </c>
      <c r="BK515" s="8">
        <v>406.98</v>
      </c>
      <c r="BL515" s="2" t="s">
        <v>981</v>
      </c>
      <c r="BM515" s="7"/>
      <c r="BN515" s="7"/>
      <c r="BO515" s="4"/>
      <c r="BP515" s="8"/>
      <c r="BQ515" s="4"/>
      <c r="BR515" s="8"/>
      <c r="BS515" s="7"/>
      <c r="BT515" s="7"/>
      <c r="BU515" s="2" t="s">
        <v>3006</v>
      </c>
      <c r="BV515" s="2" t="s">
        <v>233</v>
      </c>
      <c r="BW515" s="2" t="s">
        <v>233</v>
      </c>
      <c r="BX515" s="2" t="s">
        <v>241</v>
      </c>
      <c r="BY515" s="2" t="s">
        <v>242</v>
      </c>
      <c r="BZ515" s="2" t="s">
        <v>230</v>
      </c>
      <c r="CA515" s="2" t="s">
        <v>2717</v>
      </c>
      <c r="CB515" s="2" t="s">
        <v>3007</v>
      </c>
      <c r="CC515" s="2" t="s">
        <v>245</v>
      </c>
      <c r="CD515" s="2" t="s">
        <v>233</v>
      </c>
      <c r="CE515" s="4">
        <v>314</v>
      </c>
      <c r="CF515" s="4">
        <v>141</v>
      </c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>
        <v>457</v>
      </c>
      <c r="GD515" s="4">
        <v>451</v>
      </c>
      <c r="GE515" s="4">
        <v>441</v>
      </c>
      <c r="GF515" s="4">
        <v>433</v>
      </c>
      <c r="GG515" s="4">
        <v>417</v>
      </c>
      <c r="GH515" s="4">
        <v>408</v>
      </c>
      <c r="GI515" s="4">
        <v>398</v>
      </c>
      <c r="GJ515" s="4">
        <v>395</v>
      </c>
      <c r="GK515" s="4">
        <v>393</v>
      </c>
      <c r="GL515" s="4">
        <v>389</v>
      </c>
      <c r="GM515" s="4">
        <v>386</v>
      </c>
      <c r="GN515" s="4">
        <v>383</v>
      </c>
      <c r="GO515" s="4">
        <v>379</v>
      </c>
      <c r="GP515" s="4">
        <v>375</v>
      </c>
      <c r="GQ515" s="4">
        <v>371</v>
      </c>
      <c r="GR515" s="4">
        <v>366</v>
      </c>
      <c r="GS515" s="4">
        <v>361</v>
      </c>
      <c r="GT515" s="4">
        <v>356</v>
      </c>
      <c r="GU515" s="4">
        <v>351</v>
      </c>
      <c r="GV515" s="4">
        <v>345</v>
      </c>
      <c r="GW515" s="4">
        <v>339</v>
      </c>
      <c r="GX515" s="4">
        <v>333</v>
      </c>
      <c r="GY515" s="4">
        <v>327</v>
      </c>
      <c r="GZ515" s="4">
        <v>321</v>
      </c>
      <c r="HA515" s="4">
        <v>315</v>
      </c>
      <c r="HB515" s="4">
        <v>309</v>
      </c>
      <c r="HC515" s="19">
        <v>45.7</v>
      </c>
      <c r="HD515" s="19">
        <v>41</v>
      </c>
      <c r="HE515" s="19">
        <v>40.1</v>
      </c>
      <c r="HF515" s="19">
        <v>43.3</v>
      </c>
      <c r="HG515" s="19">
        <v>69.5</v>
      </c>
      <c r="HH515" s="19">
        <v>81.6</v>
      </c>
      <c r="HI515" s="19">
        <v>132.7</v>
      </c>
      <c r="HJ515" s="19">
        <v>131.7</v>
      </c>
      <c r="HK515" s="19">
        <v>98.3</v>
      </c>
      <c r="HL515" s="19">
        <v>97.3</v>
      </c>
      <c r="HM515" s="19">
        <v>96.5</v>
      </c>
      <c r="HN515" s="19">
        <v>95.8</v>
      </c>
      <c r="HO515" s="19">
        <v>94.8</v>
      </c>
      <c r="HP515" s="19">
        <v>75</v>
      </c>
      <c r="HQ515" s="19">
        <v>74.2</v>
      </c>
      <c r="HR515" s="19">
        <v>73.2</v>
      </c>
      <c r="HS515" s="19">
        <v>60.2</v>
      </c>
      <c r="HT515" s="19">
        <v>59.3</v>
      </c>
      <c r="HU515" s="19">
        <v>58.5</v>
      </c>
      <c r="HV515" s="19">
        <v>57.5</v>
      </c>
      <c r="HW515" s="19">
        <v>56.5</v>
      </c>
      <c r="HX515" s="19">
        <v>55.5</v>
      </c>
      <c r="HY515" s="19">
        <v>54.5</v>
      </c>
      <c r="HZ515" s="19">
        <v>53.5</v>
      </c>
      <c r="IA515" s="19">
        <v>63</v>
      </c>
      <c r="IB515" s="19">
        <v>61.8</v>
      </c>
    </row>
    <row r="516">
      <c r="A516" s="2" t="s">
        <v>3008</v>
      </c>
      <c r="B516" s="2" t="s">
        <v>222</v>
      </c>
      <c r="C516" s="2" t="s">
        <v>343</v>
      </c>
      <c r="D516" s="2" t="s">
        <v>224</v>
      </c>
      <c r="E516" s="2" t="s">
        <v>3009</v>
      </c>
      <c r="F516" s="2" t="s">
        <v>3010</v>
      </c>
      <c r="G516" s="2" t="s">
        <v>3011</v>
      </c>
      <c r="H516" s="2" t="s">
        <v>3011</v>
      </c>
      <c r="I516" s="2" t="s">
        <v>3012</v>
      </c>
      <c r="J516" s="2" t="s">
        <v>252</v>
      </c>
      <c r="K516" s="2" t="s">
        <v>266</v>
      </c>
      <c r="L516" s="3">
        <v>15.04</v>
      </c>
      <c r="M516" s="3">
        <v>15.79</v>
      </c>
      <c r="N516" s="3">
        <v>31.99</v>
      </c>
      <c r="O516" s="2" t="s">
        <v>230</v>
      </c>
      <c r="P516" s="2" t="s">
        <v>231</v>
      </c>
      <c r="Q516" s="2" t="s">
        <v>232</v>
      </c>
      <c r="R516" s="2" t="s">
        <v>233</v>
      </c>
      <c r="S516" s="2" t="s">
        <v>3013</v>
      </c>
      <c r="T516" s="2" t="s">
        <v>469</v>
      </c>
      <c r="U516" s="2" t="s">
        <v>233</v>
      </c>
      <c r="V516" s="2" t="s">
        <v>236</v>
      </c>
      <c r="W516" s="2" t="s">
        <v>237</v>
      </c>
      <c r="X516" s="2" t="s">
        <v>233</v>
      </c>
      <c r="Y516" s="2" t="s">
        <v>238</v>
      </c>
      <c r="Z516" s="4">
        <v>354</v>
      </c>
      <c r="AA516" s="4">
        <f>=ROUNDDOWN(25.2857142857143,0)</f>
      </c>
      <c r="AB516" s="5">
        <v>14</v>
      </c>
      <c r="AC516" s="2" t="s">
        <v>233</v>
      </c>
      <c r="AD516" s="4"/>
      <c r="AE516" s="4"/>
      <c r="AF516" s="6">
        <v>65</v>
      </c>
      <c r="AG516" s="6">
        <v>48</v>
      </c>
      <c r="AH516" s="7">
        <v>1</v>
      </c>
      <c r="AI516" s="4"/>
      <c r="AJ516" s="4">
        <f>=ROUNDDOWN({0},0)</f>
      </c>
      <c r="AK516" s="5"/>
      <c r="AL516" s="2" t="s">
        <v>233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/>
      <c r="BD516" s="8"/>
      <c r="BE516" s="4"/>
      <c r="BF516" s="8"/>
      <c r="BG516" s="7"/>
      <c r="BH516" s="7"/>
      <c r="BI516" s="7"/>
      <c r="BJ516" s="4">
        <v>47</v>
      </c>
      <c r="BK516" s="8">
        <v>760.09</v>
      </c>
      <c r="BL516" s="2" t="s">
        <v>3014</v>
      </c>
      <c r="BM516" s="7"/>
      <c r="BN516" s="7"/>
      <c r="BO516" s="4"/>
      <c r="BP516" s="8"/>
      <c r="BQ516" s="4"/>
      <c r="BR516" s="8"/>
      <c r="BS516" s="7"/>
      <c r="BT516" s="7"/>
      <c r="BU516" s="2" t="s">
        <v>3015</v>
      </c>
      <c r="BV516" s="2" t="s">
        <v>233</v>
      </c>
      <c r="BW516" s="2" t="s">
        <v>233</v>
      </c>
      <c r="BX516" s="2" t="s">
        <v>241</v>
      </c>
      <c r="BY516" s="2" t="s">
        <v>242</v>
      </c>
      <c r="BZ516" s="2" t="s">
        <v>230</v>
      </c>
      <c r="CA516" s="2" t="s">
        <v>243</v>
      </c>
      <c r="CB516" s="2" t="s">
        <v>1057</v>
      </c>
      <c r="CC516" s="2" t="s">
        <v>245</v>
      </c>
      <c r="CD516" s="2" t="s">
        <v>233</v>
      </c>
      <c r="CE516" s="4">
        <v>343</v>
      </c>
      <c r="CF516" s="4"/>
      <c r="CG516" s="4"/>
      <c r="CH516" s="4">
        <v>11</v>
      </c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>
        <v>363</v>
      </c>
      <c r="GD516" s="4">
        <v>348</v>
      </c>
      <c r="GE516" s="4">
        <v>333</v>
      </c>
      <c r="GF516" s="4">
        <v>320</v>
      </c>
      <c r="GG516" s="4">
        <v>297</v>
      </c>
      <c r="GH516" s="4">
        <v>286</v>
      </c>
      <c r="GI516" s="4">
        <v>275</v>
      </c>
      <c r="GJ516" s="4">
        <v>268</v>
      </c>
      <c r="GK516" s="4">
        <v>264</v>
      </c>
      <c r="GL516" s="4">
        <v>257</v>
      </c>
      <c r="GM516" s="4">
        <v>250</v>
      </c>
      <c r="GN516" s="4">
        <v>240</v>
      </c>
      <c r="GO516" s="4">
        <v>229</v>
      </c>
      <c r="GP516" s="4">
        <v>218</v>
      </c>
      <c r="GQ516" s="4">
        <v>207</v>
      </c>
      <c r="GR516" s="4">
        <v>194</v>
      </c>
      <c r="GS516" s="4">
        <v>181</v>
      </c>
      <c r="GT516" s="4">
        <v>167</v>
      </c>
      <c r="GU516" s="4">
        <v>154</v>
      </c>
      <c r="GV516" s="4">
        <v>141</v>
      </c>
      <c r="GW516" s="4">
        <v>128</v>
      </c>
      <c r="GX516" s="4">
        <v>115</v>
      </c>
      <c r="GY516" s="4">
        <v>102</v>
      </c>
      <c r="GZ516" s="4">
        <v>89</v>
      </c>
      <c r="HA516" s="4">
        <v>76</v>
      </c>
      <c r="HB516" s="4">
        <v>63</v>
      </c>
      <c r="HC516" s="19">
        <v>14.6</v>
      </c>
      <c r="HD516" s="19">
        <v>14.7</v>
      </c>
      <c r="HE516" s="19">
        <v>14.3</v>
      </c>
      <c r="HF516" s="19">
        <v>14.2</v>
      </c>
      <c r="HG516" s="19">
        <v>18.6</v>
      </c>
      <c r="HH516" s="19">
        <v>20.5</v>
      </c>
      <c r="HI516" s="19">
        <v>22.9</v>
      </c>
      <c r="HJ516" s="19">
        <v>19.2</v>
      </c>
      <c r="HK516" s="19">
        <v>14.7</v>
      </c>
      <c r="HL516" s="19">
        <v>12.9</v>
      </c>
      <c r="HM516" s="19">
        <v>11.4</v>
      </c>
      <c r="HN516" s="19">
        <v>10</v>
      </c>
      <c r="HO516" s="19">
        <v>9.6</v>
      </c>
      <c r="HP516" s="19">
        <v>8.4</v>
      </c>
      <c r="HQ516" s="19">
        <v>8</v>
      </c>
      <c r="HR516" s="19">
        <v>7.5</v>
      </c>
      <c r="HS516" s="19">
        <v>7</v>
      </c>
      <c r="HT516" s="19">
        <v>6.4</v>
      </c>
      <c r="HU516" s="19">
        <v>5.9</v>
      </c>
      <c r="HV516" s="19">
        <v>5.4</v>
      </c>
      <c r="HW516" s="19">
        <v>4.9</v>
      </c>
      <c r="HX516" s="19">
        <v>4.4</v>
      </c>
      <c r="HY516" s="19">
        <v>3.9</v>
      </c>
      <c r="HZ516" s="19">
        <v>3.4</v>
      </c>
      <c r="IA516" s="19">
        <v>2.9</v>
      </c>
      <c r="IB516" s="19">
        <v>2.4</v>
      </c>
    </row>
    <row r="517">
      <c r="A517" s="2" t="s">
        <v>3016</v>
      </c>
      <c r="B517" s="2" t="s">
        <v>811</v>
      </c>
      <c r="C517" s="2" t="s">
        <v>762</v>
      </c>
      <c r="D517" s="2" t="s">
        <v>813</v>
      </c>
      <c r="E517" s="2" t="s">
        <v>814</v>
      </c>
      <c r="F517" s="2" t="s">
        <v>3017</v>
      </c>
      <c r="G517" s="2" t="s">
        <v>3017</v>
      </c>
      <c r="H517" s="2" t="s">
        <v>3017</v>
      </c>
      <c r="I517" s="2" t="s">
        <v>3018</v>
      </c>
      <c r="J517" s="2" t="s">
        <v>741</v>
      </c>
      <c r="K517" s="2" t="s">
        <v>1403</v>
      </c>
      <c r="L517" s="3">
        <v>108.45</v>
      </c>
      <c r="M517" s="3">
        <v>113.87</v>
      </c>
      <c r="N517" s="3">
        <v>249.99</v>
      </c>
      <c r="O517" s="2" t="s">
        <v>230</v>
      </c>
      <c r="P517" s="2" t="s">
        <v>721</v>
      </c>
      <c r="Q517" s="2" t="s">
        <v>232</v>
      </c>
      <c r="R517" s="2" t="s">
        <v>233</v>
      </c>
      <c r="S517" s="2" t="s">
        <v>233</v>
      </c>
      <c r="T517" s="2" t="s">
        <v>233</v>
      </c>
      <c r="U517" s="2" t="s">
        <v>329</v>
      </c>
      <c r="V517" s="2" t="s">
        <v>609</v>
      </c>
      <c r="W517" s="2" t="s">
        <v>712</v>
      </c>
      <c r="X517" s="2" t="s">
        <v>233</v>
      </c>
      <c r="Y517" s="2" t="s">
        <v>809</v>
      </c>
      <c r="Z517" s="4">
        <v>49</v>
      </c>
      <c r="AA517" s="4">
        <f>=ROUNDDOWN(49,0)</f>
      </c>
      <c r="AB517" s="5">
        <v>1</v>
      </c>
      <c r="AC517" s="2" t="s">
        <v>233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233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/>
      <c r="BD517" s="8"/>
      <c r="BE517" s="4"/>
      <c r="BF517" s="8"/>
      <c r="BG517" s="7"/>
      <c r="BH517" s="7"/>
      <c r="BI517" s="7"/>
      <c r="BJ517" s="4">
        <v>2</v>
      </c>
      <c r="BK517" s="8">
        <v>272.3</v>
      </c>
      <c r="BL517" s="2" t="s">
        <v>331</v>
      </c>
      <c r="BM517" s="7"/>
      <c r="BN517" s="7"/>
      <c r="BO517" s="4"/>
      <c r="BP517" s="8"/>
      <c r="BQ517" s="4"/>
      <c r="BR517" s="8"/>
      <c r="BS517" s="7"/>
      <c r="BT517" s="7"/>
      <c r="BU517" s="2" t="s">
        <v>3019</v>
      </c>
      <c r="BV517" s="2" t="s">
        <v>233</v>
      </c>
      <c r="BW517" s="2" t="s">
        <v>233</v>
      </c>
      <c r="BX517" s="2" t="s">
        <v>624</v>
      </c>
      <c r="BY517" s="2" t="s">
        <v>242</v>
      </c>
      <c r="BZ517" s="2" t="s">
        <v>230</v>
      </c>
      <c r="CA517" s="2" t="s">
        <v>2916</v>
      </c>
      <c r="CB517" s="2" t="s">
        <v>2270</v>
      </c>
      <c r="CC517" s="2" t="s">
        <v>245</v>
      </c>
      <c r="CD517" s="2" t="s">
        <v>233</v>
      </c>
      <c r="CE517" s="4"/>
      <c r="CF517" s="4">
        <v>49</v>
      </c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>
        <v>49</v>
      </c>
      <c r="GD517" s="4">
        <v>48</v>
      </c>
      <c r="GE517" s="4">
        <v>47</v>
      </c>
      <c r="GF517" s="4">
        <v>46</v>
      </c>
      <c r="GG517" s="4">
        <v>45</v>
      </c>
      <c r="GH517" s="4">
        <v>44</v>
      </c>
      <c r="GI517" s="4">
        <v>43</v>
      </c>
      <c r="GJ517" s="4">
        <v>42</v>
      </c>
      <c r="GK517" s="4">
        <v>41</v>
      </c>
      <c r="GL517" s="4">
        <v>40</v>
      </c>
      <c r="GM517" s="4">
        <v>39</v>
      </c>
      <c r="GN517" s="4">
        <v>38</v>
      </c>
      <c r="GO517" s="4">
        <v>37</v>
      </c>
      <c r="GP517" s="4">
        <v>36</v>
      </c>
      <c r="GQ517" s="4">
        <v>35</v>
      </c>
      <c r="GR517" s="4">
        <v>34</v>
      </c>
      <c r="GS517" s="4">
        <v>33</v>
      </c>
      <c r="GT517" s="4">
        <v>32</v>
      </c>
      <c r="GU517" s="4">
        <v>31</v>
      </c>
      <c r="GV517" s="4">
        <v>30</v>
      </c>
      <c r="GW517" s="4">
        <v>29</v>
      </c>
      <c r="GX517" s="4">
        <v>28</v>
      </c>
      <c r="GY517" s="4">
        <v>27</v>
      </c>
      <c r="GZ517" s="4">
        <v>26</v>
      </c>
      <c r="HA517" s="4">
        <v>25</v>
      </c>
      <c r="HB517" s="4">
        <v>24</v>
      </c>
      <c r="HC517" s="19">
        <v>49</v>
      </c>
      <c r="HD517" s="19">
        <v>48</v>
      </c>
      <c r="HE517" s="19">
        <v>47</v>
      </c>
      <c r="HF517" s="19">
        <v>46</v>
      </c>
      <c r="HG517" s="19">
        <v>45</v>
      </c>
      <c r="HH517" s="19">
        <v>44</v>
      </c>
      <c r="HI517" s="19">
        <v>43</v>
      </c>
      <c r="HJ517" s="19">
        <v>42</v>
      </c>
      <c r="HK517" s="19">
        <v>41</v>
      </c>
      <c r="HL517" s="19">
        <v>40</v>
      </c>
      <c r="HM517" s="19">
        <v>39</v>
      </c>
      <c r="HN517" s="19">
        <v>38</v>
      </c>
      <c r="HO517" s="19">
        <v>37</v>
      </c>
      <c r="HP517" s="19">
        <v>36</v>
      </c>
      <c r="HQ517" s="19">
        <v>35</v>
      </c>
      <c r="HR517" s="19">
        <v>34</v>
      </c>
      <c r="HS517" s="19">
        <v>33</v>
      </c>
      <c r="HT517" s="19">
        <v>32</v>
      </c>
      <c r="HU517" s="19">
        <v>31</v>
      </c>
      <c r="HV517" s="19">
        <v>30</v>
      </c>
      <c r="HW517" s="19">
        <v>29</v>
      </c>
      <c r="HX517" s="19">
        <v>28</v>
      </c>
      <c r="HY517" s="19">
        <v>27</v>
      </c>
      <c r="HZ517" s="19">
        <v>26</v>
      </c>
      <c r="IA517" s="19">
        <v>25</v>
      </c>
      <c r="IB517" s="19">
        <v>24</v>
      </c>
    </row>
    <row r="518">
      <c r="A518" s="2" t="s">
        <v>3020</v>
      </c>
      <c r="B518" s="2" t="s">
        <v>872</v>
      </c>
      <c r="C518" s="2" t="s">
        <v>1398</v>
      </c>
      <c r="D518" s="2" t="s">
        <v>261</v>
      </c>
      <c r="E518" s="2" t="s">
        <v>895</v>
      </c>
      <c r="F518" s="2" t="s">
        <v>3021</v>
      </c>
      <c r="G518" s="2" t="s">
        <v>3022</v>
      </c>
      <c r="H518" s="2" t="s">
        <v>3023</v>
      </c>
      <c r="I518" s="2" t="s">
        <v>3024</v>
      </c>
      <c r="J518" s="2" t="s">
        <v>1052</v>
      </c>
      <c r="K518" s="2" t="s">
        <v>3025</v>
      </c>
      <c r="L518" s="3">
        <v>19.04</v>
      </c>
      <c r="M518" s="3">
        <v>19.99</v>
      </c>
      <c r="N518" s="3">
        <v>39.99</v>
      </c>
      <c r="O518" s="2" t="s">
        <v>230</v>
      </c>
      <c r="P518" s="2" t="s">
        <v>1903</v>
      </c>
      <c r="Q518" s="2" t="s">
        <v>232</v>
      </c>
      <c r="R518" s="2" t="s">
        <v>233</v>
      </c>
      <c r="S518" s="2" t="s">
        <v>3026</v>
      </c>
      <c r="T518" s="2" t="s">
        <v>1546</v>
      </c>
      <c r="U518" s="2" t="s">
        <v>711</v>
      </c>
      <c r="V518" s="2" t="s">
        <v>834</v>
      </c>
      <c r="W518" s="2" t="s">
        <v>1141</v>
      </c>
      <c r="X518" s="2" t="s">
        <v>237</v>
      </c>
      <c r="Y518" s="2" t="s">
        <v>1405</v>
      </c>
      <c r="Z518" s="4">
        <v>403</v>
      </c>
      <c r="AA518" s="4">
        <f>=ROUNDDOWN(33.5833333333333,0)</f>
      </c>
      <c r="AB518" s="5">
        <v>12</v>
      </c>
      <c r="AC518" s="2" t="s">
        <v>622</v>
      </c>
      <c r="AD518" s="4">
        <v>540</v>
      </c>
      <c r="AE518" s="4">
        <v>720</v>
      </c>
      <c r="AF518" s="6">
        <v>63</v>
      </c>
      <c r="AG518" s="6">
        <v>46</v>
      </c>
      <c r="AH518" s="7">
        <v>1</v>
      </c>
      <c r="AI518" s="4"/>
      <c r="AJ518" s="4">
        <f>=ROUNDDOWN({0},0)</f>
      </c>
      <c r="AK518" s="5"/>
      <c r="AL518" s="2" t="s">
        <v>233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233</v>
      </c>
      <c r="AW518" s="8" t="s">
        <v>233</v>
      </c>
      <c r="AX518" s="4" t="s">
        <v>233</v>
      </c>
      <c r="AY518" s="8" t="s">
        <v>233</v>
      </c>
      <c r="AZ518" s="7" t="s">
        <v>233</v>
      </c>
      <c r="BA518" s="7" t="s">
        <v>233</v>
      </c>
      <c r="BB518" s="7"/>
      <c r="BC518" s="4" t="s">
        <v>233</v>
      </c>
      <c r="BD518" s="8" t="s">
        <v>233</v>
      </c>
      <c r="BE518" s="4" t="s">
        <v>233</v>
      </c>
      <c r="BF518" s="8" t="s">
        <v>233</v>
      </c>
      <c r="BG518" s="7" t="s">
        <v>233</v>
      </c>
      <c r="BH518" s="7" t="s">
        <v>233</v>
      </c>
      <c r="BI518" s="7"/>
      <c r="BJ518" s="4">
        <v>48</v>
      </c>
      <c r="BK518" s="8">
        <v>999.59</v>
      </c>
      <c r="BL518" s="2" t="s">
        <v>3027</v>
      </c>
      <c r="BM518" s="7"/>
      <c r="BN518" s="7"/>
      <c r="BO518" s="4"/>
      <c r="BP518" s="8"/>
      <c r="BQ518" s="4"/>
      <c r="BR518" s="8"/>
      <c r="BS518" s="7"/>
      <c r="BT518" s="7"/>
      <c r="BU518" s="2" t="s">
        <v>3028</v>
      </c>
      <c r="BV518" s="2" t="s">
        <v>233</v>
      </c>
      <c r="BW518" s="2" t="s">
        <v>233</v>
      </c>
      <c r="BX518" s="2" t="s">
        <v>1407</v>
      </c>
      <c r="BY518" s="2" t="s">
        <v>242</v>
      </c>
      <c r="BZ518" s="2" t="s">
        <v>230</v>
      </c>
      <c r="CA518" s="2" t="s">
        <v>3029</v>
      </c>
      <c r="CB518" s="2" t="s">
        <v>2169</v>
      </c>
      <c r="CC518" s="2" t="s">
        <v>245</v>
      </c>
      <c r="CD518" s="2" t="s">
        <v>233</v>
      </c>
      <c r="CE518" s="4">
        <v>147</v>
      </c>
      <c r="CF518" s="4"/>
      <c r="CG518" s="4"/>
      <c r="CH518" s="4">
        <v>166</v>
      </c>
      <c r="CI518" s="4"/>
      <c r="CJ518" s="4"/>
      <c r="CK518" s="4">
        <v>90</v>
      </c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>
        <v>540</v>
      </c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>
        <v>90</v>
      </c>
      <c r="DQ518" s="4"/>
      <c r="DR518" s="4">
        <v>30</v>
      </c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>
        <v>60</v>
      </c>
      <c r="FX518" s="4"/>
      <c r="FY518" s="4"/>
      <c r="FZ518" s="4"/>
      <c r="GA518" s="4"/>
      <c r="GB518" s="4"/>
      <c r="GC518" s="4">
        <v>314</v>
      </c>
      <c r="GD518" s="4">
        <v>380</v>
      </c>
      <c r="GE518" s="4">
        <v>356</v>
      </c>
      <c r="GF518" s="4">
        <v>327</v>
      </c>
      <c r="GG518" s="4">
        <v>291</v>
      </c>
      <c r="GH518" s="4">
        <v>387</v>
      </c>
      <c r="GI518" s="4">
        <v>363</v>
      </c>
      <c r="GJ518" s="4">
        <v>346</v>
      </c>
      <c r="GK518" s="4">
        <v>329</v>
      </c>
      <c r="GL518" s="4">
        <v>313</v>
      </c>
      <c r="GM518" s="4">
        <v>298</v>
      </c>
      <c r="GN518" s="4">
        <v>283</v>
      </c>
      <c r="GO518" s="4">
        <v>268</v>
      </c>
      <c r="GP518" s="4">
        <v>256</v>
      </c>
      <c r="GQ518" s="4">
        <v>241</v>
      </c>
      <c r="GR518" s="4">
        <v>224</v>
      </c>
      <c r="GS518" s="4">
        <v>207</v>
      </c>
      <c r="GT518" s="4">
        <v>189</v>
      </c>
      <c r="GU518" s="4">
        <v>232</v>
      </c>
      <c r="GV518" s="4">
        <v>212</v>
      </c>
      <c r="GW518" s="4">
        <v>192</v>
      </c>
      <c r="GX518" s="4">
        <v>172</v>
      </c>
      <c r="GY518" s="4">
        <v>152</v>
      </c>
      <c r="GZ518" s="4">
        <v>294</v>
      </c>
      <c r="HA518" s="4">
        <v>275</v>
      </c>
      <c r="HB518" s="4">
        <v>256</v>
      </c>
      <c r="HC518" s="19">
        <v>19.7</v>
      </c>
      <c r="HD518" s="19">
        <v>20.8</v>
      </c>
      <c r="HE518" s="19">
        <v>20</v>
      </c>
      <c r="HF518" s="19">
        <v>23.3</v>
      </c>
      <c r="HG518" s="19">
        <v>22.7</v>
      </c>
      <c r="HH518" s="19">
        <v>31.5</v>
      </c>
      <c r="HI518" s="19">
        <v>42.8</v>
      </c>
      <c r="HJ518" s="19">
        <v>41.5</v>
      </c>
      <c r="HK518" s="19">
        <v>40.8</v>
      </c>
      <c r="HL518" s="19">
        <v>40.4</v>
      </c>
      <c r="HM518" s="19">
        <v>39.3</v>
      </c>
      <c r="HN518" s="19">
        <v>38.3</v>
      </c>
      <c r="HO518" s="19">
        <v>36.8</v>
      </c>
      <c r="HP518" s="19">
        <v>25.3</v>
      </c>
      <c r="HQ518" s="19">
        <v>24.5</v>
      </c>
      <c r="HR518" s="19">
        <v>23.2</v>
      </c>
      <c r="HS518" s="19">
        <v>22.1</v>
      </c>
      <c r="HT518" s="19">
        <v>21.1</v>
      </c>
      <c r="HU518" s="19">
        <v>21.8</v>
      </c>
      <c r="HV518" s="19">
        <v>20.8</v>
      </c>
      <c r="HW518" s="19">
        <v>20</v>
      </c>
      <c r="HX518" s="19">
        <v>18.9</v>
      </c>
      <c r="HY518" s="19">
        <v>17.9</v>
      </c>
      <c r="HZ518" s="19">
        <v>21.9</v>
      </c>
      <c r="IA518" s="19">
        <v>21.3</v>
      </c>
      <c r="IB518" s="19">
        <v>28</v>
      </c>
    </row>
    <row r="519">
      <c r="A519" s="2" t="s">
        <v>3030</v>
      </c>
      <c r="B519" s="2" t="s">
        <v>872</v>
      </c>
      <c r="C519" s="2" t="s">
        <v>1398</v>
      </c>
      <c r="D519" s="2" t="s">
        <v>261</v>
      </c>
      <c r="E519" s="2" t="s">
        <v>895</v>
      </c>
      <c r="F519" s="2" t="s">
        <v>3021</v>
      </c>
      <c r="G519" s="2" t="s">
        <v>3022</v>
      </c>
      <c r="H519" s="2" t="s">
        <v>3023</v>
      </c>
      <c r="I519" s="2" t="s">
        <v>3024</v>
      </c>
      <c r="J519" s="2" t="s">
        <v>265</v>
      </c>
      <c r="K519" s="2" t="s">
        <v>3025</v>
      </c>
      <c r="L519" s="3">
        <v>23.8</v>
      </c>
      <c r="M519" s="3">
        <v>24.99</v>
      </c>
      <c r="N519" s="3">
        <v>49.99</v>
      </c>
      <c r="O519" s="2" t="s">
        <v>230</v>
      </c>
      <c r="P519" s="2" t="s">
        <v>1903</v>
      </c>
      <c r="Q519" s="2" t="s">
        <v>232</v>
      </c>
      <c r="R519" s="2" t="s">
        <v>233</v>
      </c>
      <c r="S519" s="2" t="s">
        <v>3026</v>
      </c>
      <c r="T519" s="2" t="s">
        <v>1546</v>
      </c>
      <c r="U519" s="2" t="s">
        <v>781</v>
      </c>
      <c r="V519" s="2" t="s">
        <v>834</v>
      </c>
      <c r="W519" s="2" t="s">
        <v>1141</v>
      </c>
      <c r="X519" s="2" t="s">
        <v>237</v>
      </c>
      <c r="Y519" s="2" t="s">
        <v>1405</v>
      </c>
      <c r="Z519" s="4">
        <v>1406</v>
      </c>
      <c r="AA519" s="4">
        <f>=ROUNDDOWN(34.2926829268293,0)</f>
      </c>
      <c r="AB519" s="5">
        <v>41</v>
      </c>
      <c r="AC519" s="2" t="s">
        <v>622</v>
      </c>
      <c r="AD519" s="4">
        <v>3600</v>
      </c>
      <c r="AE519" s="4">
        <v>4380</v>
      </c>
      <c r="AF519" s="6">
        <v>63</v>
      </c>
      <c r="AG519" s="6">
        <v>46</v>
      </c>
      <c r="AH519" s="7">
        <v>1</v>
      </c>
      <c r="AI519" s="4"/>
      <c r="AJ519" s="4">
        <f>=ROUNDDOWN({0},0)</f>
      </c>
      <c r="AK519" s="5"/>
      <c r="AL519" s="2" t="s">
        <v>233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233</v>
      </c>
      <c r="AW519" s="8" t="s">
        <v>233</v>
      </c>
      <c r="AX519" s="4" t="s">
        <v>233</v>
      </c>
      <c r="AY519" s="8" t="s">
        <v>233</v>
      </c>
      <c r="AZ519" s="7" t="s">
        <v>233</v>
      </c>
      <c r="BA519" s="7" t="s">
        <v>233</v>
      </c>
      <c r="BB519" s="7"/>
      <c r="BC519" s="4" t="s">
        <v>233</v>
      </c>
      <c r="BD519" s="8" t="s">
        <v>233</v>
      </c>
      <c r="BE519" s="4" t="s">
        <v>233</v>
      </c>
      <c r="BF519" s="8" t="s">
        <v>233</v>
      </c>
      <c r="BG519" s="7" t="s">
        <v>233</v>
      </c>
      <c r="BH519" s="7" t="s">
        <v>233</v>
      </c>
      <c r="BI519" s="7"/>
      <c r="BJ519" s="4">
        <v>95</v>
      </c>
      <c r="BK519" s="8">
        <v>2480.64</v>
      </c>
      <c r="BL519" s="2" t="s">
        <v>648</v>
      </c>
      <c r="BM519" s="7"/>
      <c r="BN519" s="7"/>
      <c r="BO519" s="4"/>
      <c r="BP519" s="8"/>
      <c r="BQ519" s="4"/>
      <c r="BR519" s="8"/>
      <c r="BS519" s="7"/>
      <c r="BT519" s="7"/>
      <c r="BU519" s="2" t="s">
        <v>3028</v>
      </c>
      <c r="BV519" s="2" t="s">
        <v>233</v>
      </c>
      <c r="BW519" s="2" t="s">
        <v>233</v>
      </c>
      <c r="BX519" s="2" t="s">
        <v>1407</v>
      </c>
      <c r="BY519" s="2" t="s">
        <v>242</v>
      </c>
      <c r="BZ519" s="2" t="s">
        <v>230</v>
      </c>
      <c r="CA519" s="2" t="s">
        <v>3029</v>
      </c>
      <c r="CB519" s="2" t="s">
        <v>2156</v>
      </c>
      <c r="CC519" s="2" t="s">
        <v>245</v>
      </c>
      <c r="CD519" s="2" t="s">
        <v>233</v>
      </c>
      <c r="CE519" s="4">
        <v>820</v>
      </c>
      <c r="CF519" s="4"/>
      <c r="CG519" s="4"/>
      <c r="CH519" s="4">
        <v>370</v>
      </c>
      <c r="CI519" s="4"/>
      <c r="CJ519" s="4"/>
      <c r="CK519" s="4">
        <v>216</v>
      </c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>
        <v>3600</v>
      </c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>
        <v>450</v>
      </c>
      <c r="DQ519" s="4"/>
      <c r="DR519" s="4">
        <v>90</v>
      </c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>
        <v>240</v>
      </c>
      <c r="FX519" s="4"/>
      <c r="FY519" s="4"/>
      <c r="FZ519" s="4"/>
      <c r="GA519" s="4"/>
      <c r="GB519" s="4"/>
      <c r="GC519" s="4">
        <v>810</v>
      </c>
      <c r="GD519" s="4">
        <v>1327</v>
      </c>
      <c r="GE519" s="4">
        <v>1238</v>
      </c>
      <c r="GF519" s="4">
        <v>1129</v>
      </c>
      <c r="GG519" s="4">
        <v>987</v>
      </c>
      <c r="GH519" s="4">
        <v>1440</v>
      </c>
      <c r="GI519" s="4">
        <v>1365</v>
      </c>
      <c r="GJ519" s="4">
        <v>1315</v>
      </c>
      <c r="GK519" s="4">
        <v>1265</v>
      </c>
      <c r="GL519" s="4">
        <v>1214</v>
      </c>
      <c r="GM519" s="4">
        <v>1167</v>
      </c>
      <c r="GN519" s="4">
        <v>1120</v>
      </c>
      <c r="GO519" s="4">
        <v>1073</v>
      </c>
      <c r="GP519" s="4">
        <v>1032</v>
      </c>
      <c r="GQ519" s="4">
        <v>985</v>
      </c>
      <c r="GR519" s="4">
        <v>933</v>
      </c>
      <c r="GS519" s="4">
        <v>881</v>
      </c>
      <c r="GT519" s="4">
        <v>821</v>
      </c>
      <c r="GU519" s="4">
        <v>1009</v>
      </c>
      <c r="GV519" s="4">
        <v>950</v>
      </c>
      <c r="GW519" s="4">
        <v>1080</v>
      </c>
      <c r="GX519" s="4">
        <v>1021</v>
      </c>
      <c r="GY519" s="4">
        <v>962</v>
      </c>
      <c r="GZ519" s="4">
        <v>904</v>
      </c>
      <c r="HA519" s="4">
        <v>846</v>
      </c>
      <c r="HB519" s="4">
        <v>788</v>
      </c>
      <c r="HC519" s="19">
        <v>9.9</v>
      </c>
      <c r="HD519" s="19">
        <v>12.6</v>
      </c>
      <c r="HE519" s="19">
        <v>12.3</v>
      </c>
      <c r="HF519" s="19">
        <v>13.2</v>
      </c>
      <c r="HG519" s="19">
        <v>15.7</v>
      </c>
      <c r="HH519" s="19">
        <v>23</v>
      </c>
      <c r="HI519" s="19">
        <v>24.8</v>
      </c>
      <c r="HJ519" s="19">
        <v>24.2</v>
      </c>
      <c r="HK519" s="19">
        <v>23.2</v>
      </c>
      <c r="HL519" s="19">
        <v>23</v>
      </c>
      <c r="HM519" s="19">
        <v>22</v>
      </c>
      <c r="HN519" s="19">
        <v>20.6</v>
      </c>
      <c r="HO519" s="19">
        <v>19.2</v>
      </c>
      <c r="HP519" s="19">
        <v>16.6</v>
      </c>
      <c r="HQ519" s="19">
        <v>15.4</v>
      </c>
      <c r="HR519" s="19">
        <v>13.9</v>
      </c>
      <c r="HS519" s="19">
        <v>12.8</v>
      </c>
      <c r="HT519" s="19">
        <v>11.7</v>
      </c>
      <c r="HU519" s="19">
        <v>13.2</v>
      </c>
      <c r="HV519" s="19">
        <v>12.2</v>
      </c>
      <c r="HW519" s="19">
        <v>17.5</v>
      </c>
      <c r="HX519" s="19">
        <v>16.7</v>
      </c>
      <c r="HY519" s="19">
        <v>15.7</v>
      </c>
      <c r="HZ519" s="19">
        <v>14.7</v>
      </c>
      <c r="IA519" s="19">
        <v>14.5</v>
      </c>
      <c r="IB519" s="19">
        <v>13.6</v>
      </c>
    </row>
    <row r="520">
      <c r="A520" s="2" t="s">
        <v>3031</v>
      </c>
      <c r="B520" s="2" t="s">
        <v>872</v>
      </c>
      <c r="C520" s="2" t="s">
        <v>1398</v>
      </c>
      <c r="D520" s="2" t="s">
        <v>261</v>
      </c>
      <c r="E520" s="2" t="s">
        <v>895</v>
      </c>
      <c r="F520" s="2" t="s">
        <v>3021</v>
      </c>
      <c r="G520" s="2" t="s">
        <v>3022</v>
      </c>
      <c r="H520" s="2" t="s">
        <v>3023</v>
      </c>
      <c r="I520" s="2" t="s">
        <v>3024</v>
      </c>
      <c r="J520" s="2" t="s">
        <v>275</v>
      </c>
      <c r="K520" s="2" t="s">
        <v>3025</v>
      </c>
      <c r="L520" s="3">
        <v>26.19</v>
      </c>
      <c r="M520" s="3">
        <v>27.5</v>
      </c>
      <c r="N520" s="3">
        <v>54.99</v>
      </c>
      <c r="O520" s="2" t="s">
        <v>230</v>
      </c>
      <c r="P520" s="2" t="s">
        <v>1903</v>
      </c>
      <c r="Q520" s="2" t="s">
        <v>232</v>
      </c>
      <c r="R520" s="2" t="s">
        <v>233</v>
      </c>
      <c r="S520" s="2" t="s">
        <v>3026</v>
      </c>
      <c r="T520" s="2" t="s">
        <v>1546</v>
      </c>
      <c r="U520" s="2" t="s">
        <v>781</v>
      </c>
      <c r="V520" s="2" t="s">
        <v>834</v>
      </c>
      <c r="W520" s="2" t="s">
        <v>1141</v>
      </c>
      <c r="X520" s="2" t="s">
        <v>237</v>
      </c>
      <c r="Y520" s="2" t="s">
        <v>2983</v>
      </c>
      <c r="Z520" s="4">
        <v>1009</v>
      </c>
      <c r="AA520" s="4">
        <f>=ROUNDDOWN(28.8285714285714,0)</f>
      </c>
      <c r="AB520" s="5">
        <v>35</v>
      </c>
      <c r="AC520" s="2" t="s">
        <v>622</v>
      </c>
      <c r="AD520" s="4">
        <v>2880</v>
      </c>
      <c r="AE520" s="4">
        <v>3900</v>
      </c>
      <c r="AF520" s="6">
        <v>63</v>
      </c>
      <c r="AG520" s="6">
        <v>46</v>
      </c>
      <c r="AH520" s="7">
        <v>1</v>
      </c>
      <c r="AI520" s="4"/>
      <c r="AJ520" s="4">
        <f>=ROUNDDOWN({0},0)</f>
      </c>
      <c r="AK520" s="5"/>
      <c r="AL520" s="2" t="s">
        <v>233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233</v>
      </c>
      <c r="AW520" s="8" t="s">
        <v>233</v>
      </c>
      <c r="AX520" s="4" t="s">
        <v>233</v>
      </c>
      <c r="AY520" s="8" t="s">
        <v>233</v>
      </c>
      <c r="AZ520" s="7" t="s">
        <v>233</v>
      </c>
      <c r="BA520" s="7" t="s">
        <v>233</v>
      </c>
      <c r="BB520" s="7"/>
      <c r="BC520" s="4" t="s">
        <v>233</v>
      </c>
      <c r="BD520" s="8" t="s">
        <v>233</v>
      </c>
      <c r="BE520" s="4" t="s">
        <v>233</v>
      </c>
      <c r="BF520" s="8" t="s">
        <v>233</v>
      </c>
      <c r="BG520" s="7" t="s">
        <v>233</v>
      </c>
      <c r="BH520" s="7" t="s">
        <v>233</v>
      </c>
      <c r="BI520" s="7"/>
      <c r="BJ520" s="4">
        <v>84</v>
      </c>
      <c r="BK520" s="8">
        <v>2475.44</v>
      </c>
      <c r="BL520" s="2" t="s">
        <v>3032</v>
      </c>
      <c r="BM520" s="7"/>
      <c r="BN520" s="7"/>
      <c r="BO520" s="4"/>
      <c r="BP520" s="8"/>
      <c r="BQ520" s="4"/>
      <c r="BR520" s="8"/>
      <c r="BS520" s="7"/>
      <c r="BT520" s="7"/>
      <c r="BU520" s="2" t="s">
        <v>3028</v>
      </c>
      <c r="BV520" s="2" t="s">
        <v>233</v>
      </c>
      <c r="BW520" s="2" t="s">
        <v>233</v>
      </c>
      <c r="BX520" s="2" t="s">
        <v>1407</v>
      </c>
      <c r="BY520" s="2" t="s">
        <v>242</v>
      </c>
      <c r="BZ520" s="2" t="s">
        <v>230</v>
      </c>
      <c r="CA520" s="2" t="s">
        <v>3029</v>
      </c>
      <c r="CB520" s="2" t="s">
        <v>1409</v>
      </c>
      <c r="CC520" s="2" t="s">
        <v>245</v>
      </c>
      <c r="CD520" s="2" t="s">
        <v>233</v>
      </c>
      <c r="CE520" s="4">
        <v>322</v>
      </c>
      <c r="CF520" s="4"/>
      <c r="CG520" s="4"/>
      <c r="CH520" s="4">
        <v>255</v>
      </c>
      <c r="CI520" s="4"/>
      <c r="CJ520" s="4"/>
      <c r="CK520" s="4">
        <v>432</v>
      </c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>
        <v>2880</v>
      </c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>
        <v>450</v>
      </c>
      <c r="DQ520" s="4"/>
      <c r="DR520" s="4">
        <v>300</v>
      </c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>
        <v>270</v>
      </c>
      <c r="FX520" s="4"/>
      <c r="FY520" s="4"/>
      <c r="FZ520" s="4"/>
      <c r="GA520" s="4"/>
      <c r="GB520" s="4"/>
      <c r="GC520" s="4">
        <v>536</v>
      </c>
      <c r="GD520" s="4">
        <v>954</v>
      </c>
      <c r="GE520" s="4">
        <v>895</v>
      </c>
      <c r="GF520" s="4">
        <v>822</v>
      </c>
      <c r="GG520" s="4">
        <v>728</v>
      </c>
      <c r="GH520" s="4">
        <v>1418</v>
      </c>
      <c r="GI520" s="4">
        <v>1358</v>
      </c>
      <c r="GJ520" s="4">
        <v>1319</v>
      </c>
      <c r="GK520" s="4">
        <v>1280</v>
      </c>
      <c r="GL520" s="4">
        <v>1237</v>
      </c>
      <c r="GM520" s="4">
        <v>1198</v>
      </c>
      <c r="GN520" s="4">
        <v>1159</v>
      </c>
      <c r="GO520" s="4">
        <v>1120</v>
      </c>
      <c r="GP520" s="4">
        <v>1085</v>
      </c>
      <c r="GQ520" s="4">
        <v>1046</v>
      </c>
      <c r="GR520" s="4">
        <v>1005</v>
      </c>
      <c r="GS520" s="4">
        <v>964</v>
      </c>
      <c r="GT520" s="4">
        <v>919</v>
      </c>
      <c r="GU520" s="4">
        <v>1148</v>
      </c>
      <c r="GV520" s="4">
        <v>1101</v>
      </c>
      <c r="GW520" s="4">
        <v>1264</v>
      </c>
      <c r="GX520" s="4">
        <v>1217</v>
      </c>
      <c r="GY520" s="4">
        <v>1170</v>
      </c>
      <c r="GZ520" s="4">
        <v>1123</v>
      </c>
      <c r="HA520" s="4">
        <v>1076</v>
      </c>
      <c r="HB520" s="4">
        <v>1029</v>
      </c>
      <c r="HC520" s="19">
        <v>9.7</v>
      </c>
      <c r="HD520" s="19">
        <v>13.1</v>
      </c>
      <c r="HE520" s="19">
        <v>12.3</v>
      </c>
      <c r="HF520" s="19">
        <v>12.8</v>
      </c>
      <c r="HG520" s="19">
        <v>14.6</v>
      </c>
      <c r="HH520" s="19">
        <v>25.9</v>
      </c>
      <c r="HI520" s="19">
        <v>27.7</v>
      </c>
      <c r="HJ520" s="19">
        <v>26.7</v>
      </c>
      <c r="HK520" s="19">
        <v>25.8</v>
      </c>
      <c r="HL520" s="19">
        <v>26.1</v>
      </c>
      <c r="HM520" s="19">
        <v>25.1</v>
      </c>
      <c r="HN520" s="19">
        <v>23.4</v>
      </c>
      <c r="HO520" s="19">
        <v>22.4</v>
      </c>
      <c r="HP520" s="19">
        <v>20.3</v>
      </c>
      <c r="HQ520" s="19">
        <v>18.8</v>
      </c>
      <c r="HR520" s="19">
        <v>17.1</v>
      </c>
      <c r="HS520" s="19">
        <v>15.5</v>
      </c>
      <c r="HT520" s="19">
        <v>14.1</v>
      </c>
      <c r="HU520" s="19">
        <v>16.6</v>
      </c>
      <c r="HV520" s="19">
        <v>15.5</v>
      </c>
      <c r="HW520" s="19">
        <v>24.2</v>
      </c>
      <c r="HX520" s="19">
        <v>22.6</v>
      </c>
      <c r="HY520" s="19">
        <v>21.6</v>
      </c>
      <c r="HZ520" s="19">
        <v>20.6</v>
      </c>
      <c r="IA520" s="19">
        <v>20</v>
      </c>
      <c r="IB520" s="19">
        <v>19.9</v>
      </c>
    </row>
    <row r="521">
      <c r="A521" s="2" t="s">
        <v>3033</v>
      </c>
      <c r="B521" s="2" t="s">
        <v>938</v>
      </c>
      <c r="C521" s="2" t="s">
        <v>280</v>
      </c>
      <c r="D521" s="2" t="s">
        <v>972</v>
      </c>
      <c r="E521" s="2" t="s">
        <v>2188</v>
      </c>
      <c r="F521" s="2" t="s">
        <v>3034</v>
      </c>
      <c r="G521" s="2" t="s">
        <v>3035</v>
      </c>
      <c r="H521" s="2" t="s">
        <v>3036</v>
      </c>
      <c r="I521" s="2" t="s">
        <v>3037</v>
      </c>
      <c r="J521" s="2" t="s">
        <v>2198</v>
      </c>
      <c r="K521" s="2" t="s">
        <v>229</v>
      </c>
      <c r="L521" s="3">
        <v>32.2</v>
      </c>
      <c r="M521" s="3">
        <v>33.81</v>
      </c>
      <c r="N521" s="3">
        <v>69.99</v>
      </c>
      <c r="O521" s="2" t="s">
        <v>230</v>
      </c>
      <c r="P521" s="2" t="s">
        <v>231</v>
      </c>
      <c r="Q521" s="2" t="s">
        <v>232</v>
      </c>
      <c r="R521" s="2" t="s">
        <v>233</v>
      </c>
      <c r="S521" s="2" t="s">
        <v>3038</v>
      </c>
      <c r="T521" s="2" t="s">
        <v>469</v>
      </c>
      <c r="U521" s="2" t="s">
        <v>329</v>
      </c>
      <c r="V521" s="2" t="s">
        <v>236</v>
      </c>
      <c r="W521" s="2" t="s">
        <v>237</v>
      </c>
      <c r="X521" s="2" t="s">
        <v>233</v>
      </c>
      <c r="Y521" s="2" t="s">
        <v>3039</v>
      </c>
      <c r="Z521" s="4">
        <v>145</v>
      </c>
      <c r="AA521" s="4">
        <f>=ROUNDDOWN(18.125,0)</f>
      </c>
      <c r="AB521" s="5">
        <v>8</v>
      </c>
      <c r="AC521" s="2" t="s">
        <v>145</v>
      </c>
      <c r="AD521" s="4">
        <v>72</v>
      </c>
      <c r="AE521" s="4">
        <v>174</v>
      </c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233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 t="s">
        <v>233</v>
      </c>
      <c r="BD521" s="8" t="s">
        <v>233</v>
      </c>
      <c r="BE521" s="4" t="s">
        <v>233</v>
      </c>
      <c r="BF521" s="8" t="s">
        <v>233</v>
      </c>
      <c r="BG521" s="7" t="s">
        <v>233</v>
      </c>
      <c r="BH521" s="7" t="s">
        <v>233</v>
      </c>
      <c r="BI521" s="7"/>
      <c r="BJ521" s="4">
        <v>41</v>
      </c>
      <c r="BK521" s="8">
        <v>1459.8</v>
      </c>
      <c r="BL521" s="2" t="s">
        <v>3040</v>
      </c>
      <c r="BM521" s="7"/>
      <c r="BN521" s="7"/>
      <c r="BO521" s="4"/>
      <c r="BP521" s="8"/>
      <c r="BQ521" s="4"/>
      <c r="BR521" s="8"/>
      <c r="BS521" s="7"/>
      <c r="BT521" s="7"/>
      <c r="BU521" s="2" t="s">
        <v>3041</v>
      </c>
      <c r="BV521" s="2" t="s">
        <v>233</v>
      </c>
      <c r="BW521" s="2" t="s">
        <v>233</v>
      </c>
      <c r="BX521" s="2" t="s">
        <v>624</v>
      </c>
      <c r="BY521" s="2" t="s">
        <v>242</v>
      </c>
      <c r="BZ521" s="2" t="s">
        <v>230</v>
      </c>
      <c r="CA521" s="2" t="s">
        <v>3039</v>
      </c>
      <c r="CB521" s="2" t="s">
        <v>2960</v>
      </c>
      <c r="CC521" s="2" t="s">
        <v>245</v>
      </c>
      <c r="CD521" s="2" t="s">
        <v>233</v>
      </c>
      <c r="CE521" s="4">
        <v>145</v>
      </c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>
        <v>72</v>
      </c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>
        <v>102</v>
      </c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>
        <v>164</v>
      </c>
      <c r="GD521" s="4">
        <v>104</v>
      </c>
      <c r="GE521" s="4">
        <v>86</v>
      </c>
      <c r="GF521" s="4">
        <v>147</v>
      </c>
      <c r="GG521" s="4">
        <v>134</v>
      </c>
      <c r="GH521" s="4">
        <v>124</v>
      </c>
      <c r="GI521" s="4">
        <v>113</v>
      </c>
      <c r="GJ521" s="4">
        <v>104</v>
      </c>
      <c r="GK521" s="4">
        <v>95</v>
      </c>
      <c r="GL521" s="4">
        <v>86</v>
      </c>
      <c r="GM521" s="4">
        <v>76</v>
      </c>
      <c r="GN521" s="4">
        <v>68</v>
      </c>
      <c r="GO521" s="4">
        <v>60</v>
      </c>
      <c r="GP521" s="4">
        <v>154</v>
      </c>
      <c r="GQ521" s="4">
        <v>146</v>
      </c>
      <c r="GR521" s="4">
        <v>138</v>
      </c>
      <c r="GS521" s="4">
        <v>130</v>
      </c>
      <c r="GT521" s="4">
        <v>121</v>
      </c>
      <c r="GU521" s="4">
        <v>113</v>
      </c>
      <c r="GV521" s="4">
        <v>105</v>
      </c>
      <c r="GW521" s="4">
        <v>97</v>
      </c>
      <c r="GX521" s="4">
        <v>89</v>
      </c>
      <c r="GY521" s="4">
        <v>81</v>
      </c>
      <c r="GZ521" s="4">
        <v>73</v>
      </c>
      <c r="HA521" s="4">
        <v>64</v>
      </c>
      <c r="HB521" s="4">
        <v>188</v>
      </c>
      <c r="HC521" s="19">
        <v>6.3</v>
      </c>
      <c r="HD521" s="19">
        <v>8</v>
      </c>
      <c r="HE521" s="19">
        <v>7.8</v>
      </c>
      <c r="HF521" s="19">
        <v>13.4</v>
      </c>
      <c r="HG521" s="19">
        <v>13.4</v>
      </c>
      <c r="HH521" s="19">
        <v>12.4</v>
      </c>
      <c r="HI521" s="19">
        <v>12.6</v>
      </c>
      <c r="HJ521" s="19">
        <v>11.6</v>
      </c>
      <c r="HK521" s="19">
        <v>10.6</v>
      </c>
      <c r="HL521" s="19">
        <v>10.8</v>
      </c>
      <c r="HM521" s="19">
        <v>9.5</v>
      </c>
      <c r="HN521" s="19">
        <v>8.5</v>
      </c>
      <c r="HO521" s="19">
        <v>7.5</v>
      </c>
      <c r="HP521" s="19">
        <v>19.3</v>
      </c>
      <c r="HQ521" s="19">
        <v>18.3</v>
      </c>
      <c r="HR521" s="19">
        <v>17.3</v>
      </c>
      <c r="HS521" s="19">
        <v>16.3</v>
      </c>
      <c r="HT521" s="19">
        <v>15.1</v>
      </c>
      <c r="HU521" s="19">
        <v>14.1</v>
      </c>
      <c r="HV521" s="19">
        <v>13.1</v>
      </c>
      <c r="HW521" s="19">
        <v>12.1</v>
      </c>
      <c r="HX521" s="19">
        <v>11.1</v>
      </c>
      <c r="HY521" s="19">
        <v>10.1</v>
      </c>
      <c r="HZ521" s="19">
        <v>9.1</v>
      </c>
      <c r="IA521" s="19">
        <v>8</v>
      </c>
      <c r="IB521" s="19">
        <v>23.5</v>
      </c>
    </row>
    <row r="522">
      <c r="A522" s="2" t="s">
        <v>3042</v>
      </c>
      <c r="B522" s="2" t="s">
        <v>938</v>
      </c>
      <c r="C522" s="2" t="s">
        <v>280</v>
      </c>
      <c r="D522" s="2" t="s">
        <v>972</v>
      </c>
      <c r="E522" s="2" t="s">
        <v>2188</v>
      </c>
      <c r="F522" s="2" t="s">
        <v>3034</v>
      </c>
      <c r="G522" s="2" t="s">
        <v>3035</v>
      </c>
      <c r="H522" s="2" t="s">
        <v>3036</v>
      </c>
      <c r="I522" s="2" t="s">
        <v>3037</v>
      </c>
      <c r="J522" s="2" t="s">
        <v>2190</v>
      </c>
      <c r="K522" s="2" t="s">
        <v>300</v>
      </c>
      <c r="L522" s="3">
        <v>27</v>
      </c>
      <c r="M522" s="3">
        <v>28.35</v>
      </c>
      <c r="N522" s="3">
        <v>59.99</v>
      </c>
      <c r="O522" s="2" t="s">
        <v>230</v>
      </c>
      <c r="P522" s="2" t="s">
        <v>231</v>
      </c>
      <c r="Q522" s="2" t="s">
        <v>232</v>
      </c>
      <c r="R522" s="2" t="s">
        <v>233</v>
      </c>
      <c r="S522" s="2" t="s">
        <v>3043</v>
      </c>
      <c r="T522" s="2" t="s">
        <v>469</v>
      </c>
      <c r="U522" s="2" t="s">
        <v>329</v>
      </c>
      <c r="V522" s="2" t="s">
        <v>236</v>
      </c>
      <c r="W522" s="2" t="s">
        <v>237</v>
      </c>
      <c r="X522" s="2" t="s">
        <v>233</v>
      </c>
      <c r="Y522" s="2" t="s">
        <v>3044</v>
      </c>
      <c r="Z522" s="4">
        <v>251</v>
      </c>
      <c r="AA522" s="4">
        <f>=ROUNDDOWN(27.8888888888889,0)</f>
      </c>
      <c r="AB522" s="5">
        <v>9</v>
      </c>
      <c r="AC522" s="2" t="s">
        <v>290</v>
      </c>
      <c r="AD522" s="4">
        <v>186</v>
      </c>
      <c r="AE522" s="4">
        <v>186</v>
      </c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233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233</v>
      </c>
      <c r="AW522" s="8" t="s">
        <v>233</v>
      </c>
      <c r="AX522" s="4" t="s">
        <v>233</v>
      </c>
      <c r="AY522" s="8" t="s">
        <v>233</v>
      </c>
      <c r="AZ522" s="7" t="s">
        <v>233</v>
      </c>
      <c r="BA522" s="7" t="s">
        <v>233</v>
      </c>
      <c r="BB522" s="7"/>
      <c r="BC522" s="4" t="s">
        <v>233</v>
      </c>
      <c r="BD522" s="8" t="s">
        <v>233</v>
      </c>
      <c r="BE522" s="4" t="s">
        <v>233</v>
      </c>
      <c r="BF522" s="8" t="s">
        <v>233</v>
      </c>
      <c r="BG522" s="7" t="s">
        <v>233</v>
      </c>
      <c r="BH522" s="7" t="s">
        <v>233</v>
      </c>
      <c r="BI522" s="7"/>
      <c r="BJ522" s="4">
        <v>21</v>
      </c>
      <c r="BK522" s="8">
        <v>664.67</v>
      </c>
      <c r="BL522" s="2" t="s">
        <v>3045</v>
      </c>
      <c r="BM522" s="7"/>
      <c r="BN522" s="7"/>
      <c r="BO522" s="4"/>
      <c r="BP522" s="8"/>
      <c r="BQ522" s="4"/>
      <c r="BR522" s="8"/>
      <c r="BS522" s="7"/>
      <c r="BT522" s="7"/>
      <c r="BU522" s="2" t="s">
        <v>3041</v>
      </c>
      <c r="BV522" s="2" t="s">
        <v>233</v>
      </c>
      <c r="BW522" s="2" t="s">
        <v>233</v>
      </c>
      <c r="BX522" s="2" t="s">
        <v>624</v>
      </c>
      <c r="BY522" s="2" t="s">
        <v>242</v>
      </c>
      <c r="BZ522" s="2" t="s">
        <v>230</v>
      </c>
      <c r="CA522" s="2" t="s">
        <v>3046</v>
      </c>
      <c r="CB522" s="2" t="s">
        <v>3047</v>
      </c>
      <c r="CC522" s="2" t="s">
        <v>245</v>
      </c>
      <c r="CD522" s="2" t="s">
        <v>233</v>
      </c>
      <c r="CE522" s="4">
        <v>251</v>
      </c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>
        <v>186</v>
      </c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>
        <v>268</v>
      </c>
      <c r="GD522" s="4">
        <v>247</v>
      </c>
      <c r="GE522" s="4">
        <v>237</v>
      </c>
      <c r="GF522" s="4">
        <v>225</v>
      </c>
      <c r="GG522" s="4">
        <v>210</v>
      </c>
      <c r="GH522" s="4">
        <v>385</v>
      </c>
      <c r="GI522" s="4">
        <v>373</v>
      </c>
      <c r="GJ522" s="4">
        <v>362</v>
      </c>
      <c r="GK522" s="4">
        <v>351</v>
      </c>
      <c r="GL522" s="4">
        <v>340</v>
      </c>
      <c r="GM522" s="4">
        <v>328</v>
      </c>
      <c r="GN522" s="4">
        <v>318</v>
      </c>
      <c r="GO522" s="4">
        <v>308</v>
      </c>
      <c r="GP522" s="4">
        <v>298</v>
      </c>
      <c r="GQ522" s="4">
        <v>288</v>
      </c>
      <c r="GR522" s="4">
        <v>278</v>
      </c>
      <c r="GS522" s="4">
        <v>269</v>
      </c>
      <c r="GT522" s="4">
        <v>259</v>
      </c>
      <c r="GU522" s="4">
        <v>250</v>
      </c>
      <c r="GV522" s="4">
        <v>266</v>
      </c>
      <c r="GW522" s="4">
        <v>257</v>
      </c>
      <c r="GX522" s="4">
        <v>248</v>
      </c>
      <c r="GY522" s="4">
        <v>239</v>
      </c>
      <c r="GZ522" s="4">
        <v>230</v>
      </c>
      <c r="HA522" s="4">
        <v>220</v>
      </c>
      <c r="HB522" s="4">
        <v>211</v>
      </c>
      <c r="HC522" s="19">
        <v>19.1</v>
      </c>
      <c r="HD522" s="19">
        <v>20.6</v>
      </c>
      <c r="HE522" s="19">
        <v>19.8</v>
      </c>
      <c r="HF522" s="19">
        <v>18.8</v>
      </c>
      <c r="HG522" s="19">
        <v>19.1</v>
      </c>
      <c r="HH522" s="19">
        <v>35</v>
      </c>
      <c r="HI522" s="19">
        <v>33.9</v>
      </c>
      <c r="HJ522" s="19">
        <v>32.9</v>
      </c>
      <c r="HK522" s="19">
        <v>31.9</v>
      </c>
      <c r="HL522" s="19">
        <v>34</v>
      </c>
      <c r="HM522" s="19">
        <v>32.8</v>
      </c>
      <c r="HN522" s="19">
        <v>31.8</v>
      </c>
      <c r="HO522" s="19">
        <v>30.8</v>
      </c>
      <c r="HP522" s="19">
        <v>29.8</v>
      </c>
      <c r="HQ522" s="19">
        <v>28.8</v>
      </c>
      <c r="HR522" s="19">
        <v>30.9</v>
      </c>
      <c r="HS522" s="19">
        <v>29.9</v>
      </c>
      <c r="HT522" s="19">
        <v>28.8</v>
      </c>
      <c r="HU522" s="19">
        <v>27.8</v>
      </c>
      <c r="HV522" s="19">
        <v>29.6</v>
      </c>
      <c r="HW522" s="19">
        <v>28.6</v>
      </c>
      <c r="HX522" s="19">
        <v>27.6</v>
      </c>
      <c r="HY522" s="19">
        <v>26.6</v>
      </c>
      <c r="HZ522" s="19">
        <v>25.6</v>
      </c>
      <c r="IA522" s="19">
        <v>24.4</v>
      </c>
      <c r="IB522" s="19">
        <v>23.4</v>
      </c>
    </row>
    <row r="523">
      <c r="A523" s="2" t="s">
        <v>3048</v>
      </c>
      <c r="B523" s="2" t="s">
        <v>938</v>
      </c>
      <c r="C523" s="2" t="s">
        <v>280</v>
      </c>
      <c r="D523" s="2" t="s">
        <v>972</v>
      </c>
      <c r="E523" s="2" t="s">
        <v>2188</v>
      </c>
      <c r="F523" s="2" t="s">
        <v>3034</v>
      </c>
      <c r="G523" s="2" t="s">
        <v>3035</v>
      </c>
      <c r="H523" s="2" t="s">
        <v>3036</v>
      </c>
      <c r="I523" s="2" t="s">
        <v>3037</v>
      </c>
      <c r="J523" s="2" t="s">
        <v>3049</v>
      </c>
      <c r="K523" s="2" t="s">
        <v>300</v>
      </c>
      <c r="L523" s="3">
        <v>29.25</v>
      </c>
      <c r="M523" s="3">
        <v>30.71</v>
      </c>
      <c r="N523" s="3">
        <v>64.99</v>
      </c>
      <c r="O523" s="2" t="s">
        <v>230</v>
      </c>
      <c r="P523" s="2" t="s">
        <v>1302</v>
      </c>
      <c r="Q523" s="2" t="s">
        <v>232</v>
      </c>
      <c r="R523" s="2" t="s">
        <v>233</v>
      </c>
      <c r="S523" s="2" t="s">
        <v>3043</v>
      </c>
      <c r="T523" s="2" t="s">
        <v>469</v>
      </c>
      <c r="U523" s="2" t="s">
        <v>329</v>
      </c>
      <c r="V523" s="2" t="s">
        <v>236</v>
      </c>
      <c r="W523" s="2" t="s">
        <v>237</v>
      </c>
      <c r="X523" s="2" t="s">
        <v>233</v>
      </c>
      <c r="Y523" s="2" t="s">
        <v>3044</v>
      </c>
      <c r="Z523" s="4">
        <v>540</v>
      </c>
      <c r="AA523" s="4">
        <f>=ROUNDDOWN(33.75,0)</f>
      </c>
      <c r="AB523" s="5">
        <v>16</v>
      </c>
      <c r="AC523" s="2" t="s">
        <v>290</v>
      </c>
      <c r="AD523" s="4">
        <v>150</v>
      </c>
      <c r="AE523" s="4">
        <v>150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233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233</v>
      </c>
      <c r="AW523" s="8" t="s">
        <v>233</v>
      </c>
      <c r="AX523" s="4" t="s">
        <v>233</v>
      </c>
      <c r="AY523" s="8" t="s">
        <v>233</v>
      </c>
      <c r="AZ523" s="7" t="s">
        <v>233</v>
      </c>
      <c r="BA523" s="7" t="s">
        <v>233</v>
      </c>
      <c r="BB523" s="7"/>
      <c r="BC523" s="4" t="s">
        <v>233</v>
      </c>
      <c r="BD523" s="8" t="s">
        <v>233</v>
      </c>
      <c r="BE523" s="4" t="s">
        <v>233</v>
      </c>
      <c r="BF523" s="8" t="s">
        <v>233</v>
      </c>
      <c r="BG523" s="7" t="s">
        <v>233</v>
      </c>
      <c r="BH523" s="7" t="s">
        <v>233</v>
      </c>
      <c r="BI523" s="7"/>
      <c r="BJ523" s="4">
        <v>12</v>
      </c>
      <c r="BK523" s="8">
        <v>384.98</v>
      </c>
      <c r="BL523" s="2" t="s">
        <v>3050</v>
      </c>
      <c r="BM523" s="7"/>
      <c r="BN523" s="7"/>
      <c r="BO523" s="4"/>
      <c r="BP523" s="8"/>
      <c r="BQ523" s="4"/>
      <c r="BR523" s="8"/>
      <c r="BS523" s="7"/>
      <c r="BT523" s="7"/>
      <c r="BU523" s="2" t="s">
        <v>3041</v>
      </c>
      <c r="BV523" s="2" t="s">
        <v>233</v>
      </c>
      <c r="BW523" s="2" t="s">
        <v>233</v>
      </c>
      <c r="BX523" s="2" t="s">
        <v>624</v>
      </c>
      <c r="BY523" s="2" t="s">
        <v>242</v>
      </c>
      <c r="BZ523" s="2" t="s">
        <v>230</v>
      </c>
      <c r="CA523" s="2" t="s">
        <v>3046</v>
      </c>
      <c r="CB523" s="2" t="s">
        <v>1243</v>
      </c>
      <c r="CC523" s="2" t="s">
        <v>245</v>
      </c>
      <c r="CD523" s="2" t="s">
        <v>233</v>
      </c>
      <c r="CE523" s="4">
        <v>540</v>
      </c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>
        <v>150</v>
      </c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>
        <v>568</v>
      </c>
      <c r="GD523" s="4">
        <v>536</v>
      </c>
      <c r="GE523" s="4">
        <v>495</v>
      </c>
      <c r="GF523" s="4">
        <v>471</v>
      </c>
      <c r="GG523" s="4">
        <v>443</v>
      </c>
      <c r="GH523" s="4">
        <v>571</v>
      </c>
      <c r="GI523" s="4">
        <v>547</v>
      </c>
      <c r="GJ523" s="4">
        <v>484</v>
      </c>
      <c r="GK523" s="4">
        <v>476</v>
      </c>
      <c r="GL523" s="4">
        <v>468</v>
      </c>
      <c r="GM523" s="4">
        <v>460</v>
      </c>
      <c r="GN523" s="4">
        <v>442</v>
      </c>
      <c r="GO523" s="4">
        <v>424</v>
      </c>
      <c r="GP523" s="4">
        <v>406</v>
      </c>
      <c r="GQ523" s="4">
        <v>388</v>
      </c>
      <c r="GR523" s="4">
        <v>370</v>
      </c>
      <c r="GS523" s="4">
        <v>354</v>
      </c>
      <c r="GT523" s="4">
        <v>336</v>
      </c>
      <c r="GU523" s="4">
        <v>320</v>
      </c>
      <c r="GV523" s="4">
        <v>506</v>
      </c>
      <c r="GW523" s="4">
        <v>490</v>
      </c>
      <c r="GX523" s="4">
        <v>474</v>
      </c>
      <c r="GY523" s="4">
        <v>458</v>
      </c>
      <c r="GZ523" s="4">
        <v>442</v>
      </c>
      <c r="HA523" s="4">
        <v>424</v>
      </c>
      <c r="HB523" s="4">
        <v>408</v>
      </c>
      <c r="HC523" s="19">
        <v>18.3</v>
      </c>
      <c r="HD523" s="19">
        <v>18.5</v>
      </c>
      <c r="HE523" s="19">
        <v>20.6</v>
      </c>
      <c r="HF523" s="19">
        <v>13.9</v>
      </c>
      <c r="HG523" s="19">
        <v>15.3</v>
      </c>
      <c r="HH523" s="19">
        <v>22</v>
      </c>
      <c r="HI523" s="19">
        <v>24.9</v>
      </c>
      <c r="HJ523" s="19">
        <v>48.4</v>
      </c>
      <c r="HK523" s="19">
        <v>36.6</v>
      </c>
      <c r="HL523" s="19">
        <v>29.3</v>
      </c>
      <c r="HM523" s="19">
        <v>25.6</v>
      </c>
      <c r="HN523" s="19">
        <v>24.6</v>
      </c>
      <c r="HO523" s="19">
        <v>23.6</v>
      </c>
      <c r="HP523" s="19">
        <v>22.6</v>
      </c>
      <c r="HQ523" s="19">
        <v>22.8</v>
      </c>
      <c r="HR523" s="19">
        <v>23.1</v>
      </c>
      <c r="HS523" s="19">
        <v>22.1</v>
      </c>
      <c r="HT523" s="19">
        <v>21</v>
      </c>
      <c r="HU523" s="19">
        <v>20</v>
      </c>
      <c r="HV523" s="19">
        <v>31.6</v>
      </c>
      <c r="HW523" s="19">
        <v>30.6</v>
      </c>
      <c r="HX523" s="19">
        <v>29.6</v>
      </c>
      <c r="HY523" s="19">
        <v>28.6</v>
      </c>
      <c r="HZ523" s="19">
        <v>27.6</v>
      </c>
      <c r="IA523" s="19">
        <v>26.5</v>
      </c>
      <c r="IB523" s="19">
        <v>25.5</v>
      </c>
    </row>
    <row r="524">
      <c r="A524" s="2" t="s">
        <v>3051</v>
      </c>
      <c r="B524" s="2" t="s">
        <v>938</v>
      </c>
      <c r="C524" s="2" t="s">
        <v>280</v>
      </c>
      <c r="D524" s="2" t="s">
        <v>972</v>
      </c>
      <c r="E524" s="2" t="s">
        <v>2188</v>
      </c>
      <c r="F524" s="2" t="s">
        <v>3034</v>
      </c>
      <c r="G524" s="2" t="s">
        <v>3035</v>
      </c>
      <c r="H524" s="2" t="s">
        <v>3036</v>
      </c>
      <c r="I524" s="2" t="s">
        <v>3037</v>
      </c>
      <c r="J524" s="2" t="s">
        <v>2205</v>
      </c>
      <c r="K524" s="2" t="s">
        <v>300</v>
      </c>
      <c r="L524" s="3">
        <v>38.4</v>
      </c>
      <c r="M524" s="3">
        <v>40.32</v>
      </c>
      <c r="N524" s="3">
        <v>79.99</v>
      </c>
      <c r="O524" s="2" t="s">
        <v>230</v>
      </c>
      <c r="P524" s="2" t="s">
        <v>231</v>
      </c>
      <c r="Q524" s="2" t="s">
        <v>232</v>
      </c>
      <c r="R524" s="2" t="s">
        <v>233</v>
      </c>
      <c r="S524" s="2" t="s">
        <v>3043</v>
      </c>
      <c r="T524" s="2" t="s">
        <v>469</v>
      </c>
      <c r="U524" s="2" t="s">
        <v>329</v>
      </c>
      <c r="V524" s="2" t="s">
        <v>236</v>
      </c>
      <c r="W524" s="2" t="s">
        <v>237</v>
      </c>
      <c r="X524" s="2" t="s">
        <v>233</v>
      </c>
      <c r="Y524" s="2" t="s">
        <v>3052</v>
      </c>
      <c r="Z524" s="4">
        <v>299</v>
      </c>
      <c r="AA524" s="4">
        <f>=ROUNDDOWN(42.7142857142857,0)</f>
      </c>
      <c r="AB524" s="5">
        <v>7</v>
      </c>
      <c r="AC524" s="2" t="s">
        <v>290</v>
      </c>
      <c r="AD524" s="4">
        <v>108</v>
      </c>
      <c r="AE524" s="4">
        <v>108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233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233</v>
      </c>
      <c r="AW524" s="8" t="s">
        <v>233</v>
      </c>
      <c r="AX524" s="4" t="s">
        <v>233</v>
      </c>
      <c r="AY524" s="8" t="s">
        <v>233</v>
      </c>
      <c r="AZ524" s="7" t="s">
        <v>233</v>
      </c>
      <c r="BA524" s="7" t="s">
        <v>233</v>
      </c>
      <c r="BB524" s="7"/>
      <c r="BC524" s="4" t="s">
        <v>233</v>
      </c>
      <c r="BD524" s="8" t="s">
        <v>233</v>
      </c>
      <c r="BE524" s="4" t="s">
        <v>233</v>
      </c>
      <c r="BF524" s="8" t="s">
        <v>233</v>
      </c>
      <c r="BG524" s="7" t="s">
        <v>233</v>
      </c>
      <c r="BH524" s="7" t="s">
        <v>233</v>
      </c>
      <c r="BI524" s="7"/>
      <c r="BJ524" s="4">
        <v>31</v>
      </c>
      <c r="BK524" s="8">
        <v>1311.41</v>
      </c>
      <c r="BL524" s="2" t="s">
        <v>3053</v>
      </c>
      <c r="BM524" s="7"/>
      <c r="BN524" s="7"/>
      <c r="BO524" s="4"/>
      <c r="BP524" s="8"/>
      <c r="BQ524" s="4"/>
      <c r="BR524" s="8"/>
      <c r="BS524" s="7"/>
      <c r="BT524" s="7"/>
      <c r="BU524" s="2" t="s">
        <v>3041</v>
      </c>
      <c r="BV524" s="2" t="s">
        <v>233</v>
      </c>
      <c r="BW524" s="2" t="s">
        <v>233</v>
      </c>
      <c r="BX524" s="2" t="s">
        <v>624</v>
      </c>
      <c r="BY524" s="2" t="s">
        <v>242</v>
      </c>
      <c r="BZ524" s="2" t="s">
        <v>230</v>
      </c>
      <c r="CA524" s="2" t="s">
        <v>3054</v>
      </c>
      <c r="CB524" s="2" t="s">
        <v>1581</v>
      </c>
      <c r="CC524" s="2" t="s">
        <v>245</v>
      </c>
      <c r="CD524" s="2" t="s">
        <v>233</v>
      </c>
      <c r="CE524" s="4">
        <v>299</v>
      </c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>
        <v>108</v>
      </c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>
        <v>317</v>
      </c>
      <c r="GD524" s="4">
        <v>287</v>
      </c>
      <c r="GE524" s="4">
        <v>275</v>
      </c>
      <c r="GF524" s="4">
        <v>266</v>
      </c>
      <c r="GG524" s="4">
        <v>255</v>
      </c>
      <c r="GH524" s="4">
        <v>355</v>
      </c>
      <c r="GI524" s="4">
        <v>346</v>
      </c>
      <c r="GJ524" s="4">
        <v>339</v>
      </c>
      <c r="GK524" s="4">
        <v>332</v>
      </c>
      <c r="GL524" s="4">
        <v>325</v>
      </c>
      <c r="GM524" s="4">
        <v>317</v>
      </c>
      <c r="GN524" s="4">
        <v>310</v>
      </c>
      <c r="GO524" s="4">
        <v>303</v>
      </c>
      <c r="GP524" s="4">
        <v>296</v>
      </c>
      <c r="GQ524" s="4">
        <v>289</v>
      </c>
      <c r="GR524" s="4">
        <v>282</v>
      </c>
      <c r="GS524" s="4">
        <v>275</v>
      </c>
      <c r="GT524" s="4">
        <v>267</v>
      </c>
      <c r="GU524" s="4">
        <v>260</v>
      </c>
      <c r="GV524" s="4">
        <v>253</v>
      </c>
      <c r="GW524" s="4">
        <v>246</v>
      </c>
      <c r="GX524" s="4">
        <v>239</v>
      </c>
      <c r="GY524" s="4">
        <v>232</v>
      </c>
      <c r="GZ524" s="4">
        <v>225</v>
      </c>
      <c r="HA524" s="4">
        <v>217</v>
      </c>
      <c r="HB524" s="4">
        <v>210</v>
      </c>
      <c r="HC524" s="19">
        <v>19.8</v>
      </c>
      <c r="HD524" s="19">
        <v>28.7</v>
      </c>
      <c r="HE524" s="19">
        <v>30.6</v>
      </c>
      <c r="HF524" s="19">
        <v>29.6</v>
      </c>
      <c r="HG524" s="19">
        <v>31.9</v>
      </c>
      <c r="HH524" s="19">
        <v>44.4</v>
      </c>
      <c r="HI524" s="19">
        <v>49.4</v>
      </c>
      <c r="HJ524" s="19">
        <v>48.4</v>
      </c>
      <c r="HK524" s="19">
        <v>47.4</v>
      </c>
      <c r="HL524" s="19">
        <v>46.4</v>
      </c>
      <c r="HM524" s="19">
        <v>45.3</v>
      </c>
      <c r="HN524" s="19">
        <v>44.3</v>
      </c>
      <c r="HO524" s="19">
        <v>43.3</v>
      </c>
      <c r="HP524" s="19">
        <v>42.3</v>
      </c>
      <c r="HQ524" s="19">
        <v>41.3</v>
      </c>
      <c r="HR524" s="19">
        <v>40.3</v>
      </c>
      <c r="HS524" s="19">
        <v>39.3</v>
      </c>
      <c r="HT524" s="19">
        <v>38.1</v>
      </c>
      <c r="HU524" s="19">
        <v>37.1</v>
      </c>
      <c r="HV524" s="19">
        <v>36.1</v>
      </c>
      <c r="HW524" s="19">
        <v>35.1</v>
      </c>
      <c r="HX524" s="19">
        <v>34.1</v>
      </c>
      <c r="HY524" s="19">
        <v>33.1</v>
      </c>
      <c r="HZ524" s="19">
        <v>32.1</v>
      </c>
      <c r="IA524" s="19">
        <v>31</v>
      </c>
      <c r="IB524" s="19">
        <v>30</v>
      </c>
    </row>
    <row r="525">
      <c r="A525" s="2" t="s">
        <v>3055</v>
      </c>
      <c r="B525" s="2" t="s">
        <v>773</v>
      </c>
      <c r="C525" s="2" t="s">
        <v>3056</v>
      </c>
      <c r="D525" s="2" t="s">
        <v>1573</v>
      </c>
      <c r="E525" s="2" t="s">
        <v>1574</v>
      </c>
      <c r="F525" s="2" t="s">
        <v>3057</v>
      </c>
      <c r="G525" s="2" t="s">
        <v>3057</v>
      </c>
      <c r="H525" s="2" t="s">
        <v>3057</v>
      </c>
      <c r="I525" s="2" t="s">
        <v>3058</v>
      </c>
      <c r="J525" s="2" t="s">
        <v>265</v>
      </c>
      <c r="K525" s="2" t="s">
        <v>229</v>
      </c>
      <c r="L525" s="3">
        <v>27.6</v>
      </c>
      <c r="M525" s="3">
        <v>28.98</v>
      </c>
      <c r="N525" s="3">
        <v>59.99</v>
      </c>
      <c r="O525" s="2" t="s">
        <v>230</v>
      </c>
      <c r="P525" s="2" t="s">
        <v>231</v>
      </c>
      <c r="Q525" s="2" t="s">
        <v>232</v>
      </c>
      <c r="R525" s="2" t="s">
        <v>233</v>
      </c>
      <c r="S525" s="2" t="s">
        <v>3059</v>
      </c>
      <c r="T525" s="2" t="s">
        <v>348</v>
      </c>
      <c r="U525" s="2" t="s">
        <v>329</v>
      </c>
      <c r="V525" s="2" t="s">
        <v>236</v>
      </c>
      <c r="W525" s="2" t="s">
        <v>237</v>
      </c>
      <c r="X525" s="2" t="s">
        <v>1190</v>
      </c>
      <c r="Y525" s="2" t="s">
        <v>3060</v>
      </c>
      <c r="Z525" s="4">
        <v>398</v>
      </c>
      <c r="AA525" s="4">
        <f>=ROUNDDOWN(58.5294117647059,0)</f>
      </c>
      <c r="AB525" s="5">
        <v>6.8</v>
      </c>
      <c r="AC525" s="2" t="s">
        <v>173</v>
      </c>
      <c r="AD525" s="4">
        <v>100</v>
      </c>
      <c r="AE525" s="4">
        <v>100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233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233</v>
      </c>
      <c r="AW525" s="8" t="s">
        <v>233</v>
      </c>
      <c r="AX525" s="4" t="s">
        <v>233</v>
      </c>
      <c r="AY525" s="8" t="s">
        <v>233</v>
      </c>
      <c r="AZ525" s="7" t="s">
        <v>233</v>
      </c>
      <c r="BA525" s="7" t="s">
        <v>233</v>
      </c>
      <c r="BB525" s="7"/>
      <c r="BC525" s="4" t="s">
        <v>233</v>
      </c>
      <c r="BD525" s="8" t="s">
        <v>233</v>
      </c>
      <c r="BE525" s="4" t="s">
        <v>233</v>
      </c>
      <c r="BF525" s="8" t="s">
        <v>233</v>
      </c>
      <c r="BG525" s="7" t="s">
        <v>233</v>
      </c>
      <c r="BH525" s="7" t="s">
        <v>233</v>
      </c>
      <c r="BI525" s="7"/>
      <c r="BJ525" s="4">
        <v>34</v>
      </c>
      <c r="BK525" s="8">
        <v>1034.4</v>
      </c>
      <c r="BL525" s="2" t="s">
        <v>3061</v>
      </c>
      <c r="BM525" s="7"/>
      <c r="BN525" s="7"/>
      <c r="BO525" s="4"/>
      <c r="BP525" s="8"/>
      <c r="BQ525" s="4"/>
      <c r="BR525" s="8"/>
      <c r="BS525" s="7"/>
      <c r="BT525" s="7"/>
      <c r="BU525" s="2" t="s">
        <v>3062</v>
      </c>
      <c r="BV525" s="2" t="s">
        <v>233</v>
      </c>
      <c r="BW525" s="2" t="s">
        <v>233</v>
      </c>
      <c r="BX525" s="2" t="s">
        <v>241</v>
      </c>
      <c r="BY525" s="2" t="s">
        <v>242</v>
      </c>
      <c r="BZ525" s="2" t="s">
        <v>230</v>
      </c>
      <c r="CA525" s="2" t="s">
        <v>3063</v>
      </c>
      <c r="CB525" s="2" t="s">
        <v>3064</v>
      </c>
      <c r="CC525" s="2" t="s">
        <v>245</v>
      </c>
      <c r="CD525" s="2" t="s">
        <v>233</v>
      </c>
      <c r="CE525" s="4">
        <v>398</v>
      </c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>
        <v>100</v>
      </c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>
        <v>403</v>
      </c>
      <c r="GD525" s="4">
        <v>363</v>
      </c>
      <c r="GE525" s="4">
        <v>352</v>
      </c>
      <c r="GF525" s="4">
        <v>339</v>
      </c>
      <c r="GG525" s="4">
        <v>328</v>
      </c>
      <c r="GH525" s="4">
        <v>321</v>
      </c>
      <c r="GI525" s="4">
        <v>314</v>
      </c>
      <c r="GJ525" s="4">
        <v>307</v>
      </c>
      <c r="GK525" s="4">
        <v>400</v>
      </c>
      <c r="GL525" s="4">
        <v>393</v>
      </c>
      <c r="GM525" s="4">
        <v>386</v>
      </c>
      <c r="GN525" s="4">
        <v>379</v>
      </c>
      <c r="GO525" s="4">
        <v>372</v>
      </c>
      <c r="GP525" s="4">
        <v>365</v>
      </c>
      <c r="GQ525" s="4">
        <v>358</v>
      </c>
      <c r="GR525" s="4">
        <v>349</v>
      </c>
      <c r="GS525" s="4">
        <v>340</v>
      </c>
      <c r="GT525" s="4">
        <v>330</v>
      </c>
      <c r="GU525" s="4">
        <v>321</v>
      </c>
      <c r="GV525" s="4">
        <v>307</v>
      </c>
      <c r="GW525" s="4">
        <v>293</v>
      </c>
      <c r="GX525" s="4">
        <v>279</v>
      </c>
      <c r="GY525" s="4">
        <v>265</v>
      </c>
      <c r="GZ525" s="4">
        <v>250</v>
      </c>
      <c r="HA525" s="4">
        <v>236</v>
      </c>
      <c r="HB525" s="4">
        <v>221</v>
      </c>
      <c r="HC525" s="19">
        <v>21.2</v>
      </c>
      <c r="HD525" s="19">
        <v>36.3</v>
      </c>
      <c r="HE525" s="19">
        <v>35.2</v>
      </c>
      <c r="HF525" s="19">
        <v>42.4</v>
      </c>
      <c r="HG525" s="19">
        <v>46.9</v>
      </c>
      <c r="HH525" s="19">
        <v>45.9</v>
      </c>
      <c r="HI525" s="19">
        <v>44.9</v>
      </c>
      <c r="HJ525" s="19">
        <v>43.9</v>
      </c>
      <c r="HK525" s="19">
        <v>57.1</v>
      </c>
      <c r="HL525" s="19">
        <v>56.1</v>
      </c>
      <c r="HM525" s="19">
        <v>55.1</v>
      </c>
      <c r="HN525" s="19">
        <v>47.4</v>
      </c>
      <c r="HO525" s="19">
        <v>46.5</v>
      </c>
      <c r="HP525" s="19">
        <v>40.6</v>
      </c>
      <c r="HQ525" s="19">
        <v>39.8</v>
      </c>
      <c r="HR525" s="19">
        <v>34.9</v>
      </c>
      <c r="HS525" s="19">
        <v>28.3</v>
      </c>
      <c r="HT525" s="19">
        <v>25.4</v>
      </c>
      <c r="HU525" s="19">
        <v>22.9</v>
      </c>
      <c r="HV525" s="19">
        <v>21.9</v>
      </c>
      <c r="HW525" s="19">
        <v>20.9</v>
      </c>
      <c r="HX525" s="19">
        <v>19.9</v>
      </c>
      <c r="HY525" s="19">
        <v>18.9</v>
      </c>
      <c r="HZ525" s="19">
        <v>17.9</v>
      </c>
      <c r="IA525" s="19">
        <v>15.7</v>
      </c>
      <c r="IB525" s="19">
        <v>14.7</v>
      </c>
    </row>
    <row r="526">
      <c r="A526" s="2" t="s">
        <v>3065</v>
      </c>
      <c r="B526" s="2" t="s">
        <v>773</v>
      </c>
      <c r="C526" s="2" t="s">
        <v>3056</v>
      </c>
      <c r="D526" s="2" t="s">
        <v>1573</v>
      </c>
      <c r="E526" s="2" t="s">
        <v>1574</v>
      </c>
      <c r="F526" s="2" t="s">
        <v>3057</v>
      </c>
      <c r="G526" s="2" t="s">
        <v>3057</v>
      </c>
      <c r="H526" s="2" t="s">
        <v>3057</v>
      </c>
      <c r="I526" s="2" t="s">
        <v>3058</v>
      </c>
      <c r="J526" s="2" t="s">
        <v>256</v>
      </c>
      <c r="K526" s="2" t="s">
        <v>229</v>
      </c>
      <c r="L526" s="3">
        <v>32.9</v>
      </c>
      <c r="M526" s="3">
        <v>34.54</v>
      </c>
      <c r="N526" s="3">
        <v>69.99</v>
      </c>
      <c r="O526" s="2" t="s">
        <v>230</v>
      </c>
      <c r="P526" s="2" t="s">
        <v>231</v>
      </c>
      <c r="Q526" s="2" t="s">
        <v>232</v>
      </c>
      <c r="R526" s="2" t="s">
        <v>233</v>
      </c>
      <c r="S526" s="2" t="s">
        <v>3059</v>
      </c>
      <c r="T526" s="2" t="s">
        <v>348</v>
      </c>
      <c r="U526" s="2" t="s">
        <v>329</v>
      </c>
      <c r="V526" s="2" t="s">
        <v>236</v>
      </c>
      <c r="W526" s="2" t="s">
        <v>237</v>
      </c>
      <c r="X526" s="2" t="s">
        <v>1190</v>
      </c>
      <c r="Y526" s="2" t="s">
        <v>3060</v>
      </c>
      <c r="Z526" s="4">
        <v>24</v>
      </c>
      <c r="AA526" s="4">
        <f>=ROUNDDOWN(2.18181818181818,0)</f>
      </c>
      <c r="AB526" s="5">
        <v>11</v>
      </c>
      <c r="AC526" s="2" t="s">
        <v>731</v>
      </c>
      <c r="AD526" s="4">
        <v>300</v>
      </c>
      <c r="AE526" s="4">
        <v>667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233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233</v>
      </c>
      <c r="AW526" s="8" t="s">
        <v>233</v>
      </c>
      <c r="AX526" s="4" t="s">
        <v>233</v>
      </c>
      <c r="AY526" s="8" t="s">
        <v>233</v>
      </c>
      <c r="AZ526" s="7" t="s">
        <v>233</v>
      </c>
      <c r="BA526" s="7" t="s">
        <v>233</v>
      </c>
      <c r="BB526" s="7"/>
      <c r="BC526" s="4" t="s">
        <v>233</v>
      </c>
      <c r="BD526" s="8" t="s">
        <v>233</v>
      </c>
      <c r="BE526" s="4" t="s">
        <v>233</v>
      </c>
      <c r="BF526" s="8" t="s">
        <v>233</v>
      </c>
      <c r="BG526" s="7" t="s">
        <v>233</v>
      </c>
      <c r="BH526" s="7" t="s">
        <v>233</v>
      </c>
      <c r="BI526" s="7"/>
      <c r="BJ526" s="4">
        <v>19</v>
      </c>
      <c r="BK526" s="8">
        <v>684.23</v>
      </c>
      <c r="BL526" s="2" t="s">
        <v>3066</v>
      </c>
      <c r="BM526" s="7"/>
      <c r="BN526" s="7"/>
      <c r="BO526" s="4"/>
      <c r="BP526" s="8"/>
      <c r="BQ526" s="4"/>
      <c r="BR526" s="8"/>
      <c r="BS526" s="7"/>
      <c r="BT526" s="7"/>
      <c r="BU526" s="2" t="s">
        <v>3062</v>
      </c>
      <c r="BV526" s="2" t="s">
        <v>233</v>
      </c>
      <c r="BW526" s="2" t="s">
        <v>233</v>
      </c>
      <c r="BX526" s="2" t="s">
        <v>241</v>
      </c>
      <c r="BY526" s="2" t="s">
        <v>242</v>
      </c>
      <c r="BZ526" s="2" t="s">
        <v>230</v>
      </c>
      <c r="CA526" s="2" t="s">
        <v>3063</v>
      </c>
      <c r="CB526" s="2" t="s">
        <v>3064</v>
      </c>
      <c r="CC526" s="2" t="s">
        <v>245</v>
      </c>
      <c r="CD526" s="2" t="s">
        <v>233</v>
      </c>
      <c r="CE526" s="4">
        <v>24</v>
      </c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>
        <v>300</v>
      </c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>
        <v>367</v>
      </c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>
        <v>29</v>
      </c>
      <c r="GD526" s="4">
        <v>300</v>
      </c>
      <c r="GE526" s="4">
        <v>229</v>
      </c>
      <c r="GF526" s="4">
        <v>213</v>
      </c>
      <c r="GG526" s="4">
        <v>199</v>
      </c>
      <c r="GH526" s="4">
        <v>188</v>
      </c>
      <c r="GI526" s="4">
        <v>177</v>
      </c>
      <c r="GJ526" s="4">
        <v>166</v>
      </c>
      <c r="GK526" s="4">
        <v>522</v>
      </c>
      <c r="GL526" s="4">
        <v>511</v>
      </c>
      <c r="GM526" s="4">
        <v>500</v>
      </c>
      <c r="GN526" s="4">
        <v>489</v>
      </c>
      <c r="GO526" s="4">
        <v>478</v>
      </c>
      <c r="GP526" s="4">
        <v>467</v>
      </c>
      <c r="GQ526" s="4">
        <v>456</v>
      </c>
      <c r="GR526" s="4">
        <v>444</v>
      </c>
      <c r="GS526" s="4">
        <v>432</v>
      </c>
      <c r="GT526" s="4">
        <v>419</v>
      </c>
      <c r="GU526" s="4">
        <v>407</v>
      </c>
      <c r="GV526" s="4">
        <v>387</v>
      </c>
      <c r="GW526" s="4">
        <v>369</v>
      </c>
      <c r="GX526" s="4">
        <v>350</v>
      </c>
      <c r="GY526" s="4">
        <v>331</v>
      </c>
      <c r="GZ526" s="4">
        <v>310</v>
      </c>
      <c r="HA526" s="4">
        <v>290</v>
      </c>
      <c r="HB526" s="4">
        <v>269</v>
      </c>
      <c r="HC526" s="19">
        <v>0.9</v>
      </c>
      <c r="HD526" s="19">
        <v>10.7</v>
      </c>
      <c r="HE526" s="19">
        <v>17.6</v>
      </c>
      <c r="HF526" s="19">
        <v>17.8</v>
      </c>
      <c r="HG526" s="19">
        <v>18.1</v>
      </c>
      <c r="HH526" s="19">
        <v>17.1</v>
      </c>
      <c r="HI526" s="19">
        <v>16.1</v>
      </c>
      <c r="HJ526" s="19">
        <v>15.1</v>
      </c>
      <c r="HK526" s="19">
        <v>47.5</v>
      </c>
      <c r="HL526" s="19">
        <v>46.5</v>
      </c>
      <c r="HM526" s="19">
        <v>45.5</v>
      </c>
      <c r="HN526" s="19">
        <v>44.5</v>
      </c>
      <c r="HO526" s="19">
        <v>39.8</v>
      </c>
      <c r="HP526" s="19">
        <v>38.9</v>
      </c>
      <c r="HQ526" s="19">
        <v>38</v>
      </c>
      <c r="HR526" s="19">
        <v>31.7</v>
      </c>
      <c r="HS526" s="19">
        <v>27</v>
      </c>
      <c r="HT526" s="19">
        <v>24.6</v>
      </c>
      <c r="HU526" s="19">
        <v>21.4</v>
      </c>
      <c r="HV526" s="19">
        <v>20.4</v>
      </c>
      <c r="HW526" s="19">
        <v>18.5</v>
      </c>
      <c r="HX526" s="19">
        <v>17.5</v>
      </c>
      <c r="HY526" s="19">
        <v>17.4</v>
      </c>
      <c r="HZ526" s="19">
        <v>17.2</v>
      </c>
      <c r="IA526" s="19">
        <v>17.1</v>
      </c>
      <c r="IB526" s="19">
        <v>16.8</v>
      </c>
    </row>
    <row r="527">
      <c r="A527" s="2" t="s">
        <v>3067</v>
      </c>
      <c r="B527" s="2" t="s">
        <v>773</v>
      </c>
      <c r="C527" s="2" t="s">
        <v>3056</v>
      </c>
      <c r="D527" s="2" t="s">
        <v>1573</v>
      </c>
      <c r="E527" s="2" t="s">
        <v>1574</v>
      </c>
      <c r="F527" s="2" t="s">
        <v>3057</v>
      </c>
      <c r="G527" s="2" t="s">
        <v>3057</v>
      </c>
      <c r="H527" s="2" t="s">
        <v>3057</v>
      </c>
      <c r="I527" s="2" t="s">
        <v>3058</v>
      </c>
      <c r="J527" s="2" t="s">
        <v>256</v>
      </c>
      <c r="K527" s="2" t="s">
        <v>1014</v>
      </c>
      <c r="L527" s="3">
        <v>32.9</v>
      </c>
      <c r="M527" s="3">
        <v>34.55</v>
      </c>
      <c r="N527" s="3">
        <v>69.99</v>
      </c>
      <c r="O527" s="2" t="s">
        <v>230</v>
      </c>
      <c r="P527" s="2" t="s">
        <v>231</v>
      </c>
      <c r="Q527" s="2" t="s">
        <v>232</v>
      </c>
      <c r="R527" s="2" t="s">
        <v>233</v>
      </c>
      <c r="S527" s="2" t="s">
        <v>3068</v>
      </c>
      <c r="T527" s="2" t="s">
        <v>348</v>
      </c>
      <c r="U527" s="2" t="s">
        <v>329</v>
      </c>
      <c r="V527" s="2" t="s">
        <v>236</v>
      </c>
      <c r="W527" s="2" t="s">
        <v>237</v>
      </c>
      <c r="X527" s="2" t="s">
        <v>1190</v>
      </c>
      <c r="Y527" s="2" t="s">
        <v>3069</v>
      </c>
      <c r="Z527" s="4">
        <v>136</v>
      </c>
      <c r="AA527" s="4">
        <f>=ROUNDDOWN(19.4285714285714,0)</f>
      </c>
      <c r="AB527" s="5">
        <v>7</v>
      </c>
      <c r="AC527" s="2" t="s">
        <v>731</v>
      </c>
      <c r="AD527" s="4">
        <v>209</v>
      </c>
      <c r="AE527" s="4">
        <v>403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233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 t="s">
        <v>233</v>
      </c>
      <c r="BD527" s="8" t="s">
        <v>233</v>
      </c>
      <c r="BE527" s="4" t="s">
        <v>233</v>
      </c>
      <c r="BF527" s="8" t="s">
        <v>233</v>
      </c>
      <c r="BG527" s="7" t="s">
        <v>233</v>
      </c>
      <c r="BH527" s="7" t="s">
        <v>233</v>
      </c>
      <c r="BI527" s="7"/>
      <c r="BJ527" s="4">
        <v>21</v>
      </c>
      <c r="BK527" s="8">
        <v>744.29</v>
      </c>
      <c r="BL527" s="2" t="s">
        <v>1596</v>
      </c>
      <c r="BM527" s="7"/>
      <c r="BN527" s="7"/>
      <c r="BO527" s="4"/>
      <c r="BP527" s="8"/>
      <c r="BQ527" s="4"/>
      <c r="BR527" s="8"/>
      <c r="BS527" s="7"/>
      <c r="BT527" s="7"/>
      <c r="BU527" s="2" t="s">
        <v>3062</v>
      </c>
      <c r="BV527" s="2" t="s">
        <v>233</v>
      </c>
      <c r="BW527" s="2" t="s">
        <v>233</v>
      </c>
      <c r="BX527" s="2" t="s">
        <v>241</v>
      </c>
      <c r="BY527" s="2" t="s">
        <v>242</v>
      </c>
      <c r="BZ527" s="2" t="s">
        <v>230</v>
      </c>
      <c r="CA527" s="2" t="s">
        <v>2717</v>
      </c>
      <c r="CB527" s="2" t="s">
        <v>2692</v>
      </c>
      <c r="CC527" s="2" t="s">
        <v>245</v>
      </c>
      <c r="CD527" s="2" t="s">
        <v>233</v>
      </c>
      <c r="CE527" s="4">
        <v>136</v>
      </c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>
        <v>209</v>
      </c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>
        <v>194</v>
      </c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>
        <v>140</v>
      </c>
      <c r="GD527" s="4">
        <v>338</v>
      </c>
      <c r="GE527" s="4">
        <v>327</v>
      </c>
      <c r="GF527" s="4">
        <v>313</v>
      </c>
      <c r="GG527" s="4">
        <v>302</v>
      </c>
      <c r="GH527" s="4">
        <v>297</v>
      </c>
      <c r="GI527" s="4">
        <v>292</v>
      </c>
      <c r="GJ527" s="4">
        <v>287</v>
      </c>
      <c r="GK527" s="4">
        <v>476</v>
      </c>
      <c r="GL527" s="4">
        <v>470</v>
      </c>
      <c r="GM527" s="4">
        <v>465</v>
      </c>
      <c r="GN527" s="4">
        <v>460</v>
      </c>
      <c r="GO527" s="4">
        <v>455</v>
      </c>
      <c r="GP527" s="4">
        <v>450</v>
      </c>
      <c r="GQ527" s="4">
        <v>445</v>
      </c>
      <c r="GR527" s="4">
        <v>436</v>
      </c>
      <c r="GS527" s="4">
        <v>427</v>
      </c>
      <c r="GT527" s="4">
        <v>417</v>
      </c>
      <c r="GU527" s="4">
        <v>408</v>
      </c>
      <c r="GV527" s="4">
        <v>395</v>
      </c>
      <c r="GW527" s="4">
        <v>382</v>
      </c>
      <c r="GX527" s="4">
        <v>369</v>
      </c>
      <c r="GY527" s="4">
        <v>356</v>
      </c>
      <c r="GZ527" s="4">
        <v>342</v>
      </c>
      <c r="HA527" s="4">
        <v>329</v>
      </c>
      <c r="HB527" s="4">
        <v>315</v>
      </c>
      <c r="HC527" s="19">
        <v>11.7</v>
      </c>
      <c r="HD527" s="19">
        <v>33.8</v>
      </c>
      <c r="HE527" s="19">
        <v>36.3</v>
      </c>
      <c r="HF527" s="19">
        <v>52.2</v>
      </c>
      <c r="HG527" s="19">
        <v>60.4</v>
      </c>
      <c r="HH527" s="19">
        <v>59.4</v>
      </c>
      <c r="HI527" s="19">
        <v>58.4</v>
      </c>
      <c r="HJ527" s="19">
        <v>57.4</v>
      </c>
      <c r="HK527" s="19">
        <v>95.2</v>
      </c>
      <c r="HL527" s="19">
        <v>94</v>
      </c>
      <c r="HM527" s="19">
        <v>93</v>
      </c>
      <c r="HN527" s="19">
        <v>76.7</v>
      </c>
      <c r="HO527" s="19">
        <v>65</v>
      </c>
      <c r="HP527" s="19">
        <v>56.3</v>
      </c>
      <c r="HQ527" s="19">
        <v>49.4</v>
      </c>
      <c r="HR527" s="19">
        <v>43.6</v>
      </c>
      <c r="HS527" s="19">
        <v>38.8</v>
      </c>
      <c r="HT527" s="19">
        <v>34.8</v>
      </c>
      <c r="HU527" s="19">
        <v>31.4</v>
      </c>
      <c r="HV527" s="19">
        <v>30.4</v>
      </c>
      <c r="HW527" s="19">
        <v>29.4</v>
      </c>
      <c r="HX527" s="19">
        <v>26.4</v>
      </c>
      <c r="HY527" s="19">
        <v>27.4</v>
      </c>
      <c r="HZ527" s="19">
        <v>24.4</v>
      </c>
      <c r="IA527" s="19">
        <v>21.9</v>
      </c>
      <c r="IB527" s="19">
        <v>19.7</v>
      </c>
    </row>
    <row r="528">
      <c r="A528" s="2" t="s">
        <v>3070</v>
      </c>
      <c r="B528" s="2" t="s">
        <v>847</v>
      </c>
      <c r="C528" s="2" t="s">
        <v>848</v>
      </c>
      <c r="D528" s="2" t="s">
        <v>849</v>
      </c>
      <c r="E528" s="2" t="s">
        <v>850</v>
      </c>
      <c r="F528" s="2" t="s">
        <v>3071</v>
      </c>
      <c r="G528" s="2" t="s">
        <v>3071</v>
      </c>
      <c r="H528" s="2" t="s">
        <v>3071</v>
      </c>
      <c r="I528" s="2" t="s">
        <v>3072</v>
      </c>
      <c r="J528" s="2" t="s">
        <v>741</v>
      </c>
      <c r="K528" s="2" t="s">
        <v>3073</v>
      </c>
      <c r="L528" s="3">
        <v>20.81</v>
      </c>
      <c r="M528" s="3">
        <v>21.85</v>
      </c>
      <c r="N528" s="3">
        <v>29.99</v>
      </c>
      <c r="O528" s="2" t="s">
        <v>230</v>
      </c>
      <c r="P528" s="2" t="s">
        <v>231</v>
      </c>
      <c r="Q528" s="2" t="s">
        <v>232</v>
      </c>
      <c r="R528" s="2" t="s">
        <v>233</v>
      </c>
      <c r="S528" s="2" t="s">
        <v>233</v>
      </c>
      <c r="T528" s="2" t="s">
        <v>233</v>
      </c>
      <c r="U528" s="2" t="s">
        <v>329</v>
      </c>
      <c r="V528" s="2" t="s">
        <v>609</v>
      </c>
      <c r="W528" s="2" t="s">
        <v>237</v>
      </c>
      <c r="X528" s="2" t="s">
        <v>233</v>
      </c>
      <c r="Y528" s="2" t="s">
        <v>3074</v>
      </c>
      <c r="Z528" s="4">
        <v>592</v>
      </c>
      <c r="AA528" s="4">
        <f>=ROUNDDOWN(296,0)</f>
      </c>
      <c r="AB528" s="5">
        <v>2</v>
      </c>
      <c r="AC528" s="2" t="s">
        <v>233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233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/>
      <c r="BD528" s="8"/>
      <c r="BE528" s="4"/>
      <c r="BF528" s="8"/>
      <c r="BG528" s="7"/>
      <c r="BH528" s="7"/>
      <c r="BI528" s="7"/>
      <c r="BJ528" s="4"/>
      <c r="BK528" s="8"/>
      <c r="BL528" s="2" t="s">
        <v>233</v>
      </c>
      <c r="BM528" s="7"/>
      <c r="BN528" s="7"/>
      <c r="BO528" s="4"/>
      <c r="BP528" s="8"/>
      <c r="BQ528" s="4"/>
      <c r="BR528" s="8"/>
      <c r="BS528" s="7"/>
      <c r="BT528" s="7"/>
      <c r="BU528" s="2" t="s">
        <v>3075</v>
      </c>
      <c r="BV528" s="2" t="s">
        <v>233</v>
      </c>
      <c r="BW528" s="2" t="s">
        <v>233</v>
      </c>
      <c r="BX528" s="2" t="s">
        <v>241</v>
      </c>
      <c r="BY528" s="2" t="s">
        <v>242</v>
      </c>
      <c r="BZ528" s="2" t="s">
        <v>230</v>
      </c>
      <c r="CA528" s="2" t="s">
        <v>3076</v>
      </c>
      <c r="CB528" s="2" t="s">
        <v>3077</v>
      </c>
      <c r="CC528" s="2" t="s">
        <v>245</v>
      </c>
      <c r="CD528" s="2" t="s">
        <v>233</v>
      </c>
      <c r="CE528" s="4"/>
      <c r="CF528" s="4">
        <v>293</v>
      </c>
      <c r="CG528" s="4"/>
      <c r="CH528" s="4">
        <v>299</v>
      </c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>
        <v>592</v>
      </c>
      <c r="GD528" s="4">
        <v>590</v>
      </c>
      <c r="GE528" s="4">
        <v>587</v>
      </c>
      <c r="GF528" s="4">
        <v>584</v>
      </c>
      <c r="GG528" s="4">
        <v>580</v>
      </c>
      <c r="GH528" s="4">
        <v>577</v>
      </c>
      <c r="GI528" s="4">
        <v>573</v>
      </c>
      <c r="GJ528" s="4">
        <v>570</v>
      </c>
      <c r="GK528" s="4">
        <v>568</v>
      </c>
      <c r="GL528" s="4">
        <v>566</v>
      </c>
      <c r="GM528" s="4">
        <v>564</v>
      </c>
      <c r="GN528" s="4">
        <v>562</v>
      </c>
      <c r="GO528" s="4">
        <v>560</v>
      </c>
      <c r="GP528" s="4">
        <v>558</v>
      </c>
      <c r="GQ528" s="4">
        <v>556</v>
      </c>
      <c r="GR528" s="4">
        <v>554</v>
      </c>
      <c r="GS528" s="4">
        <v>552</v>
      </c>
      <c r="GT528" s="4">
        <v>550</v>
      </c>
      <c r="GU528" s="4">
        <v>548</v>
      </c>
      <c r="GV528" s="4">
        <v>546</v>
      </c>
      <c r="GW528" s="4">
        <v>544</v>
      </c>
      <c r="GX528" s="4">
        <v>542</v>
      </c>
      <c r="GY528" s="4">
        <v>540</v>
      </c>
      <c r="GZ528" s="4">
        <v>538</v>
      </c>
      <c r="HA528" s="4">
        <v>536</v>
      </c>
      <c r="HB528" s="4">
        <v>534</v>
      </c>
      <c r="HC528" s="19">
        <v>197.3</v>
      </c>
      <c r="HD528" s="19">
        <v>196.7</v>
      </c>
      <c r="HE528" s="19">
        <v>146.8</v>
      </c>
      <c r="HF528" s="19">
        <v>146</v>
      </c>
      <c r="HG528" s="19">
        <v>193.3</v>
      </c>
      <c r="HH528" s="19">
        <v>192.3</v>
      </c>
      <c r="HI528" s="19">
        <v>286.5</v>
      </c>
      <c r="HJ528" s="19">
        <v>285</v>
      </c>
      <c r="HK528" s="19">
        <v>284</v>
      </c>
      <c r="HL528" s="19">
        <v>283</v>
      </c>
      <c r="HM528" s="19">
        <v>282</v>
      </c>
      <c r="HN528" s="19">
        <v>281</v>
      </c>
      <c r="HO528" s="19">
        <v>280</v>
      </c>
      <c r="HP528" s="19">
        <v>279</v>
      </c>
      <c r="HQ528" s="19">
        <v>278</v>
      </c>
      <c r="HR528" s="19">
        <v>277</v>
      </c>
      <c r="HS528" s="19">
        <v>276</v>
      </c>
      <c r="HT528" s="19">
        <v>275</v>
      </c>
      <c r="HU528" s="19">
        <v>274</v>
      </c>
      <c r="HV528" s="19">
        <v>273</v>
      </c>
      <c r="HW528" s="19">
        <v>272</v>
      </c>
      <c r="HX528" s="19">
        <v>271</v>
      </c>
      <c r="HY528" s="19">
        <v>270</v>
      </c>
      <c r="HZ528" s="19">
        <v>269</v>
      </c>
      <c r="IA528" s="19">
        <v>268</v>
      </c>
      <c r="IB528" s="19">
        <v>267</v>
      </c>
    </row>
    <row r="529">
      <c r="A529" s="2" t="s">
        <v>3078</v>
      </c>
      <c r="B529" s="2" t="s">
        <v>773</v>
      </c>
      <c r="C529" s="2" t="s">
        <v>280</v>
      </c>
      <c r="D529" s="2" t="s">
        <v>261</v>
      </c>
      <c r="E529" s="2" t="s">
        <v>895</v>
      </c>
      <c r="F529" s="2" t="s">
        <v>3079</v>
      </c>
      <c r="G529" s="2" t="s">
        <v>3080</v>
      </c>
      <c r="H529" s="2" t="s">
        <v>3080</v>
      </c>
      <c r="I529" s="2" t="s">
        <v>3081</v>
      </c>
      <c r="J529" s="2" t="s">
        <v>1052</v>
      </c>
      <c r="K529" s="2" t="s">
        <v>3082</v>
      </c>
      <c r="L529" s="3">
        <v>32.2</v>
      </c>
      <c r="M529" s="3">
        <v>33.81</v>
      </c>
      <c r="N529" s="3">
        <v>69.99</v>
      </c>
      <c r="O529" s="2" t="s">
        <v>230</v>
      </c>
      <c r="P529" s="2" t="s">
        <v>597</v>
      </c>
      <c r="Q529" s="2" t="s">
        <v>232</v>
      </c>
      <c r="R529" s="2" t="s">
        <v>233</v>
      </c>
      <c r="S529" s="2" t="s">
        <v>3083</v>
      </c>
      <c r="T529" s="2" t="s">
        <v>780</v>
      </c>
      <c r="U529" s="2" t="s">
        <v>711</v>
      </c>
      <c r="V529" s="2" t="s">
        <v>1431</v>
      </c>
      <c r="W529" s="2" t="s">
        <v>288</v>
      </c>
      <c r="X529" s="2" t="s">
        <v>712</v>
      </c>
      <c r="Y529" s="2" t="s">
        <v>3084</v>
      </c>
      <c r="Z529" s="4">
        <v>884</v>
      </c>
      <c r="AA529" s="4">
        <f>=ROUNDDOWN(63.1428571428571,0)</f>
      </c>
      <c r="AB529" s="5">
        <v>14</v>
      </c>
      <c r="AC529" s="2" t="s">
        <v>140</v>
      </c>
      <c r="AD529" s="4">
        <v>230</v>
      </c>
      <c r="AE529" s="4">
        <v>380</v>
      </c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233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 t="s">
        <v>233</v>
      </c>
      <c r="BD529" s="8" t="s">
        <v>233</v>
      </c>
      <c r="BE529" s="4" t="s">
        <v>233</v>
      </c>
      <c r="BF529" s="8" t="s">
        <v>233</v>
      </c>
      <c r="BG529" s="7" t="s">
        <v>233</v>
      </c>
      <c r="BH529" s="7" t="s">
        <v>233</v>
      </c>
      <c r="BI529" s="7"/>
      <c r="BJ529" s="4">
        <v>70</v>
      </c>
      <c r="BK529" s="8">
        <v>2306.34</v>
      </c>
      <c r="BL529" s="2" t="s">
        <v>3085</v>
      </c>
      <c r="BM529" s="7"/>
      <c r="BN529" s="7"/>
      <c r="BO529" s="4"/>
      <c r="BP529" s="8"/>
      <c r="BQ529" s="4"/>
      <c r="BR529" s="8"/>
      <c r="BS529" s="7"/>
      <c r="BT529" s="7"/>
      <c r="BU529" s="2" t="s">
        <v>3086</v>
      </c>
      <c r="BV529" s="2" t="s">
        <v>233</v>
      </c>
      <c r="BW529" s="2" t="s">
        <v>233</v>
      </c>
      <c r="BX529" s="2" t="s">
        <v>241</v>
      </c>
      <c r="BY529" s="2" t="s">
        <v>242</v>
      </c>
      <c r="BZ529" s="2" t="s">
        <v>230</v>
      </c>
      <c r="CA529" s="2" t="s">
        <v>3087</v>
      </c>
      <c r="CB529" s="2" t="s">
        <v>3088</v>
      </c>
      <c r="CC529" s="2" t="s">
        <v>245</v>
      </c>
      <c r="CD529" s="2" t="s">
        <v>233</v>
      </c>
      <c r="CE529" s="4">
        <v>884</v>
      </c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>
        <v>230</v>
      </c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>
        <v>150</v>
      </c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>
        <v>897</v>
      </c>
      <c r="GD529" s="4">
        <v>805</v>
      </c>
      <c r="GE529" s="4">
        <v>983</v>
      </c>
      <c r="GF529" s="4">
        <v>927</v>
      </c>
      <c r="GG529" s="4">
        <v>815</v>
      </c>
      <c r="GH529" s="4">
        <v>743</v>
      </c>
      <c r="GI529" s="4">
        <v>669</v>
      </c>
      <c r="GJ529" s="4">
        <v>773</v>
      </c>
      <c r="GK529" s="4">
        <v>743</v>
      </c>
      <c r="GL529" s="4">
        <v>723</v>
      </c>
      <c r="GM529" s="4">
        <v>703</v>
      </c>
      <c r="GN529" s="4">
        <v>683</v>
      </c>
      <c r="GO529" s="4">
        <v>670</v>
      </c>
      <c r="GP529" s="4">
        <v>657</v>
      </c>
      <c r="GQ529" s="4">
        <v>644</v>
      </c>
      <c r="GR529" s="4">
        <v>631</v>
      </c>
      <c r="GS529" s="4">
        <v>618</v>
      </c>
      <c r="GT529" s="4">
        <v>604</v>
      </c>
      <c r="GU529" s="4">
        <v>591</v>
      </c>
      <c r="GV529" s="4">
        <v>579</v>
      </c>
      <c r="GW529" s="4">
        <v>567</v>
      </c>
      <c r="GX529" s="4">
        <v>555</v>
      </c>
      <c r="GY529" s="4">
        <v>543</v>
      </c>
      <c r="GZ529" s="4">
        <v>531</v>
      </c>
      <c r="HA529" s="4">
        <v>519</v>
      </c>
      <c r="HB529" s="4">
        <v>507</v>
      </c>
      <c r="HC529" s="19">
        <v>11.5</v>
      </c>
      <c r="HD529" s="19">
        <v>11</v>
      </c>
      <c r="HE529" s="19">
        <v>12.6</v>
      </c>
      <c r="HF529" s="19">
        <v>12.2</v>
      </c>
      <c r="HG529" s="19">
        <v>14.6</v>
      </c>
      <c r="HH529" s="19">
        <v>17.7</v>
      </c>
      <c r="HI529" s="19">
        <v>23.1</v>
      </c>
      <c r="HJ529" s="19">
        <v>35.1</v>
      </c>
      <c r="HK529" s="19">
        <v>41.3</v>
      </c>
      <c r="HL529" s="19">
        <v>45.2</v>
      </c>
      <c r="HM529" s="19">
        <v>46.9</v>
      </c>
      <c r="HN529" s="19">
        <v>52.5</v>
      </c>
      <c r="HO529" s="19">
        <v>51.5</v>
      </c>
      <c r="HP529" s="19">
        <v>50.5</v>
      </c>
      <c r="HQ529" s="19">
        <v>49.5</v>
      </c>
      <c r="HR529" s="19">
        <v>48.5</v>
      </c>
      <c r="HS529" s="19">
        <v>47.5</v>
      </c>
      <c r="HT529" s="19">
        <v>50.3</v>
      </c>
      <c r="HU529" s="19">
        <v>49.3</v>
      </c>
      <c r="HV529" s="19">
        <v>48.3</v>
      </c>
      <c r="HW529" s="19">
        <v>47.3</v>
      </c>
      <c r="HX529" s="19">
        <v>46.3</v>
      </c>
      <c r="HY529" s="19">
        <v>45.3</v>
      </c>
      <c r="HZ529" s="19">
        <v>44.3</v>
      </c>
      <c r="IA529" s="19">
        <v>43.3</v>
      </c>
      <c r="IB529" s="19">
        <v>39</v>
      </c>
    </row>
    <row r="530">
      <c r="A530" s="2" t="s">
        <v>3089</v>
      </c>
      <c r="B530" s="2" t="s">
        <v>773</v>
      </c>
      <c r="C530" s="2" t="s">
        <v>280</v>
      </c>
      <c r="D530" s="2" t="s">
        <v>261</v>
      </c>
      <c r="E530" s="2" t="s">
        <v>895</v>
      </c>
      <c r="F530" s="2" t="s">
        <v>3079</v>
      </c>
      <c r="G530" s="2" t="s">
        <v>3080</v>
      </c>
      <c r="H530" s="2" t="s">
        <v>3080</v>
      </c>
      <c r="I530" s="2" t="s">
        <v>3081</v>
      </c>
      <c r="J530" s="2" t="s">
        <v>1052</v>
      </c>
      <c r="K530" s="2" t="s">
        <v>3090</v>
      </c>
      <c r="L530" s="3">
        <v>32.2</v>
      </c>
      <c r="M530" s="3">
        <v>33.81</v>
      </c>
      <c r="N530" s="3">
        <v>69.99</v>
      </c>
      <c r="O530" s="2" t="s">
        <v>230</v>
      </c>
      <c r="P530" s="2" t="s">
        <v>586</v>
      </c>
      <c r="Q530" s="2" t="s">
        <v>232</v>
      </c>
      <c r="R530" s="2" t="s">
        <v>233</v>
      </c>
      <c r="S530" s="2" t="s">
        <v>3091</v>
      </c>
      <c r="T530" s="2" t="s">
        <v>780</v>
      </c>
      <c r="U530" s="2" t="s">
        <v>711</v>
      </c>
      <c r="V530" s="2" t="s">
        <v>1431</v>
      </c>
      <c r="W530" s="2" t="s">
        <v>288</v>
      </c>
      <c r="X530" s="2" t="s">
        <v>712</v>
      </c>
      <c r="Y530" s="2" t="s">
        <v>3092</v>
      </c>
      <c r="Z530" s="4">
        <v>722</v>
      </c>
      <c r="AA530" s="4">
        <f>=ROUNDDOWN(80.2222222222222,0)</f>
      </c>
      <c r="AB530" s="5">
        <v>9</v>
      </c>
      <c r="AC530" s="2" t="s">
        <v>140</v>
      </c>
      <c r="AD530" s="4">
        <v>100</v>
      </c>
      <c r="AE530" s="4">
        <v>430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233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233</v>
      </c>
      <c r="AW530" s="8" t="s">
        <v>233</v>
      </c>
      <c r="AX530" s="4" t="s">
        <v>233</v>
      </c>
      <c r="AY530" s="8" t="s">
        <v>233</v>
      </c>
      <c r="AZ530" s="7" t="s">
        <v>233</v>
      </c>
      <c r="BA530" s="7" t="s">
        <v>233</v>
      </c>
      <c r="BB530" s="7"/>
      <c r="BC530" s="4" t="s">
        <v>233</v>
      </c>
      <c r="BD530" s="8" t="s">
        <v>233</v>
      </c>
      <c r="BE530" s="4" t="s">
        <v>233</v>
      </c>
      <c r="BF530" s="8" t="s">
        <v>233</v>
      </c>
      <c r="BG530" s="7" t="s">
        <v>233</v>
      </c>
      <c r="BH530" s="7" t="s">
        <v>233</v>
      </c>
      <c r="BI530" s="7"/>
      <c r="BJ530" s="4">
        <v>64</v>
      </c>
      <c r="BK530" s="8">
        <v>2094.11</v>
      </c>
      <c r="BL530" s="2" t="s">
        <v>2907</v>
      </c>
      <c r="BM530" s="7"/>
      <c r="BN530" s="7"/>
      <c r="BO530" s="4"/>
      <c r="BP530" s="8"/>
      <c r="BQ530" s="4"/>
      <c r="BR530" s="8"/>
      <c r="BS530" s="7"/>
      <c r="BT530" s="7"/>
      <c r="BU530" s="2" t="s">
        <v>3086</v>
      </c>
      <c r="BV530" s="2" t="s">
        <v>233</v>
      </c>
      <c r="BW530" s="2" t="s">
        <v>233</v>
      </c>
      <c r="BX530" s="2" t="s">
        <v>241</v>
      </c>
      <c r="BY530" s="2" t="s">
        <v>242</v>
      </c>
      <c r="BZ530" s="2" t="s">
        <v>230</v>
      </c>
      <c r="CA530" s="2" t="s">
        <v>1328</v>
      </c>
      <c r="CB530" s="2" t="s">
        <v>3093</v>
      </c>
      <c r="CC530" s="2" t="s">
        <v>245</v>
      </c>
      <c r="CD530" s="2" t="s">
        <v>233</v>
      </c>
      <c r="CE530" s="4">
        <v>453</v>
      </c>
      <c r="CF530" s="4">
        <v>269</v>
      </c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>
        <v>100</v>
      </c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>
        <v>330</v>
      </c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>
        <v>726</v>
      </c>
      <c r="GD530" s="4">
        <v>670</v>
      </c>
      <c r="GE530" s="4">
        <v>718</v>
      </c>
      <c r="GF530" s="4">
        <v>663</v>
      </c>
      <c r="GG530" s="4">
        <v>564</v>
      </c>
      <c r="GH530" s="4">
        <v>510</v>
      </c>
      <c r="GI530" s="4">
        <v>454</v>
      </c>
      <c r="GJ530" s="4">
        <v>750</v>
      </c>
      <c r="GK530" s="4">
        <v>728</v>
      </c>
      <c r="GL530" s="4">
        <v>714</v>
      </c>
      <c r="GM530" s="4">
        <v>700</v>
      </c>
      <c r="GN530" s="4">
        <v>686</v>
      </c>
      <c r="GO530" s="4">
        <v>678</v>
      </c>
      <c r="GP530" s="4">
        <v>670</v>
      </c>
      <c r="GQ530" s="4">
        <v>662</v>
      </c>
      <c r="GR530" s="4">
        <v>654</v>
      </c>
      <c r="GS530" s="4">
        <v>646</v>
      </c>
      <c r="GT530" s="4">
        <v>637</v>
      </c>
      <c r="GU530" s="4">
        <v>629</v>
      </c>
      <c r="GV530" s="4">
        <v>621</v>
      </c>
      <c r="GW530" s="4">
        <v>613</v>
      </c>
      <c r="GX530" s="4">
        <v>605</v>
      </c>
      <c r="GY530" s="4">
        <v>597</v>
      </c>
      <c r="GZ530" s="4">
        <v>589</v>
      </c>
      <c r="HA530" s="4">
        <v>581</v>
      </c>
      <c r="HB530" s="4">
        <v>573</v>
      </c>
      <c r="HC530" s="19">
        <v>11</v>
      </c>
      <c r="HD530" s="19">
        <v>10.3</v>
      </c>
      <c r="HE530" s="19">
        <v>10.9</v>
      </c>
      <c r="HF530" s="19">
        <v>10.9</v>
      </c>
      <c r="HG530" s="19">
        <v>13.4</v>
      </c>
      <c r="HH530" s="19">
        <v>15.9</v>
      </c>
      <c r="HI530" s="19">
        <v>21.6</v>
      </c>
      <c r="HJ530" s="19">
        <v>46.9</v>
      </c>
      <c r="HK530" s="19">
        <v>60.7</v>
      </c>
      <c r="HL530" s="19">
        <v>64.9</v>
      </c>
      <c r="HM530" s="19">
        <v>70</v>
      </c>
      <c r="HN530" s="19">
        <v>85.8</v>
      </c>
      <c r="HO530" s="19">
        <v>84.8</v>
      </c>
      <c r="HP530" s="19">
        <v>83.8</v>
      </c>
      <c r="HQ530" s="19">
        <v>82.8</v>
      </c>
      <c r="HR530" s="19">
        <v>81.8</v>
      </c>
      <c r="HS530" s="19">
        <v>80.8</v>
      </c>
      <c r="HT530" s="19">
        <v>79.6</v>
      </c>
      <c r="HU530" s="19">
        <v>78.6</v>
      </c>
      <c r="HV530" s="19">
        <v>77.6</v>
      </c>
      <c r="HW530" s="19">
        <v>76.6</v>
      </c>
      <c r="HX530" s="19">
        <v>75.6</v>
      </c>
      <c r="HY530" s="19">
        <v>74.6</v>
      </c>
      <c r="HZ530" s="19">
        <v>73.6</v>
      </c>
      <c r="IA530" s="19">
        <v>72.6</v>
      </c>
      <c r="IB530" s="19">
        <v>71.6</v>
      </c>
    </row>
    <row r="531">
      <c r="A531" s="2" t="s">
        <v>3094</v>
      </c>
      <c r="B531" s="2" t="s">
        <v>773</v>
      </c>
      <c r="C531" s="2" t="s">
        <v>280</v>
      </c>
      <c r="D531" s="2" t="s">
        <v>261</v>
      </c>
      <c r="E531" s="2" t="s">
        <v>895</v>
      </c>
      <c r="F531" s="2" t="s">
        <v>3079</v>
      </c>
      <c r="G531" s="2" t="s">
        <v>3080</v>
      </c>
      <c r="H531" s="2" t="s">
        <v>3080</v>
      </c>
      <c r="I531" s="2" t="s">
        <v>3081</v>
      </c>
      <c r="J531" s="2" t="s">
        <v>275</v>
      </c>
      <c r="K531" s="2" t="s">
        <v>3090</v>
      </c>
      <c r="L531" s="3">
        <v>49</v>
      </c>
      <c r="M531" s="3">
        <v>51.45</v>
      </c>
      <c r="N531" s="3">
        <v>99.99</v>
      </c>
      <c r="O531" s="2" t="s">
        <v>230</v>
      </c>
      <c r="P531" s="2" t="s">
        <v>586</v>
      </c>
      <c r="Q531" s="2" t="s">
        <v>232</v>
      </c>
      <c r="R531" s="2" t="s">
        <v>233</v>
      </c>
      <c r="S531" s="2" t="s">
        <v>3091</v>
      </c>
      <c r="T531" s="2" t="s">
        <v>780</v>
      </c>
      <c r="U531" s="2" t="s">
        <v>781</v>
      </c>
      <c r="V531" s="2" t="s">
        <v>1431</v>
      </c>
      <c r="W531" s="2" t="s">
        <v>288</v>
      </c>
      <c r="X531" s="2" t="s">
        <v>712</v>
      </c>
      <c r="Y531" s="2" t="s">
        <v>3092</v>
      </c>
      <c r="Z531" s="4">
        <v>1383</v>
      </c>
      <c r="AA531" s="4">
        <f>=ROUNDDOWN(81.3529411764706,0)</f>
      </c>
      <c r="AB531" s="5">
        <v>17</v>
      </c>
      <c r="AC531" s="2" t="s">
        <v>140</v>
      </c>
      <c r="AD531" s="4">
        <v>480</v>
      </c>
      <c r="AE531" s="4">
        <v>580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233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233</v>
      </c>
      <c r="AW531" s="8" t="s">
        <v>233</v>
      </c>
      <c r="AX531" s="4" t="s">
        <v>233</v>
      </c>
      <c r="AY531" s="8" t="s">
        <v>233</v>
      </c>
      <c r="AZ531" s="7" t="s">
        <v>233</v>
      </c>
      <c r="BA531" s="7" t="s">
        <v>233</v>
      </c>
      <c r="BB531" s="7"/>
      <c r="BC531" s="4" t="s">
        <v>233</v>
      </c>
      <c r="BD531" s="8" t="s">
        <v>233</v>
      </c>
      <c r="BE531" s="4" t="s">
        <v>233</v>
      </c>
      <c r="BF531" s="8" t="s">
        <v>233</v>
      </c>
      <c r="BG531" s="7" t="s">
        <v>233</v>
      </c>
      <c r="BH531" s="7" t="s">
        <v>233</v>
      </c>
      <c r="BI531" s="7"/>
      <c r="BJ531" s="4">
        <v>198</v>
      </c>
      <c r="BK531" s="8">
        <v>9521.3</v>
      </c>
      <c r="BL531" s="2" t="s">
        <v>1549</v>
      </c>
      <c r="BM531" s="7"/>
      <c r="BN531" s="7"/>
      <c r="BO531" s="4"/>
      <c r="BP531" s="8"/>
      <c r="BQ531" s="4"/>
      <c r="BR531" s="8"/>
      <c r="BS531" s="7"/>
      <c r="BT531" s="7"/>
      <c r="BU531" s="2" t="s">
        <v>3086</v>
      </c>
      <c r="BV531" s="2" t="s">
        <v>233</v>
      </c>
      <c r="BW531" s="2" t="s">
        <v>233</v>
      </c>
      <c r="BX531" s="2" t="s">
        <v>241</v>
      </c>
      <c r="BY531" s="2" t="s">
        <v>242</v>
      </c>
      <c r="BZ531" s="2" t="s">
        <v>230</v>
      </c>
      <c r="CA531" s="2" t="s">
        <v>1328</v>
      </c>
      <c r="CB531" s="2" t="s">
        <v>3095</v>
      </c>
      <c r="CC531" s="2" t="s">
        <v>245</v>
      </c>
      <c r="CD531" s="2" t="s">
        <v>233</v>
      </c>
      <c r="CE531" s="4">
        <v>1063</v>
      </c>
      <c r="CF531" s="4">
        <v>320</v>
      </c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>
        <v>480</v>
      </c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>
        <v>100</v>
      </c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>
        <v>1404</v>
      </c>
      <c r="GD531" s="4">
        <v>1234</v>
      </c>
      <c r="GE531" s="4">
        <v>1567</v>
      </c>
      <c r="GF531" s="4">
        <v>1413</v>
      </c>
      <c r="GG531" s="4">
        <v>1158</v>
      </c>
      <c r="GH531" s="4">
        <v>1025</v>
      </c>
      <c r="GI531" s="4">
        <v>888</v>
      </c>
      <c r="GJ531" s="4">
        <v>906</v>
      </c>
      <c r="GK531" s="4">
        <v>853</v>
      </c>
      <c r="GL531" s="4">
        <v>824</v>
      </c>
      <c r="GM531" s="4">
        <v>795</v>
      </c>
      <c r="GN531" s="4">
        <v>766</v>
      </c>
      <c r="GO531" s="4">
        <v>750</v>
      </c>
      <c r="GP531" s="4">
        <v>734</v>
      </c>
      <c r="GQ531" s="4">
        <v>718</v>
      </c>
      <c r="GR531" s="4">
        <v>702</v>
      </c>
      <c r="GS531" s="4">
        <v>686</v>
      </c>
      <c r="GT531" s="4">
        <v>669</v>
      </c>
      <c r="GU531" s="4">
        <v>653</v>
      </c>
      <c r="GV531" s="4">
        <v>637</v>
      </c>
      <c r="GW531" s="4">
        <v>621</v>
      </c>
      <c r="GX531" s="4">
        <v>605</v>
      </c>
      <c r="GY531" s="4">
        <v>589</v>
      </c>
      <c r="GZ531" s="4">
        <v>573</v>
      </c>
      <c r="HA531" s="4">
        <v>557</v>
      </c>
      <c r="HB531" s="4">
        <v>541</v>
      </c>
      <c r="HC531" s="19">
        <v>7.7</v>
      </c>
      <c r="HD531" s="19">
        <v>7.2</v>
      </c>
      <c r="HE531" s="19">
        <v>9.2</v>
      </c>
      <c r="HF531" s="19">
        <v>9.3</v>
      </c>
      <c r="HG531" s="19">
        <v>11.5</v>
      </c>
      <c r="HH531" s="19">
        <v>13.7</v>
      </c>
      <c r="HI531" s="19">
        <v>18.5</v>
      </c>
      <c r="HJ531" s="19">
        <v>25.9</v>
      </c>
      <c r="HK531" s="19">
        <v>32.8</v>
      </c>
      <c r="HL531" s="19">
        <v>37.5</v>
      </c>
      <c r="HM531" s="19">
        <v>41.8</v>
      </c>
      <c r="HN531" s="19">
        <v>47.9</v>
      </c>
      <c r="HO531" s="19">
        <v>46.9</v>
      </c>
      <c r="HP531" s="19">
        <v>45.9</v>
      </c>
      <c r="HQ531" s="19">
        <v>44.9</v>
      </c>
      <c r="HR531" s="19">
        <v>43.9</v>
      </c>
      <c r="HS531" s="19">
        <v>42.9</v>
      </c>
      <c r="HT531" s="19">
        <v>41.8</v>
      </c>
      <c r="HU531" s="19">
        <v>40.8</v>
      </c>
      <c r="HV531" s="19">
        <v>39.8</v>
      </c>
      <c r="HW531" s="19">
        <v>38.8</v>
      </c>
      <c r="HX531" s="19">
        <v>37.8</v>
      </c>
      <c r="HY531" s="19">
        <v>36.8</v>
      </c>
      <c r="HZ531" s="19">
        <v>35.8</v>
      </c>
      <c r="IA531" s="19">
        <v>37.1</v>
      </c>
      <c r="IB531" s="19">
        <v>38.6</v>
      </c>
    </row>
    <row r="532">
      <c r="A532" s="2" t="s">
        <v>3096</v>
      </c>
      <c r="B532" s="2" t="s">
        <v>736</v>
      </c>
      <c r="C532" s="2" t="s">
        <v>1625</v>
      </c>
      <c r="D532" s="2" t="s">
        <v>1197</v>
      </c>
      <c r="E532" s="2" t="s">
        <v>738</v>
      </c>
      <c r="F532" s="2" t="s">
        <v>3097</v>
      </c>
      <c r="G532" s="2" t="s">
        <v>3097</v>
      </c>
      <c r="H532" s="2" t="s">
        <v>3097</v>
      </c>
      <c r="I532" s="2" t="s">
        <v>3098</v>
      </c>
      <c r="J532" s="2" t="s">
        <v>741</v>
      </c>
      <c r="K532" s="2" t="s">
        <v>832</v>
      </c>
      <c r="L532" s="3">
        <v>44.05</v>
      </c>
      <c r="M532" s="3">
        <v>46.25</v>
      </c>
      <c r="N532" s="3">
        <v>84.99</v>
      </c>
      <c r="O532" s="2" t="s">
        <v>230</v>
      </c>
      <c r="P532" s="2" t="s">
        <v>721</v>
      </c>
      <c r="Q532" s="2" t="s">
        <v>232</v>
      </c>
      <c r="R532" s="2" t="s">
        <v>233</v>
      </c>
      <c r="S532" s="2" t="s">
        <v>3099</v>
      </c>
      <c r="T532" s="2" t="s">
        <v>233</v>
      </c>
      <c r="U532" s="2" t="s">
        <v>711</v>
      </c>
      <c r="V532" s="2" t="s">
        <v>2617</v>
      </c>
      <c r="W532" s="2" t="s">
        <v>2083</v>
      </c>
      <c r="X532" s="2" t="s">
        <v>233</v>
      </c>
      <c r="Y532" s="2" t="s">
        <v>238</v>
      </c>
      <c r="Z532" s="4">
        <v>19</v>
      </c>
      <c r="AA532" s="4">
        <f>=ROUNDDOWN(6.33333333333333,0)</f>
      </c>
      <c r="AB532" s="5">
        <v>3</v>
      </c>
      <c r="AC532" s="2" t="s">
        <v>1203</v>
      </c>
      <c r="AD532" s="4">
        <v>60</v>
      </c>
      <c r="AE532" s="4">
        <v>60</v>
      </c>
      <c r="AF532" s="6">
        <v>63</v>
      </c>
      <c r="AG532" s="6"/>
      <c r="AH532" s="7">
        <v>1</v>
      </c>
      <c r="AI532" s="4"/>
      <c r="AJ532" s="4">
        <f>=ROUNDDOWN({0},0)</f>
      </c>
      <c r="AK532" s="5"/>
      <c r="AL532" s="2" t="s">
        <v>233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/>
      <c r="BD532" s="8"/>
      <c r="BE532" s="4"/>
      <c r="BF532" s="8"/>
      <c r="BG532" s="7"/>
      <c r="BH532" s="7"/>
      <c r="BI532" s="7"/>
      <c r="BJ532" s="4">
        <v>17</v>
      </c>
      <c r="BK532" s="8">
        <v>948.5</v>
      </c>
      <c r="BL532" s="2" t="s">
        <v>3100</v>
      </c>
      <c r="BM532" s="7"/>
      <c r="BN532" s="7"/>
      <c r="BO532" s="4"/>
      <c r="BP532" s="8"/>
      <c r="BQ532" s="4"/>
      <c r="BR532" s="8"/>
      <c r="BS532" s="7"/>
      <c r="BT532" s="7"/>
      <c r="BU532" s="2" t="s">
        <v>3101</v>
      </c>
      <c r="BV532" s="2" t="s">
        <v>233</v>
      </c>
      <c r="BW532" s="2" t="s">
        <v>233</v>
      </c>
      <c r="BX532" s="2" t="s">
        <v>241</v>
      </c>
      <c r="BY532" s="2" t="s">
        <v>242</v>
      </c>
      <c r="BZ532" s="2" t="s">
        <v>230</v>
      </c>
      <c r="CA532" s="2" t="s">
        <v>3102</v>
      </c>
      <c r="CB532" s="2" t="s">
        <v>3103</v>
      </c>
      <c r="CC532" s="2" t="s">
        <v>245</v>
      </c>
      <c r="CD532" s="2" t="s">
        <v>233</v>
      </c>
      <c r="CE532" s="4"/>
      <c r="CF532" s="4">
        <v>19</v>
      </c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>
        <v>60</v>
      </c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>
        <v>20</v>
      </c>
      <c r="GD532" s="4">
        <v>11</v>
      </c>
      <c r="GE532" s="4">
        <v>8</v>
      </c>
      <c r="GF532" s="4">
        <v>5</v>
      </c>
      <c r="GG532" s="4">
        <v>1</v>
      </c>
      <c r="GH532" s="4"/>
      <c r="GI532" s="4"/>
      <c r="GJ532" s="4"/>
      <c r="GK532" s="4"/>
      <c r="GL532" s="4"/>
      <c r="GM532" s="4"/>
      <c r="GN532" s="4"/>
      <c r="GO532" s="4"/>
      <c r="GP532" s="4"/>
      <c r="GQ532" s="4">
        <v>60</v>
      </c>
      <c r="GR532" s="4">
        <v>43</v>
      </c>
      <c r="GS532" s="4">
        <v>40</v>
      </c>
      <c r="GT532" s="4">
        <v>37</v>
      </c>
      <c r="GU532" s="4">
        <v>34</v>
      </c>
      <c r="GV532" s="4">
        <v>31</v>
      </c>
      <c r="GW532" s="4">
        <v>28</v>
      </c>
      <c r="GX532" s="4">
        <v>25</v>
      </c>
      <c r="GY532" s="4">
        <v>22</v>
      </c>
      <c r="GZ532" s="4">
        <v>19</v>
      </c>
      <c r="HA532" s="4">
        <v>16</v>
      </c>
      <c r="HB532" s="4">
        <v>13</v>
      </c>
      <c r="HC532" s="19">
        <v>4</v>
      </c>
      <c r="HD532" s="19">
        <v>3.7</v>
      </c>
      <c r="HE532" s="19">
        <v>4</v>
      </c>
      <c r="HF532" s="19">
        <v>2.5</v>
      </c>
      <c r="HG532" s="19">
        <v>1</v>
      </c>
      <c r="HH532" s="20">
        <v>0</v>
      </c>
      <c r="HI532" s="20">
        <v>0</v>
      </c>
      <c r="HJ532" s="20">
        <v>0</v>
      </c>
      <c r="HK532" s="20">
        <v>0</v>
      </c>
      <c r="HL532" s="20">
        <v>0</v>
      </c>
      <c r="HM532" s="20">
        <v>0</v>
      </c>
      <c r="HN532" s="20">
        <v>0</v>
      </c>
      <c r="HO532" s="20">
        <v>0</v>
      </c>
      <c r="HP532" s="20">
        <v>0</v>
      </c>
      <c r="HQ532" s="19">
        <v>10</v>
      </c>
      <c r="HR532" s="19">
        <v>14.3</v>
      </c>
      <c r="HS532" s="19">
        <v>13.3</v>
      </c>
      <c r="HT532" s="19">
        <v>12.3</v>
      </c>
      <c r="HU532" s="19">
        <v>11.3</v>
      </c>
      <c r="HV532" s="19">
        <v>10.3</v>
      </c>
      <c r="HW532" s="19">
        <v>9.3</v>
      </c>
      <c r="HX532" s="19">
        <v>8.3</v>
      </c>
      <c r="HY532" s="19">
        <v>7.3</v>
      </c>
      <c r="HZ532" s="19">
        <v>6.3</v>
      </c>
      <c r="IA532" s="19">
        <v>5.3</v>
      </c>
      <c r="IB532" s="19">
        <v>4.3</v>
      </c>
    </row>
    <row r="533">
      <c r="A533" s="2" t="s">
        <v>3104</v>
      </c>
      <c r="B533" s="2" t="s">
        <v>761</v>
      </c>
      <c r="C533" s="2" t="s">
        <v>280</v>
      </c>
      <c r="D533" s="2" t="s">
        <v>763</v>
      </c>
      <c r="E533" s="2" t="s">
        <v>764</v>
      </c>
      <c r="F533" s="2" t="s">
        <v>3105</v>
      </c>
      <c r="G533" s="2" t="s">
        <v>3106</v>
      </c>
      <c r="H533" s="2" t="s">
        <v>3107</v>
      </c>
      <c r="I533" s="2" t="s">
        <v>764</v>
      </c>
      <c r="J533" s="2" t="s">
        <v>741</v>
      </c>
      <c r="K533" s="2" t="s">
        <v>300</v>
      </c>
      <c r="L533" s="3">
        <v>190</v>
      </c>
      <c r="M533" s="3">
        <v>199.5</v>
      </c>
      <c r="N533" s="3">
        <v>399</v>
      </c>
      <c r="O533" s="2" t="s">
        <v>230</v>
      </c>
      <c r="P533" s="2" t="s">
        <v>721</v>
      </c>
      <c r="Q533" s="2" t="s">
        <v>232</v>
      </c>
      <c r="R533" s="2" t="s">
        <v>233</v>
      </c>
      <c r="S533" s="2" t="s">
        <v>233</v>
      </c>
      <c r="T533" s="2" t="s">
        <v>233</v>
      </c>
      <c r="U533" s="2" t="s">
        <v>329</v>
      </c>
      <c r="V533" s="2" t="s">
        <v>236</v>
      </c>
      <c r="W533" s="2" t="s">
        <v>620</v>
      </c>
      <c r="X533" s="2" t="s">
        <v>712</v>
      </c>
      <c r="Y533" s="2" t="s">
        <v>3108</v>
      </c>
      <c r="Z533" s="4">
        <v>51</v>
      </c>
      <c r="AA533" s="4">
        <f>=ROUNDDOWN(17,0)</f>
      </c>
      <c r="AB533" s="5">
        <v>3</v>
      </c>
      <c r="AC533" s="2" t="s">
        <v>141</v>
      </c>
      <c r="AD533" s="4">
        <v>80</v>
      </c>
      <c r="AE533" s="4">
        <v>100</v>
      </c>
      <c r="AF533" s="6">
        <v>66</v>
      </c>
      <c r="AG533" s="6">
        <v>49</v>
      </c>
      <c r="AH533" s="7">
        <v>1</v>
      </c>
      <c r="AI533" s="4"/>
      <c r="AJ533" s="4">
        <f>=ROUNDDOWN({0},0)</f>
      </c>
      <c r="AK533" s="5"/>
      <c r="AL533" s="2" t="s">
        <v>233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/>
      <c r="BD533" s="8"/>
      <c r="BE533" s="4"/>
      <c r="BF533" s="8"/>
      <c r="BG533" s="7"/>
      <c r="BH533" s="7"/>
      <c r="BI533" s="7"/>
      <c r="BJ533" s="4">
        <v>9</v>
      </c>
      <c r="BK533" s="8">
        <v>1805.48</v>
      </c>
      <c r="BL533" s="2" t="s">
        <v>3109</v>
      </c>
      <c r="BM533" s="7"/>
      <c r="BN533" s="7"/>
      <c r="BO533" s="4"/>
      <c r="BP533" s="8"/>
      <c r="BQ533" s="4"/>
      <c r="BR533" s="8"/>
      <c r="BS533" s="7"/>
      <c r="BT533" s="7"/>
      <c r="BU533" s="2" t="s">
        <v>3110</v>
      </c>
      <c r="BV533" s="2" t="s">
        <v>233</v>
      </c>
      <c r="BW533" s="2" t="s">
        <v>233</v>
      </c>
      <c r="BX533" s="2" t="s">
        <v>241</v>
      </c>
      <c r="BY533" s="2" t="s">
        <v>242</v>
      </c>
      <c r="BZ533" s="2" t="s">
        <v>230</v>
      </c>
      <c r="CA533" s="2" t="s">
        <v>3111</v>
      </c>
      <c r="CB533" s="2" t="s">
        <v>3112</v>
      </c>
      <c r="CC533" s="2" t="s">
        <v>245</v>
      </c>
      <c r="CD533" s="2" t="s">
        <v>233</v>
      </c>
      <c r="CE533" s="4"/>
      <c r="CF533" s="4">
        <v>51</v>
      </c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>
        <v>80</v>
      </c>
      <c r="DD533" s="4"/>
      <c r="DE533" s="4"/>
      <c r="DF533" s="4"/>
      <c r="DG533" s="4">
        <v>20</v>
      </c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>
        <v>51</v>
      </c>
      <c r="GD533" s="4">
        <v>48</v>
      </c>
      <c r="GE533" s="4">
        <v>43</v>
      </c>
      <c r="GF533" s="4">
        <v>140</v>
      </c>
      <c r="GG533" s="4">
        <v>134</v>
      </c>
      <c r="GH533" s="4">
        <v>130</v>
      </c>
      <c r="GI533" s="4">
        <v>127</v>
      </c>
      <c r="GJ533" s="4">
        <v>125</v>
      </c>
      <c r="GK533" s="4">
        <v>123</v>
      </c>
      <c r="GL533" s="4">
        <v>120</v>
      </c>
      <c r="GM533" s="4">
        <v>118</v>
      </c>
      <c r="GN533" s="4">
        <v>115</v>
      </c>
      <c r="GO533" s="4">
        <v>113</v>
      </c>
      <c r="GP533" s="4">
        <v>111</v>
      </c>
      <c r="GQ533" s="4">
        <v>109</v>
      </c>
      <c r="GR533" s="4">
        <v>107</v>
      </c>
      <c r="GS533" s="4">
        <v>105</v>
      </c>
      <c r="GT533" s="4">
        <v>102</v>
      </c>
      <c r="GU533" s="4">
        <v>100</v>
      </c>
      <c r="GV533" s="4">
        <v>97</v>
      </c>
      <c r="GW533" s="4">
        <v>94</v>
      </c>
      <c r="GX533" s="4">
        <v>91</v>
      </c>
      <c r="GY533" s="4">
        <v>88</v>
      </c>
      <c r="GZ533" s="4">
        <v>85</v>
      </c>
      <c r="HA533" s="4">
        <v>82</v>
      </c>
      <c r="HB533" s="4">
        <v>79</v>
      </c>
      <c r="HC533" s="19">
        <v>6.4</v>
      </c>
      <c r="HD533" s="19">
        <v>6</v>
      </c>
      <c r="HE533" s="19">
        <v>5.4</v>
      </c>
      <c r="HF533" s="19">
        <v>15</v>
      </c>
      <c r="HG533" s="19">
        <v>19</v>
      </c>
      <c r="HH533" s="19">
        <v>27.5</v>
      </c>
      <c r="HI533" s="19">
        <v>26.8</v>
      </c>
      <c r="HJ533" s="19">
        <v>26.3</v>
      </c>
      <c r="HK533" s="19">
        <v>25.8</v>
      </c>
      <c r="HL533" s="19">
        <v>25</v>
      </c>
      <c r="HM533" s="19">
        <v>24.5</v>
      </c>
      <c r="HN533" s="19">
        <v>23.8</v>
      </c>
      <c r="HO533" s="19">
        <v>23.3</v>
      </c>
      <c r="HP533" s="19">
        <v>22.8</v>
      </c>
      <c r="HQ533" s="19">
        <v>22.3</v>
      </c>
      <c r="HR533" s="19">
        <v>21.8</v>
      </c>
      <c r="HS533" s="19">
        <v>14.2</v>
      </c>
      <c r="HT533" s="19">
        <v>13.7</v>
      </c>
      <c r="HU533" s="19">
        <v>13.4</v>
      </c>
      <c r="HV533" s="19">
        <v>12.9</v>
      </c>
      <c r="HW533" s="19">
        <v>12.4</v>
      </c>
      <c r="HX533" s="19">
        <v>11.9</v>
      </c>
      <c r="HY533" s="19">
        <v>11.4</v>
      </c>
      <c r="HZ533" s="19">
        <v>10.9</v>
      </c>
      <c r="IA533" s="19">
        <v>10.4</v>
      </c>
      <c r="IB533" s="19">
        <v>9.9</v>
      </c>
    </row>
    <row r="534">
      <c r="A534" s="2" t="s">
        <v>3113</v>
      </c>
      <c r="B534" s="2" t="s">
        <v>811</v>
      </c>
      <c r="C534" s="2" t="s">
        <v>762</v>
      </c>
      <c r="D534" s="2" t="s">
        <v>813</v>
      </c>
      <c r="E534" s="2" t="s">
        <v>814</v>
      </c>
      <c r="F534" s="2" t="s">
        <v>3114</v>
      </c>
      <c r="G534" s="2" t="s">
        <v>3114</v>
      </c>
      <c r="H534" s="2" t="s">
        <v>3114</v>
      </c>
      <c r="I534" s="2" t="s">
        <v>3115</v>
      </c>
      <c r="J534" s="2" t="s">
        <v>741</v>
      </c>
      <c r="K534" s="2" t="s">
        <v>3116</v>
      </c>
      <c r="L534" s="3">
        <v>43.2</v>
      </c>
      <c r="M534" s="3">
        <v>45.36</v>
      </c>
      <c r="N534" s="3">
        <v>99.99</v>
      </c>
      <c r="O534" s="2" t="s">
        <v>230</v>
      </c>
      <c r="P534" s="2" t="s">
        <v>597</v>
      </c>
      <c r="Q534" s="2" t="s">
        <v>232</v>
      </c>
      <c r="R534" s="2" t="s">
        <v>233</v>
      </c>
      <c r="S534" s="2" t="s">
        <v>233</v>
      </c>
      <c r="T534" s="2" t="s">
        <v>233</v>
      </c>
      <c r="U534" s="2" t="s">
        <v>329</v>
      </c>
      <c r="V534" s="2" t="s">
        <v>609</v>
      </c>
      <c r="W534" s="2" t="s">
        <v>712</v>
      </c>
      <c r="X534" s="2" t="s">
        <v>233</v>
      </c>
      <c r="Y534" s="2" t="s">
        <v>3117</v>
      </c>
      <c r="Z534" s="4">
        <v>156</v>
      </c>
      <c r="AA534" s="4">
        <f>=ROUNDDOWN(17.9310344827586,0)</f>
      </c>
      <c r="AB534" s="5">
        <v>8.7</v>
      </c>
      <c r="AC534" s="2" t="s">
        <v>233</v>
      </c>
      <c r="AD534" s="4"/>
      <c r="AE534" s="4"/>
      <c r="AF534" s="6">
        <v>63</v>
      </c>
      <c r="AG534" s="6"/>
      <c r="AH534" s="7">
        <v>1</v>
      </c>
      <c r="AI534" s="4"/>
      <c r="AJ534" s="4">
        <f>=ROUNDDOWN({0},0)</f>
      </c>
      <c r="AK534" s="5"/>
      <c r="AL534" s="2" t="s">
        <v>233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/>
      <c r="BD534" s="8"/>
      <c r="BE534" s="4"/>
      <c r="BF534" s="8"/>
      <c r="BG534" s="7"/>
      <c r="BH534" s="7"/>
      <c r="BI534" s="7"/>
      <c r="BJ534" s="4">
        <v>40</v>
      </c>
      <c r="BK534" s="8">
        <v>2243.43</v>
      </c>
      <c r="BL534" s="2" t="s">
        <v>3118</v>
      </c>
      <c r="BM534" s="7"/>
      <c r="BN534" s="7"/>
      <c r="BO534" s="4"/>
      <c r="BP534" s="8"/>
      <c r="BQ534" s="4"/>
      <c r="BR534" s="8"/>
      <c r="BS534" s="7"/>
      <c r="BT534" s="7"/>
      <c r="BU534" s="2" t="s">
        <v>3119</v>
      </c>
      <c r="BV534" s="2" t="s">
        <v>233</v>
      </c>
      <c r="BW534" s="2" t="s">
        <v>233</v>
      </c>
      <c r="BX534" s="2" t="s">
        <v>241</v>
      </c>
      <c r="BY534" s="2" t="s">
        <v>242</v>
      </c>
      <c r="BZ534" s="2" t="s">
        <v>230</v>
      </c>
      <c r="CA534" s="2" t="s">
        <v>3120</v>
      </c>
      <c r="CB534" s="2" t="s">
        <v>3121</v>
      </c>
      <c r="CC534" s="2" t="s">
        <v>245</v>
      </c>
      <c r="CD534" s="2" t="s">
        <v>233</v>
      </c>
      <c r="CE534" s="4"/>
      <c r="CF534" s="4">
        <v>156</v>
      </c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>
        <v>162</v>
      </c>
      <c r="GD534" s="4">
        <v>149</v>
      </c>
      <c r="GE534" s="4">
        <v>139</v>
      </c>
      <c r="GF534" s="4">
        <v>129</v>
      </c>
      <c r="GG534" s="4">
        <v>120</v>
      </c>
      <c r="GH534" s="4">
        <v>111</v>
      </c>
      <c r="GI534" s="4">
        <v>101</v>
      </c>
      <c r="GJ534" s="4">
        <v>92</v>
      </c>
      <c r="GK534" s="4">
        <v>83</v>
      </c>
      <c r="GL534" s="4">
        <v>75</v>
      </c>
      <c r="GM534" s="4">
        <v>67</v>
      </c>
      <c r="GN534" s="4">
        <v>58</v>
      </c>
      <c r="GO534" s="4">
        <v>49</v>
      </c>
      <c r="GP534" s="4">
        <v>40</v>
      </c>
      <c r="GQ534" s="4">
        <v>31</v>
      </c>
      <c r="GR534" s="4">
        <v>22</v>
      </c>
      <c r="GS534" s="4">
        <v>13</v>
      </c>
      <c r="GT534" s="4">
        <v>117</v>
      </c>
      <c r="GU534" s="4">
        <v>108</v>
      </c>
      <c r="GV534" s="4">
        <v>99</v>
      </c>
      <c r="GW534" s="4">
        <v>90</v>
      </c>
      <c r="GX534" s="4">
        <v>81</v>
      </c>
      <c r="GY534" s="4">
        <v>72</v>
      </c>
      <c r="GZ534" s="4">
        <v>63</v>
      </c>
      <c r="HA534" s="4">
        <v>54</v>
      </c>
      <c r="HB534" s="4">
        <v>87</v>
      </c>
      <c r="HC534" s="19">
        <v>16.2</v>
      </c>
      <c r="HD534" s="19">
        <v>14.9</v>
      </c>
      <c r="HE534" s="19">
        <v>13.9</v>
      </c>
      <c r="HF534" s="19">
        <v>14.3</v>
      </c>
      <c r="HG534" s="19">
        <v>13.3</v>
      </c>
      <c r="HH534" s="19">
        <v>12.3</v>
      </c>
      <c r="HI534" s="19">
        <v>12.6</v>
      </c>
      <c r="HJ534" s="19">
        <v>11.5</v>
      </c>
      <c r="HK534" s="19">
        <v>10.4</v>
      </c>
      <c r="HL534" s="19">
        <v>8.3</v>
      </c>
      <c r="HM534" s="19">
        <v>7.4</v>
      </c>
      <c r="HN534" s="19">
        <v>6.4</v>
      </c>
      <c r="HO534" s="19">
        <v>5.4</v>
      </c>
      <c r="HP534" s="19">
        <v>4</v>
      </c>
      <c r="HQ534" s="19">
        <v>3.1</v>
      </c>
      <c r="HR534" s="19">
        <v>2.2</v>
      </c>
      <c r="HS534" s="19">
        <v>1.3</v>
      </c>
      <c r="HT534" s="19">
        <v>13</v>
      </c>
      <c r="HU534" s="19">
        <v>12</v>
      </c>
      <c r="HV534" s="19">
        <v>11</v>
      </c>
      <c r="HW534" s="19">
        <v>10</v>
      </c>
      <c r="HX534" s="19">
        <v>9</v>
      </c>
      <c r="HY534" s="19">
        <v>8</v>
      </c>
      <c r="HZ534" s="19">
        <v>7</v>
      </c>
      <c r="IA534" s="19">
        <v>6</v>
      </c>
      <c r="IB534" s="19">
        <v>9.7</v>
      </c>
    </row>
    <row r="535">
      <c r="A535" s="2" t="s">
        <v>3122</v>
      </c>
      <c r="B535" s="2" t="s">
        <v>222</v>
      </c>
      <c r="C535" s="2" t="s">
        <v>2381</v>
      </c>
      <c r="D535" s="2" t="s">
        <v>1442</v>
      </c>
      <c r="E535" s="2" t="s">
        <v>2089</v>
      </c>
      <c r="F535" s="2" t="s">
        <v>3123</v>
      </c>
      <c r="G535" s="2" t="s">
        <v>3123</v>
      </c>
      <c r="H535" s="2" t="s">
        <v>3123</v>
      </c>
      <c r="I535" s="2" t="s">
        <v>3124</v>
      </c>
      <c r="J535" s="2" t="s">
        <v>3125</v>
      </c>
      <c r="K535" s="2" t="s">
        <v>300</v>
      </c>
      <c r="L535" s="3">
        <v>25.14</v>
      </c>
      <c r="M535" s="3">
        <v>26.4</v>
      </c>
      <c r="N535" s="3">
        <v>54.99</v>
      </c>
      <c r="O535" s="2" t="s">
        <v>230</v>
      </c>
      <c r="P535" s="2" t="s">
        <v>586</v>
      </c>
      <c r="Q535" s="2" t="s">
        <v>232</v>
      </c>
      <c r="R535" s="2" t="s">
        <v>233</v>
      </c>
      <c r="S535" s="2" t="s">
        <v>3126</v>
      </c>
      <c r="T535" s="2" t="s">
        <v>233</v>
      </c>
      <c r="U535" s="2" t="s">
        <v>233</v>
      </c>
      <c r="V535" s="2" t="s">
        <v>236</v>
      </c>
      <c r="W535" s="2" t="s">
        <v>237</v>
      </c>
      <c r="X535" s="2" t="s">
        <v>233</v>
      </c>
      <c r="Y535" s="2" t="s">
        <v>3127</v>
      </c>
      <c r="Z535" s="4">
        <v>726</v>
      </c>
      <c r="AA535" s="4">
        <f>=ROUNDDOWN(66,0)</f>
      </c>
      <c r="AB535" s="5">
        <v>11</v>
      </c>
      <c r="AC535" s="2" t="s">
        <v>233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233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 t="s">
        <v>233</v>
      </c>
      <c r="BD535" s="8" t="s">
        <v>233</v>
      </c>
      <c r="BE535" s="4" t="s">
        <v>233</v>
      </c>
      <c r="BF535" s="8" t="s">
        <v>233</v>
      </c>
      <c r="BG535" s="7" t="s">
        <v>233</v>
      </c>
      <c r="BH535" s="7" t="s">
        <v>233</v>
      </c>
      <c r="BI535" s="7"/>
      <c r="BJ535" s="4">
        <v>23</v>
      </c>
      <c r="BK535" s="8">
        <v>708.77</v>
      </c>
      <c r="BL535" s="2" t="s">
        <v>3128</v>
      </c>
      <c r="BM535" s="7"/>
      <c r="BN535" s="7"/>
      <c r="BO535" s="4"/>
      <c r="BP535" s="8"/>
      <c r="BQ535" s="4"/>
      <c r="BR535" s="8"/>
      <c r="BS535" s="7"/>
      <c r="BT535" s="7"/>
      <c r="BU535" s="2" t="s">
        <v>3129</v>
      </c>
      <c r="BV535" s="2" t="s">
        <v>233</v>
      </c>
      <c r="BW535" s="2" t="s">
        <v>233</v>
      </c>
      <c r="BX535" s="2" t="s">
        <v>241</v>
      </c>
      <c r="BY535" s="2" t="s">
        <v>242</v>
      </c>
      <c r="BZ535" s="2" t="s">
        <v>230</v>
      </c>
      <c r="CA535" s="2" t="s">
        <v>844</v>
      </c>
      <c r="CB535" s="2" t="s">
        <v>1473</v>
      </c>
      <c r="CC535" s="2" t="s">
        <v>245</v>
      </c>
      <c r="CD535" s="2" t="s">
        <v>233</v>
      </c>
      <c r="CE535" s="4">
        <v>726</v>
      </c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>
        <v>726</v>
      </c>
      <c r="GD535" s="4">
        <v>494</v>
      </c>
      <c r="GE535" s="4">
        <v>432</v>
      </c>
      <c r="GF535" s="4">
        <v>392</v>
      </c>
      <c r="GG535" s="4">
        <v>346</v>
      </c>
      <c r="GH535" s="4">
        <v>312</v>
      </c>
      <c r="GI535" s="4">
        <v>268</v>
      </c>
      <c r="GJ535" s="4">
        <v>228</v>
      </c>
      <c r="GK535" s="4">
        <v>208</v>
      </c>
      <c r="GL535" s="4">
        <v>163</v>
      </c>
      <c r="GM535" s="4">
        <v>141</v>
      </c>
      <c r="GN535" s="4">
        <v>133</v>
      </c>
      <c r="GO535" s="4">
        <v>124</v>
      </c>
      <c r="GP535" s="4">
        <v>115</v>
      </c>
      <c r="GQ535" s="4">
        <v>110</v>
      </c>
      <c r="GR535" s="4">
        <v>106</v>
      </c>
      <c r="GS535" s="4">
        <v>102</v>
      </c>
      <c r="GT535" s="4">
        <v>98</v>
      </c>
      <c r="GU535" s="4">
        <v>94</v>
      </c>
      <c r="GV535" s="4">
        <v>90</v>
      </c>
      <c r="GW535" s="4">
        <v>86</v>
      </c>
      <c r="GX535" s="4">
        <v>82</v>
      </c>
      <c r="GY535" s="4">
        <v>78</v>
      </c>
      <c r="GZ535" s="4">
        <v>74</v>
      </c>
      <c r="HA535" s="4">
        <v>70</v>
      </c>
      <c r="HB535" s="4">
        <v>66</v>
      </c>
      <c r="HC535" s="19">
        <v>7.6</v>
      </c>
      <c r="HD535" s="19">
        <v>10.7</v>
      </c>
      <c r="HE535" s="19">
        <v>10.5</v>
      </c>
      <c r="HF535" s="19">
        <v>9.6</v>
      </c>
      <c r="HG535" s="19">
        <v>10.2</v>
      </c>
      <c r="HH535" s="19">
        <v>8.4</v>
      </c>
      <c r="HI535" s="19">
        <v>8.4</v>
      </c>
      <c r="HJ535" s="19">
        <v>9.5</v>
      </c>
      <c r="HK535" s="19">
        <v>9.9</v>
      </c>
      <c r="HL535" s="19">
        <v>13.6</v>
      </c>
      <c r="HM535" s="19">
        <v>17.6</v>
      </c>
      <c r="HN535" s="19">
        <v>19</v>
      </c>
      <c r="HO535" s="19">
        <v>20.7</v>
      </c>
      <c r="HP535" s="19">
        <v>28.8</v>
      </c>
      <c r="HQ535" s="19">
        <v>27.5</v>
      </c>
      <c r="HR535" s="19">
        <v>26.5</v>
      </c>
      <c r="HS535" s="19">
        <v>25.5</v>
      </c>
      <c r="HT535" s="19">
        <v>24.5</v>
      </c>
      <c r="HU535" s="19">
        <v>23.5</v>
      </c>
      <c r="HV535" s="19">
        <v>22.5</v>
      </c>
      <c r="HW535" s="19">
        <v>21.5</v>
      </c>
      <c r="HX535" s="19">
        <v>20.5</v>
      </c>
      <c r="HY535" s="19">
        <v>19.5</v>
      </c>
      <c r="HZ535" s="19">
        <v>18.5</v>
      </c>
      <c r="IA535" s="19">
        <v>17.5</v>
      </c>
      <c r="IB535" s="19">
        <v>16.5</v>
      </c>
    </row>
    <row r="536">
      <c r="A536" s="2" t="s">
        <v>3130</v>
      </c>
      <c r="B536" s="2" t="s">
        <v>222</v>
      </c>
      <c r="C536" s="2" t="s">
        <v>2381</v>
      </c>
      <c r="D536" s="2" t="s">
        <v>1442</v>
      </c>
      <c r="E536" s="2" t="s">
        <v>2089</v>
      </c>
      <c r="F536" s="2" t="s">
        <v>3123</v>
      </c>
      <c r="G536" s="2" t="s">
        <v>3123</v>
      </c>
      <c r="H536" s="2" t="s">
        <v>3123</v>
      </c>
      <c r="I536" s="2" t="s">
        <v>3124</v>
      </c>
      <c r="J536" s="2" t="s">
        <v>3125</v>
      </c>
      <c r="K536" s="2" t="s">
        <v>1121</v>
      </c>
      <c r="L536" s="3">
        <v>25.14</v>
      </c>
      <c r="M536" s="3">
        <v>26.4</v>
      </c>
      <c r="N536" s="3">
        <v>54.99</v>
      </c>
      <c r="O536" s="2" t="s">
        <v>230</v>
      </c>
      <c r="P536" s="2" t="s">
        <v>231</v>
      </c>
      <c r="Q536" s="2" t="s">
        <v>232</v>
      </c>
      <c r="R536" s="2" t="s">
        <v>233</v>
      </c>
      <c r="S536" s="2" t="s">
        <v>3131</v>
      </c>
      <c r="T536" s="2" t="s">
        <v>233</v>
      </c>
      <c r="U536" s="2" t="s">
        <v>233</v>
      </c>
      <c r="V536" s="2" t="s">
        <v>236</v>
      </c>
      <c r="W536" s="2" t="s">
        <v>237</v>
      </c>
      <c r="X536" s="2" t="s">
        <v>233</v>
      </c>
      <c r="Y536" s="2" t="s">
        <v>3127</v>
      </c>
      <c r="Z536" s="4">
        <v>757</v>
      </c>
      <c r="AA536" s="4">
        <f>=ROUNDDOWN(126.166666666667,0)</f>
      </c>
      <c r="AB536" s="5">
        <v>6</v>
      </c>
      <c r="AC536" s="2" t="s">
        <v>233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233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 t="s">
        <v>233</v>
      </c>
      <c r="BD536" s="8" t="s">
        <v>233</v>
      </c>
      <c r="BE536" s="4" t="s">
        <v>233</v>
      </c>
      <c r="BF536" s="8" t="s">
        <v>233</v>
      </c>
      <c r="BG536" s="7" t="s">
        <v>233</v>
      </c>
      <c r="BH536" s="7" t="s">
        <v>233</v>
      </c>
      <c r="BI536" s="7"/>
      <c r="BJ536" s="4">
        <v>6</v>
      </c>
      <c r="BK536" s="8">
        <v>170.67</v>
      </c>
      <c r="BL536" s="2" t="s">
        <v>3132</v>
      </c>
      <c r="BM536" s="7"/>
      <c r="BN536" s="7"/>
      <c r="BO536" s="4"/>
      <c r="BP536" s="8"/>
      <c r="BQ536" s="4"/>
      <c r="BR536" s="8"/>
      <c r="BS536" s="7"/>
      <c r="BT536" s="7"/>
      <c r="BU536" s="2" t="s">
        <v>3129</v>
      </c>
      <c r="BV536" s="2" t="s">
        <v>233</v>
      </c>
      <c r="BW536" s="2" t="s">
        <v>233</v>
      </c>
      <c r="BX536" s="2" t="s">
        <v>241</v>
      </c>
      <c r="BY536" s="2" t="s">
        <v>242</v>
      </c>
      <c r="BZ536" s="2" t="s">
        <v>230</v>
      </c>
      <c r="CA536" s="2" t="s">
        <v>844</v>
      </c>
      <c r="CB536" s="2" t="s">
        <v>3133</v>
      </c>
      <c r="CC536" s="2" t="s">
        <v>245</v>
      </c>
      <c r="CD536" s="2" t="s">
        <v>233</v>
      </c>
      <c r="CE536" s="4">
        <v>757</v>
      </c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>
        <v>757</v>
      </c>
      <c r="GD536" s="4">
        <v>677</v>
      </c>
      <c r="GE536" s="4">
        <v>651</v>
      </c>
      <c r="GF536" s="4">
        <v>630</v>
      </c>
      <c r="GG536" s="4">
        <v>596</v>
      </c>
      <c r="GH536" s="4">
        <v>572</v>
      </c>
      <c r="GI536" s="4">
        <v>540</v>
      </c>
      <c r="GJ536" s="4">
        <v>513</v>
      </c>
      <c r="GK536" s="4">
        <v>499</v>
      </c>
      <c r="GL536" s="4">
        <v>465</v>
      </c>
      <c r="GM536" s="4">
        <v>449</v>
      </c>
      <c r="GN536" s="4">
        <v>444</v>
      </c>
      <c r="GO536" s="4">
        <v>438</v>
      </c>
      <c r="GP536" s="4">
        <v>432</v>
      </c>
      <c r="GQ536" s="4">
        <v>428</v>
      </c>
      <c r="GR536" s="4">
        <v>425</v>
      </c>
      <c r="GS536" s="4">
        <v>422</v>
      </c>
      <c r="GT536" s="4">
        <v>419</v>
      </c>
      <c r="GU536" s="4">
        <v>416</v>
      </c>
      <c r="GV536" s="4">
        <v>413</v>
      </c>
      <c r="GW536" s="4">
        <v>410</v>
      </c>
      <c r="GX536" s="4">
        <v>407</v>
      </c>
      <c r="GY536" s="4">
        <v>404</v>
      </c>
      <c r="GZ536" s="4">
        <v>401</v>
      </c>
      <c r="HA536" s="4">
        <v>398</v>
      </c>
      <c r="HB536" s="4">
        <v>395</v>
      </c>
      <c r="HC536" s="19">
        <v>18.9</v>
      </c>
      <c r="HD536" s="19">
        <v>26</v>
      </c>
      <c r="HE536" s="19">
        <v>23.3</v>
      </c>
      <c r="HF536" s="19">
        <v>21.7</v>
      </c>
      <c r="HG536" s="19">
        <v>24.8</v>
      </c>
      <c r="HH536" s="19">
        <v>21.2</v>
      </c>
      <c r="HI536" s="19">
        <v>23.5</v>
      </c>
      <c r="HJ536" s="19">
        <v>30.2</v>
      </c>
      <c r="HK536" s="19">
        <v>33.3</v>
      </c>
      <c r="HL536" s="19">
        <v>58.1</v>
      </c>
      <c r="HM536" s="19">
        <v>89.8</v>
      </c>
      <c r="HN536" s="19">
        <v>88.8</v>
      </c>
      <c r="HO536" s="19">
        <v>109.5</v>
      </c>
      <c r="HP536" s="19">
        <v>144</v>
      </c>
      <c r="HQ536" s="19">
        <v>142.7</v>
      </c>
      <c r="HR536" s="19">
        <v>141.7</v>
      </c>
      <c r="HS536" s="19">
        <v>140.7</v>
      </c>
      <c r="HT536" s="19">
        <v>139.7</v>
      </c>
      <c r="HU536" s="19">
        <v>138.7</v>
      </c>
      <c r="HV536" s="19">
        <v>137.7</v>
      </c>
      <c r="HW536" s="19">
        <v>136.7</v>
      </c>
      <c r="HX536" s="19">
        <v>135.7</v>
      </c>
      <c r="HY536" s="19">
        <v>134.7</v>
      </c>
      <c r="HZ536" s="19">
        <v>133.7</v>
      </c>
      <c r="IA536" s="19">
        <v>132.7</v>
      </c>
      <c r="IB536" s="19">
        <v>131.7</v>
      </c>
    </row>
    <row r="537">
      <c r="A537" s="2" t="s">
        <v>3134</v>
      </c>
      <c r="B537" s="2" t="s">
        <v>825</v>
      </c>
      <c r="C537" s="2" t="s">
        <v>1772</v>
      </c>
      <c r="D537" s="2" t="s">
        <v>774</v>
      </c>
      <c r="E537" s="2" t="s">
        <v>827</v>
      </c>
      <c r="F537" s="2" t="s">
        <v>3135</v>
      </c>
      <c r="G537" s="2" t="s">
        <v>829</v>
      </c>
      <c r="H537" s="2" t="s">
        <v>3136</v>
      </c>
      <c r="I537" s="2" t="s">
        <v>3137</v>
      </c>
      <c r="J537" s="2" t="s">
        <v>228</v>
      </c>
      <c r="K537" s="2" t="s">
        <v>1706</v>
      </c>
      <c r="L537" s="3">
        <v>43.13</v>
      </c>
      <c r="M537" s="3">
        <v>45.29</v>
      </c>
      <c r="N537" s="3">
        <v>84.99</v>
      </c>
      <c r="O537" s="2" t="s">
        <v>230</v>
      </c>
      <c r="P537" s="2" t="s">
        <v>231</v>
      </c>
      <c r="Q537" s="2" t="s">
        <v>232</v>
      </c>
      <c r="R537" s="2" t="s">
        <v>233</v>
      </c>
      <c r="S537" s="2" t="s">
        <v>3138</v>
      </c>
      <c r="T537" s="2" t="s">
        <v>348</v>
      </c>
      <c r="U537" s="2" t="s">
        <v>287</v>
      </c>
      <c r="V537" s="2" t="s">
        <v>349</v>
      </c>
      <c r="W537" s="2" t="s">
        <v>620</v>
      </c>
      <c r="X537" s="2" t="s">
        <v>1386</v>
      </c>
      <c r="Y537" s="2" t="s">
        <v>2966</v>
      </c>
      <c r="Z537" s="4">
        <v>157</v>
      </c>
      <c r="AA537" s="4">
        <f>=ROUNDDOWN(31.4,0)</f>
      </c>
      <c r="AB537" s="5">
        <v>5</v>
      </c>
      <c r="AC537" s="2" t="s">
        <v>145</v>
      </c>
      <c r="AD537" s="4">
        <v>160</v>
      </c>
      <c r="AE537" s="4">
        <v>160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233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/>
      <c r="BD537" s="8"/>
      <c r="BE537" s="4"/>
      <c r="BF537" s="8"/>
      <c r="BG537" s="7"/>
      <c r="BH537" s="7"/>
      <c r="BI537" s="7"/>
      <c r="BJ537" s="4">
        <v>8</v>
      </c>
      <c r="BK537" s="8">
        <v>394.01</v>
      </c>
      <c r="BL537" s="2" t="s">
        <v>3139</v>
      </c>
      <c r="BM537" s="7"/>
      <c r="BN537" s="7"/>
      <c r="BO537" s="4"/>
      <c r="BP537" s="8"/>
      <c r="BQ537" s="4"/>
      <c r="BR537" s="8"/>
      <c r="BS537" s="7"/>
      <c r="BT537" s="7"/>
      <c r="BU537" s="2" t="s">
        <v>3140</v>
      </c>
      <c r="BV537" s="2" t="s">
        <v>233</v>
      </c>
      <c r="BW537" s="2" t="s">
        <v>233</v>
      </c>
      <c r="BX537" s="2" t="s">
        <v>241</v>
      </c>
      <c r="BY537" s="2" t="s">
        <v>242</v>
      </c>
      <c r="BZ537" s="2" t="s">
        <v>230</v>
      </c>
      <c r="CA537" s="2" t="s">
        <v>3141</v>
      </c>
      <c r="CB537" s="2" t="s">
        <v>3142</v>
      </c>
      <c r="CC537" s="2" t="s">
        <v>245</v>
      </c>
      <c r="CD537" s="2" t="s">
        <v>233</v>
      </c>
      <c r="CE537" s="4">
        <v>157</v>
      </c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>
        <v>160</v>
      </c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>
        <v>160</v>
      </c>
      <c r="GD537" s="4">
        <v>130</v>
      </c>
      <c r="GE537" s="4">
        <v>117</v>
      </c>
      <c r="GF537" s="4">
        <v>266</v>
      </c>
      <c r="GG537" s="4">
        <v>250</v>
      </c>
      <c r="GH537" s="4">
        <v>236</v>
      </c>
      <c r="GI537" s="4">
        <v>224</v>
      </c>
      <c r="GJ537" s="4">
        <v>215</v>
      </c>
      <c r="GK537" s="4">
        <v>207</v>
      </c>
      <c r="GL537" s="4">
        <v>200</v>
      </c>
      <c r="GM537" s="4">
        <v>193</v>
      </c>
      <c r="GN537" s="4">
        <v>186</v>
      </c>
      <c r="GO537" s="4">
        <v>179</v>
      </c>
      <c r="GP537" s="4">
        <v>172</v>
      </c>
      <c r="GQ537" s="4">
        <v>167</v>
      </c>
      <c r="GR537" s="4">
        <v>162</v>
      </c>
      <c r="GS537" s="4">
        <v>157</v>
      </c>
      <c r="GT537" s="4">
        <v>152</v>
      </c>
      <c r="GU537" s="4">
        <v>147</v>
      </c>
      <c r="GV537" s="4">
        <v>142</v>
      </c>
      <c r="GW537" s="4">
        <v>137</v>
      </c>
      <c r="GX537" s="4">
        <v>132</v>
      </c>
      <c r="GY537" s="4">
        <v>127</v>
      </c>
      <c r="GZ537" s="4">
        <v>122</v>
      </c>
      <c r="HA537" s="4">
        <v>117</v>
      </c>
      <c r="HB537" s="4">
        <v>112</v>
      </c>
      <c r="HC537" s="19">
        <v>8.9</v>
      </c>
      <c r="HD537" s="19">
        <v>9.3</v>
      </c>
      <c r="HE537" s="19">
        <v>9</v>
      </c>
      <c r="HF537" s="19">
        <v>20.5</v>
      </c>
      <c r="HG537" s="19">
        <v>22.7</v>
      </c>
      <c r="HH537" s="19">
        <v>26.2</v>
      </c>
      <c r="HI537" s="19">
        <v>28</v>
      </c>
      <c r="HJ537" s="19">
        <v>30.7</v>
      </c>
      <c r="HK537" s="19">
        <v>29.6</v>
      </c>
      <c r="HL537" s="19">
        <v>28.6</v>
      </c>
      <c r="HM537" s="19">
        <v>32.2</v>
      </c>
      <c r="HN537" s="19">
        <v>31</v>
      </c>
      <c r="HO537" s="19">
        <v>29.8</v>
      </c>
      <c r="HP537" s="19">
        <v>34.4</v>
      </c>
      <c r="HQ537" s="19">
        <v>33.4</v>
      </c>
      <c r="HR537" s="19">
        <v>32.4</v>
      </c>
      <c r="HS537" s="19">
        <v>31.4</v>
      </c>
      <c r="HT537" s="19">
        <v>30.4</v>
      </c>
      <c r="HU537" s="19">
        <v>29.4</v>
      </c>
      <c r="HV537" s="19">
        <v>28.4</v>
      </c>
      <c r="HW537" s="19">
        <v>27.4</v>
      </c>
      <c r="HX537" s="19">
        <v>26.4</v>
      </c>
      <c r="HY537" s="19">
        <v>25.4</v>
      </c>
      <c r="HZ537" s="19">
        <v>24.4</v>
      </c>
      <c r="IA537" s="19">
        <v>23.4</v>
      </c>
      <c r="IB537" s="19">
        <v>22.4</v>
      </c>
    </row>
    <row r="538">
      <c r="A538" s="2" t="s">
        <v>3143</v>
      </c>
      <c r="B538" s="2" t="s">
        <v>872</v>
      </c>
      <c r="C538" s="2" t="s">
        <v>2050</v>
      </c>
      <c r="D538" s="2" t="s">
        <v>261</v>
      </c>
      <c r="E538" s="2" t="s">
        <v>603</v>
      </c>
      <c r="F538" s="2" t="s">
        <v>3144</v>
      </c>
      <c r="G538" s="2" t="s">
        <v>3144</v>
      </c>
      <c r="H538" s="2" t="s">
        <v>3144</v>
      </c>
      <c r="I538" s="2" t="s">
        <v>3145</v>
      </c>
      <c r="J538" s="2" t="s">
        <v>252</v>
      </c>
      <c r="K538" s="2" t="s">
        <v>300</v>
      </c>
      <c r="L538" s="3">
        <v>93.31</v>
      </c>
      <c r="M538" s="3">
        <v>97.98</v>
      </c>
      <c r="N538" s="3">
        <v>204.99</v>
      </c>
      <c r="O538" s="2" t="s">
        <v>230</v>
      </c>
      <c r="P538" s="2" t="s">
        <v>586</v>
      </c>
      <c r="Q538" s="2" t="s">
        <v>232</v>
      </c>
      <c r="R538" s="2" t="s">
        <v>233</v>
      </c>
      <c r="S538" s="2" t="s">
        <v>3146</v>
      </c>
      <c r="T538" s="2" t="s">
        <v>233</v>
      </c>
      <c r="U538" s="2" t="s">
        <v>665</v>
      </c>
      <c r="V538" s="2" t="s">
        <v>1251</v>
      </c>
      <c r="W538" s="2" t="s">
        <v>818</v>
      </c>
      <c r="X538" s="2" t="s">
        <v>916</v>
      </c>
      <c r="Y538" s="2" t="s">
        <v>3147</v>
      </c>
      <c r="Z538" s="4">
        <v>113</v>
      </c>
      <c r="AA538" s="4">
        <f>=ROUNDDOWN(113,0)</f>
      </c>
      <c r="AB538" s="5">
        <v>1</v>
      </c>
      <c r="AC538" s="2" t="s">
        <v>149</v>
      </c>
      <c r="AD538" s="4">
        <v>45</v>
      </c>
      <c r="AE538" s="4">
        <v>45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233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/>
      <c r="BD538" s="8"/>
      <c r="BE538" s="4"/>
      <c r="BF538" s="8"/>
      <c r="BG538" s="7"/>
      <c r="BH538" s="7"/>
      <c r="BI538" s="7"/>
      <c r="BJ538" s="4">
        <v>1</v>
      </c>
      <c r="BK538" s="8">
        <v>102.87</v>
      </c>
      <c r="BL538" s="2" t="s">
        <v>3148</v>
      </c>
      <c r="BM538" s="7"/>
      <c r="BN538" s="7"/>
      <c r="BO538" s="4"/>
      <c r="BP538" s="8"/>
      <c r="BQ538" s="4"/>
      <c r="BR538" s="8"/>
      <c r="BS538" s="7"/>
      <c r="BT538" s="7"/>
      <c r="BU538" s="2" t="s">
        <v>3149</v>
      </c>
      <c r="BV538" s="2" t="s">
        <v>233</v>
      </c>
      <c r="BW538" s="2" t="s">
        <v>233</v>
      </c>
      <c r="BX538" s="2" t="s">
        <v>241</v>
      </c>
      <c r="BY538" s="2" t="s">
        <v>242</v>
      </c>
      <c r="BZ538" s="2" t="s">
        <v>230</v>
      </c>
      <c r="CA538" s="2" t="s">
        <v>2007</v>
      </c>
      <c r="CB538" s="2" t="s">
        <v>3150</v>
      </c>
      <c r="CC538" s="2" t="s">
        <v>245</v>
      </c>
      <c r="CD538" s="2" t="s">
        <v>233</v>
      </c>
      <c r="CE538" s="4">
        <v>113</v>
      </c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>
        <v>45</v>
      </c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>
        <v>117</v>
      </c>
      <c r="GD538" s="4">
        <v>112</v>
      </c>
      <c r="GE538" s="4">
        <v>110</v>
      </c>
      <c r="GF538" s="4">
        <v>109</v>
      </c>
      <c r="GG538" s="4">
        <v>151</v>
      </c>
      <c r="GH538" s="4">
        <v>150</v>
      </c>
      <c r="GI538" s="4">
        <v>149</v>
      </c>
      <c r="GJ538" s="4">
        <v>148</v>
      </c>
      <c r="GK538" s="4">
        <v>147</v>
      </c>
      <c r="GL538" s="4">
        <v>146</v>
      </c>
      <c r="GM538" s="4">
        <v>145</v>
      </c>
      <c r="GN538" s="4">
        <v>144</v>
      </c>
      <c r="GO538" s="4">
        <v>143</v>
      </c>
      <c r="GP538" s="4">
        <v>142</v>
      </c>
      <c r="GQ538" s="4">
        <v>141</v>
      </c>
      <c r="GR538" s="4">
        <v>140</v>
      </c>
      <c r="GS538" s="4">
        <v>139</v>
      </c>
      <c r="GT538" s="4">
        <v>138</v>
      </c>
      <c r="GU538" s="4">
        <v>137</v>
      </c>
      <c r="GV538" s="4">
        <v>136</v>
      </c>
      <c r="GW538" s="4">
        <v>135</v>
      </c>
      <c r="GX538" s="4">
        <v>134</v>
      </c>
      <c r="GY538" s="4">
        <v>133</v>
      </c>
      <c r="GZ538" s="4">
        <v>132</v>
      </c>
      <c r="HA538" s="4">
        <v>131</v>
      </c>
      <c r="HB538" s="4">
        <v>130</v>
      </c>
      <c r="HC538" s="19">
        <v>39</v>
      </c>
      <c r="HD538" s="19">
        <v>56</v>
      </c>
      <c r="HE538" s="19">
        <v>55</v>
      </c>
      <c r="HF538" s="19">
        <v>54.5</v>
      </c>
      <c r="HG538" s="19">
        <v>151</v>
      </c>
      <c r="HH538" s="19">
        <v>150</v>
      </c>
      <c r="HI538" s="19">
        <v>149</v>
      </c>
      <c r="HJ538" s="19">
        <v>148</v>
      </c>
      <c r="HK538" s="19">
        <v>147</v>
      </c>
      <c r="HL538" s="19">
        <v>146</v>
      </c>
      <c r="HM538" s="19">
        <v>145</v>
      </c>
      <c r="HN538" s="19">
        <v>144</v>
      </c>
      <c r="HO538" s="19">
        <v>143</v>
      </c>
      <c r="HP538" s="19">
        <v>142</v>
      </c>
      <c r="HQ538" s="19">
        <v>141</v>
      </c>
      <c r="HR538" s="19">
        <v>140</v>
      </c>
      <c r="HS538" s="19">
        <v>139</v>
      </c>
      <c r="HT538" s="19">
        <v>138</v>
      </c>
      <c r="HU538" s="19">
        <v>137</v>
      </c>
      <c r="HV538" s="19">
        <v>136</v>
      </c>
      <c r="HW538" s="19">
        <v>135</v>
      </c>
      <c r="HX538" s="19">
        <v>134</v>
      </c>
      <c r="HY538" s="19">
        <v>133</v>
      </c>
      <c r="HZ538" s="19">
        <v>132</v>
      </c>
      <c r="IA538" s="19">
        <v>131</v>
      </c>
      <c r="IB538" s="19">
        <v>130</v>
      </c>
    </row>
    <row r="539">
      <c r="A539" s="2" t="s">
        <v>3151</v>
      </c>
      <c r="B539" s="2" t="s">
        <v>872</v>
      </c>
      <c r="C539" s="2" t="s">
        <v>1981</v>
      </c>
      <c r="D539" s="2" t="s">
        <v>774</v>
      </c>
      <c r="E539" s="2" t="s">
        <v>827</v>
      </c>
      <c r="F539" s="2" t="s">
        <v>3152</v>
      </c>
      <c r="G539" s="2" t="s">
        <v>3152</v>
      </c>
      <c r="H539" s="2" t="s">
        <v>3152</v>
      </c>
      <c r="I539" s="2" t="s">
        <v>3153</v>
      </c>
      <c r="J539" s="2" t="s">
        <v>265</v>
      </c>
      <c r="K539" s="2" t="s">
        <v>300</v>
      </c>
      <c r="L539" s="3">
        <v>75.2</v>
      </c>
      <c r="M539" s="3">
        <v>78.96</v>
      </c>
      <c r="N539" s="3">
        <v>159.99</v>
      </c>
      <c r="O539" s="2" t="s">
        <v>230</v>
      </c>
      <c r="P539" s="2" t="s">
        <v>597</v>
      </c>
      <c r="Q539" s="2" t="s">
        <v>232</v>
      </c>
      <c r="R539" s="2" t="s">
        <v>233</v>
      </c>
      <c r="S539" s="2" t="s">
        <v>3154</v>
      </c>
      <c r="T539" s="2" t="s">
        <v>348</v>
      </c>
      <c r="U539" s="2" t="s">
        <v>781</v>
      </c>
      <c r="V539" s="2" t="s">
        <v>236</v>
      </c>
      <c r="W539" s="2" t="s">
        <v>712</v>
      </c>
      <c r="X539" s="2" t="s">
        <v>620</v>
      </c>
      <c r="Y539" s="2" t="s">
        <v>3155</v>
      </c>
      <c r="Z539" s="4">
        <v>42</v>
      </c>
      <c r="AA539" s="4">
        <f>=ROUNDDOWN(21,0)</f>
      </c>
      <c r="AB539" s="5">
        <v>2</v>
      </c>
      <c r="AC539" s="2" t="s">
        <v>233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233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 t="s">
        <v>233</v>
      </c>
      <c r="BD539" s="8" t="s">
        <v>233</v>
      </c>
      <c r="BE539" s="4" t="s">
        <v>233</v>
      </c>
      <c r="BF539" s="8" t="s">
        <v>233</v>
      </c>
      <c r="BG539" s="7" t="s">
        <v>233</v>
      </c>
      <c r="BH539" s="7" t="s">
        <v>233</v>
      </c>
      <c r="BI539" s="7"/>
      <c r="BJ539" s="4">
        <v>7</v>
      </c>
      <c r="BK539" s="8">
        <v>524.73</v>
      </c>
      <c r="BL539" s="2" t="s">
        <v>3156</v>
      </c>
      <c r="BM539" s="7"/>
      <c r="BN539" s="7"/>
      <c r="BO539" s="4"/>
      <c r="BP539" s="8"/>
      <c r="BQ539" s="4"/>
      <c r="BR539" s="8"/>
      <c r="BS539" s="7"/>
      <c r="BT539" s="7"/>
      <c r="BU539" s="2" t="s">
        <v>3157</v>
      </c>
      <c r="BV539" s="2" t="s">
        <v>233</v>
      </c>
      <c r="BW539" s="2" t="s">
        <v>233</v>
      </c>
      <c r="BX539" s="2" t="s">
        <v>241</v>
      </c>
      <c r="BY539" s="2" t="s">
        <v>242</v>
      </c>
      <c r="BZ539" s="2" t="s">
        <v>230</v>
      </c>
      <c r="CA539" s="2" t="s">
        <v>3158</v>
      </c>
      <c r="CB539" s="2" t="s">
        <v>3159</v>
      </c>
      <c r="CC539" s="2" t="s">
        <v>245</v>
      </c>
      <c r="CD539" s="2" t="s">
        <v>233</v>
      </c>
      <c r="CE539" s="4">
        <v>42</v>
      </c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>
        <v>43</v>
      </c>
      <c r="GD539" s="4">
        <v>40</v>
      </c>
      <c r="GE539" s="4">
        <v>37</v>
      </c>
      <c r="GF539" s="4">
        <v>34</v>
      </c>
      <c r="GG539" s="4">
        <v>28</v>
      </c>
      <c r="GH539" s="4">
        <v>25</v>
      </c>
      <c r="GI539" s="4">
        <v>23</v>
      </c>
      <c r="GJ539" s="4">
        <v>21</v>
      </c>
      <c r="GK539" s="4">
        <v>20</v>
      </c>
      <c r="GL539" s="4">
        <v>18</v>
      </c>
      <c r="GM539" s="4">
        <v>16</v>
      </c>
      <c r="GN539" s="4">
        <v>14</v>
      </c>
      <c r="GO539" s="4">
        <v>12</v>
      </c>
      <c r="GP539" s="4">
        <v>10</v>
      </c>
      <c r="GQ539" s="4">
        <v>8</v>
      </c>
      <c r="GR539" s="4">
        <v>6</v>
      </c>
      <c r="GS539" s="4">
        <v>4</v>
      </c>
      <c r="GT539" s="4">
        <v>2</v>
      </c>
      <c r="GU539" s="4"/>
      <c r="GV539" s="4">
        <v>55</v>
      </c>
      <c r="GW539" s="4">
        <v>53</v>
      </c>
      <c r="GX539" s="4">
        <v>51</v>
      </c>
      <c r="GY539" s="4">
        <v>49</v>
      </c>
      <c r="GZ539" s="4">
        <v>47</v>
      </c>
      <c r="HA539" s="4">
        <v>45</v>
      </c>
      <c r="HB539" s="4">
        <v>43</v>
      </c>
      <c r="HC539" s="19">
        <v>10.8</v>
      </c>
      <c r="HD539" s="19">
        <v>10</v>
      </c>
      <c r="HE539" s="19">
        <v>9.3</v>
      </c>
      <c r="HF539" s="19">
        <v>11.3</v>
      </c>
      <c r="HG539" s="19">
        <v>14</v>
      </c>
      <c r="HH539" s="19">
        <v>12.5</v>
      </c>
      <c r="HI539" s="19">
        <v>11.5</v>
      </c>
      <c r="HJ539" s="19">
        <v>10.5</v>
      </c>
      <c r="HK539" s="19">
        <v>10</v>
      </c>
      <c r="HL539" s="19">
        <v>9</v>
      </c>
      <c r="HM539" s="19">
        <v>8</v>
      </c>
      <c r="HN539" s="19">
        <v>7</v>
      </c>
      <c r="HO539" s="19">
        <v>6</v>
      </c>
      <c r="HP539" s="19">
        <v>5</v>
      </c>
      <c r="HQ539" s="19">
        <v>4</v>
      </c>
      <c r="HR539" s="19">
        <v>3</v>
      </c>
      <c r="HS539" s="19">
        <v>2</v>
      </c>
      <c r="HT539" s="19">
        <v>1</v>
      </c>
      <c r="HU539" s="20">
        <v>0</v>
      </c>
      <c r="HV539" s="19">
        <v>27.5</v>
      </c>
      <c r="HW539" s="19">
        <v>26.5</v>
      </c>
      <c r="HX539" s="19">
        <v>25.5</v>
      </c>
      <c r="HY539" s="19">
        <v>24.5</v>
      </c>
      <c r="HZ539" s="19">
        <v>23.5</v>
      </c>
      <c r="IA539" s="19">
        <v>22.5</v>
      </c>
      <c r="IB539" s="19">
        <v>21.5</v>
      </c>
    </row>
    <row r="540">
      <c r="A540" s="2" t="s">
        <v>3160</v>
      </c>
      <c r="B540" s="2" t="s">
        <v>872</v>
      </c>
      <c r="C540" s="2" t="s">
        <v>1981</v>
      </c>
      <c r="D540" s="2" t="s">
        <v>1172</v>
      </c>
      <c r="E540" s="2" t="s">
        <v>2729</v>
      </c>
      <c r="F540" s="2" t="s">
        <v>3152</v>
      </c>
      <c r="G540" s="2" t="s">
        <v>3152</v>
      </c>
      <c r="H540" s="2" t="s">
        <v>3152</v>
      </c>
      <c r="I540" s="2" t="s">
        <v>3161</v>
      </c>
      <c r="J540" s="2" t="s">
        <v>1556</v>
      </c>
      <c r="K540" s="2" t="s">
        <v>266</v>
      </c>
      <c r="L540" s="3">
        <v>18</v>
      </c>
      <c r="M540" s="3">
        <v>18.9</v>
      </c>
      <c r="N540" s="3">
        <v>44.99</v>
      </c>
      <c r="O540" s="2" t="s">
        <v>230</v>
      </c>
      <c r="P540" s="2" t="s">
        <v>597</v>
      </c>
      <c r="Q540" s="2" t="s">
        <v>232</v>
      </c>
      <c r="R540" s="2" t="s">
        <v>233</v>
      </c>
      <c r="S540" s="2" t="s">
        <v>3162</v>
      </c>
      <c r="T540" s="2" t="s">
        <v>348</v>
      </c>
      <c r="U540" s="2" t="s">
        <v>329</v>
      </c>
      <c r="V540" s="2" t="s">
        <v>236</v>
      </c>
      <c r="W540" s="2" t="s">
        <v>712</v>
      </c>
      <c r="X540" s="2" t="s">
        <v>288</v>
      </c>
      <c r="Y540" s="2" t="s">
        <v>3155</v>
      </c>
      <c r="Z540" s="4">
        <v>90</v>
      </c>
      <c r="AA540" s="4">
        <f>=ROUNDDOWN(33.3333333333333,0)</f>
      </c>
      <c r="AB540" s="5">
        <v>2.7</v>
      </c>
      <c r="AC540" s="2" t="s">
        <v>153</v>
      </c>
      <c r="AD540" s="4">
        <v>150</v>
      </c>
      <c r="AE540" s="4">
        <v>150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233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 t="s">
        <v>233</v>
      </c>
      <c r="BD540" s="8" t="s">
        <v>233</v>
      </c>
      <c r="BE540" s="4" t="s">
        <v>233</v>
      </c>
      <c r="BF540" s="8" t="s">
        <v>233</v>
      </c>
      <c r="BG540" s="7" t="s">
        <v>233</v>
      </c>
      <c r="BH540" s="7" t="s">
        <v>233</v>
      </c>
      <c r="BI540" s="7"/>
      <c r="BJ540" s="4">
        <v>7</v>
      </c>
      <c r="BK540" s="8">
        <v>175.1</v>
      </c>
      <c r="BL540" s="2" t="s">
        <v>3163</v>
      </c>
      <c r="BM540" s="7"/>
      <c r="BN540" s="7"/>
      <c r="BO540" s="4"/>
      <c r="BP540" s="8"/>
      <c r="BQ540" s="4"/>
      <c r="BR540" s="8"/>
      <c r="BS540" s="7"/>
      <c r="BT540" s="7"/>
      <c r="BU540" s="2" t="s">
        <v>3164</v>
      </c>
      <c r="BV540" s="2" t="s">
        <v>233</v>
      </c>
      <c r="BW540" s="2" t="s">
        <v>233</v>
      </c>
      <c r="BX540" s="2" t="s">
        <v>241</v>
      </c>
      <c r="BY540" s="2" t="s">
        <v>242</v>
      </c>
      <c r="BZ540" s="2" t="s">
        <v>230</v>
      </c>
      <c r="CA540" s="2" t="s">
        <v>3158</v>
      </c>
      <c r="CB540" s="2" t="s">
        <v>2991</v>
      </c>
      <c r="CC540" s="2" t="s">
        <v>245</v>
      </c>
      <c r="CD540" s="2" t="s">
        <v>233</v>
      </c>
      <c r="CE540" s="4">
        <v>43</v>
      </c>
      <c r="CF540" s="4">
        <v>47</v>
      </c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>
        <v>150</v>
      </c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>
        <v>93</v>
      </c>
      <c r="GD540" s="4">
        <v>91</v>
      </c>
      <c r="GE540" s="4">
        <v>88</v>
      </c>
      <c r="GF540" s="4">
        <v>85</v>
      </c>
      <c r="GG540" s="4">
        <v>229</v>
      </c>
      <c r="GH540" s="4">
        <v>226</v>
      </c>
      <c r="GI540" s="4">
        <v>224</v>
      </c>
      <c r="GJ540" s="4">
        <v>222</v>
      </c>
      <c r="GK540" s="4">
        <v>221</v>
      </c>
      <c r="GL540" s="4">
        <v>219</v>
      </c>
      <c r="GM540" s="4">
        <v>217</v>
      </c>
      <c r="GN540" s="4">
        <v>215</v>
      </c>
      <c r="GO540" s="4">
        <v>213</v>
      </c>
      <c r="GP540" s="4">
        <v>211</v>
      </c>
      <c r="GQ540" s="4">
        <v>209</v>
      </c>
      <c r="GR540" s="4">
        <v>207</v>
      </c>
      <c r="GS540" s="4">
        <v>205</v>
      </c>
      <c r="GT540" s="4">
        <v>203</v>
      </c>
      <c r="GU540" s="4">
        <v>201</v>
      </c>
      <c r="GV540" s="4">
        <v>199</v>
      </c>
      <c r="GW540" s="4">
        <v>197</v>
      </c>
      <c r="GX540" s="4">
        <v>195</v>
      </c>
      <c r="GY540" s="4">
        <v>193</v>
      </c>
      <c r="GZ540" s="4">
        <v>191</v>
      </c>
      <c r="HA540" s="4">
        <v>189</v>
      </c>
      <c r="HB540" s="4">
        <v>187</v>
      </c>
      <c r="HC540" s="19">
        <v>23.3</v>
      </c>
      <c r="HD540" s="19">
        <v>22.8</v>
      </c>
      <c r="HE540" s="19">
        <v>22</v>
      </c>
      <c r="HF540" s="19">
        <v>28.3</v>
      </c>
      <c r="HG540" s="19">
        <v>114.5</v>
      </c>
      <c r="HH540" s="19">
        <v>113</v>
      </c>
      <c r="HI540" s="19">
        <v>112</v>
      </c>
      <c r="HJ540" s="19">
        <v>111</v>
      </c>
      <c r="HK540" s="19">
        <v>110.5</v>
      </c>
      <c r="HL540" s="19">
        <v>109.5</v>
      </c>
      <c r="HM540" s="19">
        <v>108.5</v>
      </c>
      <c r="HN540" s="19">
        <v>107.5</v>
      </c>
      <c r="HO540" s="19">
        <v>106.5</v>
      </c>
      <c r="HP540" s="19">
        <v>105.5</v>
      </c>
      <c r="HQ540" s="19">
        <v>104.5</v>
      </c>
      <c r="HR540" s="19">
        <v>103.5</v>
      </c>
      <c r="HS540" s="19">
        <v>102.5</v>
      </c>
      <c r="HT540" s="19">
        <v>101.5</v>
      </c>
      <c r="HU540" s="19">
        <v>100.5</v>
      </c>
      <c r="HV540" s="19">
        <v>99.5</v>
      </c>
      <c r="HW540" s="19">
        <v>98.5</v>
      </c>
      <c r="HX540" s="19">
        <v>97.5</v>
      </c>
      <c r="HY540" s="19">
        <v>96.5</v>
      </c>
      <c r="HZ540" s="19">
        <v>95.5</v>
      </c>
      <c r="IA540" s="19">
        <v>94.5</v>
      </c>
      <c r="IB540" s="19">
        <v>93.5</v>
      </c>
    </row>
    <row r="541">
      <c r="A541" s="2" t="s">
        <v>3165</v>
      </c>
      <c r="B541" s="2" t="s">
        <v>761</v>
      </c>
      <c r="C541" s="2" t="s">
        <v>280</v>
      </c>
      <c r="D541" s="2" t="s">
        <v>1531</v>
      </c>
      <c r="E541" s="2" t="s">
        <v>1532</v>
      </c>
      <c r="F541" s="2" t="s">
        <v>2676</v>
      </c>
      <c r="G541" s="2" t="s">
        <v>3166</v>
      </c>
      <c r="H541" s="2" t="s">
        <v>3167</v>
      </c>
      <c r="I541" s="2" t="s">
        <v>3168</v>
      </c>
      <c r="J541" s="2" t="s">
        <v>741</v>
      </c>
      <c r="K541" s="2" t="s">
        <v>651</v>
      </c>
      <c r="L541" s="3">
        <v>204.25</v>
      </c>
      <c r="M541" s="3">
        <v>214.46</v>
      </c>
      <c r="N541" s="3">
        <v>429</v>
      </c>
      <c r="O541" s="2" t="s">
        <v>230</v>
      </c>
      <c r="P541" s="2" t="s">
        <v>231</v>
      </c>
      <c r="Q541" s="2" t="s">
        <v>232</v>
      </c>
      <c r="R541" s="2" t="s">
        <v>233</v>
      </c>
      <c r="S541" s="2" t="s">
        <v>3169</v>
      </c>
      <c r="T541" s="2" t="s">
        <v>233</v>
      </c>
      <c r="U541" s="2" t="s">
        <v>233</v>
      </c>
      <c r="V541" s="2" t="s">
        <v>236</v>
      </c>
      <c r="W541" s="2" t="s">
        <v>712</v>
      </c>
      <c r="X541" s="2" t="s">
        <v>233</v>
      </c>
      <c r="Y541" s="2" t="s">
        <v>238</v>
      </c>
      <c r="Z541" s="4">
        <v>106</v>
      </c>
      <c r="AA541" s="4">
        <f>=ROUNDDOWN(35.3333333333333,0)</f>
      </c>
      <c r="AB541" s="5">
        <v>3</v>
      </c>
      <c r="AC541" s="2" t="s">
        <v>233</v>
      </c>
      <c r="AD541" s="4"/>
      <c r="AE541" s="4"/>
      <c r="AF541" s="6">
        <v>74</v>
      </c>
      <c r="AG541" s="6"/>
      <c r="AH541" s="7">
        <v>1</v>
      </c>
      <c r="AI541" s="4"/>
      <c r="AJ541" s="4">
        <f>=ROUNDDOWN({0},0)</f>
      </c>
      <c r="AK541" s="5"/>
      <c r="AL541" s="2" t="s">
        <v>233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/>
      <c r="BD541" s="8"/>
      <c r="BE541" s="4"/>
      <c r="BF541" s="8"/>
      <c r="BG541" s="7"/>
      <c r="BH541" s="7"/>
      <c r="BI541" s="7"/>
      <c r="BJ541" s="4">
        <v>13</v>
      </c>
      <c r="BK541" s="8">
        <v>2819.73</v>
      </c>
      <c r="BL541" s="2" t="s">
        <v>3170</v>
      </c>
      <c r="BM541" s="7"/>
      <c r="BN541" s="7"/>
      <c r="BO541" s="4"/>
      <c r="BP541" s="8"/>
      <c r="BQ541" s="4"/>
      <c r="BR541" s="8"/>
      <c r="BS541" s="7"/>
      <c r="BT541" s="7"/>
      <c r="BU541" s="2" t="s">
        <v>3171</v>
      </c>
      <c r="BV541" s="2" t="s">
        <v>233</v>
      </c>
      <c r="BW541" s="2" t="s">
        <v>233</v>
      </c>
      <c r="BX541" s="2" t="s">
        <v>293</v>
      </c>
      <c r="BY541" s="2" t="s">
        <v>242</v>
      </c>
      <c r="BZ541" s="2" t="s">
        <v>230</v>
      </c>
      <c r="CA541" s="2" t="s">
        <v>243</v>
      </c>
      <c r="CB541" s="2" t="s">
        <v>3172</v>
      </c>
      <c r="CC541" s="2" t="s">
        <v>245</v>
      </c>
      <c r="CD541" s="2" t="s">
        <v>233</v>
      </c>
      <c r="CE541" s="4"/>
      <c r="CF541" s="4">
        <v>106</v>
      </c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>
        <v>108</v>
      </c>
      <c r="GD541" s="4">
        <v>104</v>
      </c>
      <c r="GE541" s="4">
        <v>100</v>
      </c>
      <c r="GF541" s="4">
        <v>96</v>
      </c>
      <c r="GG541" s="4">
        <v>90</v>
      </c>
      <c r="GH541" s="4">
        <v>86</v>
      </c>
      <c r="GI541" s="4">
        <v>83</v>
      </c>
      <c r="GJ541" s="4">
        <v>81</v>
      </c>
      <c r="GK541" s="4">
        <v>79</v>
      </c>
      <c r="GL541" s="4">
        <v>76</v>
      </c>
      <c r="GM541" s="4">
        <v>74</v>
      </c>
      <c r="GN541" s="4">
        <v>71</v>
      </c>
      <c r="GO541" s="4">
        <v>69</v>
      </c>
      <c r="GP541" s="4">
        <v>67</v>
      </c>
      <c r="GQ541" s="4">
        <v>64</v>
      </c>
      <c r="GR541" s="4">
        <v>61</v>
      </c>
      <c r="GS541" s="4">
        <v>58</v>
      </c>
      <c r="GT541" s="4">
        <v>54</v>
      </c>
      <c r="GU541" s="4">
        <v>52</v>
      </c>
      <c r="GV541" s="4">
        <v>49</v>
      </c>
      <c r="GW541" s="4">
        <v>46</v>
      </c>
      <c r="GX541" s="4">
        <v>43</v>
      </c>
      <c r="GY541" s="4">
        <v>40</v>
      </c>
      <c r="GZ541" s="4">
        <v>37</v>
      </c>
      <c r="HA541" s="4">
        <v>34</v>
      </c>
      <c r="HB541" s="4">
        <v>31</v>
      </c>
      <c r="HC541" s="19">
        <v>27</v>
      </c>
      <c r="HD541" s="19">
        <v>26</v>
      </c>
      <c r="HE541" s="19">
        <v>25</v>
      </c>
      <c r="HF541" s="19">
        <v>24</v>
      </c>
      <c r="HG541" s="19">
        <v>30</v>
      </c>
      <c r="HH541" s="19">
        <v>43</v>
      </c>
      <c r="HI541" s="19">
        <v>41.5</v>
      </c>
      <c r="HJ541" s="19">
        <v>40.5</v>
      </c>
      <c r="HK541" s="19">
        <v>39.5</v>
      </c>
      <c r="HL541" s="19">
        <v>38</v>
      </c>
      <c r="HM541" s="19">
        <v>37</v>
      </c>
      <c r="HN541" s="19">
        <v>35.5</v>
      </c>
      <c r="HO541" s="19">
        <v>23</v>
      </c>
      <c r="HP541" s="19">
        <v>22.3</v>
      </c>
      <c r="HQ541" s="19">
        <v>21.3</v>
      </c>
      <c r="HR541" s="19">
        <v>20.3</v>
      </c>
      <c r="HS541" s="19">
        <v>19.3</v>
      </c>
      <c r="HT541" s="19">
        <v>18</v>
      </c>
      <c r="HU541" s="19">
        <v>17.3</v>
      </c>
      <c r="HV541" s="19">
        <v>16.3</v>
      </c>
      <c r="HW541" s="19">
        <v>15.3</v>
      </c>
      <c r="HX541" s="19">
        <v>14.3</v>
      </c>
      <c r="HY541" s="19">
        <v>13.3</v>
      </c>
      <c r="HZ541" s="19">
        <v>12.3</v>
      </c>
      <c r="IA541" s="19">
        <v>11.3</v>
      </c>
      <c r="IB541" s="19">
        <v>10.3</v>
      </c>
    </row>
    <row r="542">
      <c r="A542" s="2" t="s">
        <v>3173</v>
      </c>
      <c r="B542" s="2" t="s">
        <v>811</v>
      </c>
      <c r="C542" s="2" t="s">
        <v>789</v>
      </c>
      <c r="D542" s="2" t="s">
        <v>813</v>
      </c>
      <c r="E542" s="2" t="s">
        <v>814</v>
      </c>
      <c r="F542" s="2" t="s">
        <v>3174</v>
      </c>
      <c r="G542" s="2" t="s">
        <v>3174</v>
      </c>
      <c r="H542" s="2" t="s">
        <v>3174</v>
      </c>
      <c r="I542" s="2" t="s">
        <v>3175</v>
      </c>
      <c r="J542" s="2" t="s">
        <v>741</v>
      </c>
      <c r="K542" s="2" t="s">
        <v>300</v>
      </c>
      <c r="L542" s="3">
        <v>67.1</v>
      </c>
      <c r="M542" s="3">
        <v>70.46</v>
      </c>
      <c r="N542" s="3">
        <v>139.99</v>
      </c>
      <c r="O542" s="2" t="s">
        <v>230</v>
      </c>
      <c r="P542" s="2" t="s">
        <v>231</v>
      </c>
      <c r="Q542" s="2" t="s">
        <v>232</v>
      </c>
      <c r="R542" s="2" t="s">
        <v>233</v>
      </c>
      <c r="S542" s="2" t="s">
        <v>233</v>
      </c>
      <c r="T542" s="2" t="s">
        <v>233</v>
      </c>
      <c r="U542" s="2" t="s">
        <v>711</v>
      </c>
      <c r="V542" s="2" t="s">
        <v>236</v>
      </c>
      <c r="W542" s="2" t="s">
        <v>237</v>
      </c>
      <c r="X542" s="2" t="s">
        <v>233</v>
      </c>
      <c r="Y542" s="2" t="s">
        <v>1219</v>
      </c>
      <c r="Z542" s="4">
        <v>159</v>
      </c>
      <c r="AA542" s="4">
        <f>=ROUNDDOWN(26.5,0)</f>
      </c>
      <c r="AB542" s="5">
        <v>6</v>
      </c>
      <c r="AC542" s="2" t="s">
        <v>474</v>
      </c>
      <c r="AD542" s="4">
        <v>100</v>
      </c>
      <c r="AE542" s="4">
        <v>100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233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/>
      <c r="BD542" s="8"/>
      <c r="BE542" s="4"/>
      <c r="BF542" s="8"/>
      <c r="BG542" s="7"/>
      <c r="BH542" s="7"/>
      <c r="BI542" s="7"/>
      <c r="BJ542" s="4">
        <v>8</v>
      </c>
      <c r="BK542" s="8">
        <v>583.29</v>
      </c>
      <c r="BL542" s="2" t="s">
        <v>3176</v>
      </c>
      <c r="BM542" s="7"/>
      <c r="BN542" s="7"/>
      <c r="BO542" s="4"/>
      <c r="BP542" s="8"/>
      <c r="BQ542" s="4"/>
      <c r="BR542" s="8"/>
      <c r="BS542" s="7"/>
      <c r="BT542" s="7"/>
      <c r="BU542" s="2" t="s">
        <v>3177</v>
      </c>
      <c r="BV542" s="2" t="s">
        <v>233</v>
      </c>
      <c r="BW542" s="2" t="s">
        <v>233</v>
      </c>
      <c r="BX542" s="2" t="s">
        <v>241</v>
      </c>
      <c r="BY542" s="2" t="s">
        <v>242</v>
      </c>
      <c r="BZ542" s="2" t="s">
        <v>230</v>
      </c>
      <c r="CA542" s="2" t="s">
        <v>3178</v>
      </c>
      <c r="CB542" s="2" t="s">
        <v>3179</v>
      </c>
      <c r="CC542" s="2" t="s">
        <v>245</v>
      </c>
      <c r="CD542" s="2" t="s">
        <v>233</v>
      </c>
      <c r="CE542" s="4"/>
      <c r="CF542" s="4">
        <v>159</v>
      </c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>
        <v>100</v>
      </c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>
        <v>161</v>
      </c>
      <c r="GD542" s="4">
        <v>152</v>
      </c>
      <c r="GE542" s="4">
        <v>145</v>
      </c>
      <c r="GF542" s="4">
        <v>138</v>
      </c>
      <c r="GG542" s="4">
        <v>130</v>
      </c>
      <c r="GH542" s="4">
        <v>124</v>
      </c>
      <c r="GI542" s="4">
        <v>117</v>
      </c>
      <c r="GJ542" s="4">
        <v>111</v>
      </c>
      <c r="GK542" s="4">
        <v>105</v>
      </c>
      <c r="GL542" s="4">
        <v>99</v>
      </c>
      <c r="GM542" s="4">
        <v>93</v>
      </c>
      <c r="GN542" s="4">
        <v>87</v>
      </c>
      <c r="GO542" s="4">
        <v>181</v>
      </c>
      <c r="GP542" s="4">
        <v>175</v>
      </c>
      <c r="GQ542" s="4">
        <v>169</v>
      </c>
      <c r="GR542" s="4">
        <v>163</v>
      </c>
      <c r="GS542" s="4">
        <v>157</v>
      </c>
      <c r="GT542" s="4">
        <v>150</v>
      </c>
      <c r="GU542" s="4">
        <v>144</v>
      </c>
      <c r="GV542" s="4">
        <v>138</v>
      </c>
      <c r="GW542" s="4">
        <v>132</v>
      </c>
      <c r="GX542" s="4">
        <v>126</v>
      </c>
      <c r="GY542" s="4">
        <v>120</v>
      </c>
      <c r="GZ542" s="4">
        <v>114</v>
      </c>
      <c r="HA542" s="4">
        <v>108</v>
      </c>
      <c r="HB542" s="4">
        <v>102</v>
      </c>
      <c r="HC542" s="19">
        <v>20.1</v>
      </c>
      <c r="HD542" s="19">
        <v>21.7</v>
      </c>
      <c r="HE542" s="19">
        <v>20.7</v>
      </c>
      <c r="HF542" s="19">
        <v>19.7</v>
      </c>
      <c r="HG542" s="19">
        <v>21.7</v>
      </c>
      <c r="HH542" s="19">
        <v>20.7</v>
      </c>
      <c r="HI542" s="19">
        <v>19.5</v>
      </c>
      <c r="HJ542" s="19">
        <v>18.5</v>
      </c>
      <c r="HK542" s="19">
        <v>17.5</v>
      </c>
      <c r="HL542" s="19">
        <v>16.5</v>
      </c>
      <c r="HM542" s="19">
        <v>15.5</v>
      </c>
      <c r="HN542" s="19">
        <v>14.5</v>
      </c>
      <c r="HO542" s="19">
        <v>30.2</v>
      </c>
      <c r="HP542" s="19">
        <v>29.2</v>
      </c>
      <c r="HQ542" s="19">
        <v>28.2</v>
      </c>
      <c r="HR542" s="19">
        <v>27.2</v>
      </c>
      <c r="HS542" s="19">
        <v>26.2</v>
      </c>
      <c r="HT542" s="19">
        <v>25</v>
      </c>
      <c r="HU542" s="19">
        <v>24</v>
      </c>
      <c r="HV542" s="19">
        <v>23</v>
      </c>
      <c r="HW542" s="19">
        <v>22</v>
      </c>
      <c r="HX542" s="19">
        <v>21</v>
      </c>
      <c r="HY542" s="19">
        <v>20</v>
      </c>
      <c r="HZ542" s="19">
        <v>19</v>
      </c>
      <c r="IA542" s="19">
        <v>18</v>
      </c>
      <c r="IB542" s="19">
        <v>17</v>
      </c>
    </row>
    <row r="543">
      <c r="A543" s="2" t="s">
        <v>3180</v>
      </c>
      <c r="B543" s="2" t="s">
        <v>938</v>
      </c>
      <c r="C543" s="2" t="s">
        <v>280</v>
      </c>
      <c r="D543" s="2" t="s">
        <v>972</v>
      </c>
      <c r="E543" s="2" t="s">
        <v>1930</v>
      </c>
      <c r="F543" s="2" t="s">
        <v>3181</v>
      </c>
      <c r="G543" s="2" t="s">
        <v>3182</v>
      </c>
      <c r="H543" s="2" t="s">
        <v>3183</v>
      </c>
      <c r="I543" s="2" t="s">
        <v>3184</v>
      </c>
      <c r="J543" s="2" t="s">
        <v>2185</v>
      </c>
      <c r="K543" s="2" t="s">
        <v>300</v>
      </c>
      <c r="L543" s="3">
        <v>20.25</v>
      </c>
      <c r="M543" s="3">
        <v>21.26</v>
      </c>
      <c r="N543" s="3">
        <v>44.99</v>
      </c>
      <c r="O543" s="2" t="s">
        <v>230</v>
      </c>
      <c r="P543" s="2" t="s">
        <v>231</v>
      </c>
      <c r="Q543" s="2" t="s">
        <v>232</v>
      </c>
      <c r="R543" s="2" t="s">
        <v>233</v>
      </c>
      <c r="S543" s="2" t="s">
        <v>3185</v>
      </c>
      <c r="T543" s="2" t="s">
        <v>233</v>
      </c>
      <c r="U543" s="2" t="s">
        <v>233</v>
      </c>
      <c r="V543" s="2" t="s">
        <v>236</v>
      </c>
      <c r="W543" s="2" t="s">
        <v>620</v>
      </c>
      <c r="X543" s="2" t="s">
        <v>1221</v>
      </c>
      <c r="Y543" s="2" t="s">
        <v>3186</v>
      </c>
      <c r="Z543" s="4">
        <v>55</v>
      </c>
      <c r="AA543" s="4">
        <f>=ROUNDDOWN(18.3333333333333,0)</f>
      </c>
      <c r="AB543" s="5">
        <v>3</v>
      </c>
      <c r="AC543" s="2" t="s">
        <v>168</v>
      </c>
      <c r="AD543" s="4">
        <v>60</v>
      </c>
      <c r="AE543" s="4">
        <v>60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233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233</v>
      </c>
      <c r="AW543" s="8" t="s">
        <v>233</v>
      </c>
      <c r="AX543" s="4" t="s">
        <v>233</v>
      </c>
      <c r="AY543" s="8" t="s">
        <v>233</v>
      </c>
      <c r="AZ543" s="7" t="s">
        <v>233</v>
      </c>
      <c r="BA543" s="7" t="s">
        <v>233</v>
      </c>
      <c r="BB543" s="7"/>
      <c r="BC543" s="4" t="s">
        <v>233</v>
      </c>
      <c r="BD543" s="8" t="s">
        <v>233</v>
      </c>
      <c r="BE543" s="4" t="s">
        <v>233</v>
      </c>
      <c r="BF543" s="8" t="s">
        <v>233</v>
      </c>
      <c r="BG543" s="7" t="s">
        <v>233</v>
      </c>
      <c r="BH543" s="7" t="s">
        <v>233</v>
      </c>
      <c r="BI543" s="7"/>
      <c r="BJ543" s="4">
        <v>17</v>
      </c>
      <c r="BK543" s="8">
        <v>368.55</v>
      </c>
      <c r="BL543" s="2" t="s">
        <v>3187</v>
      </c>
      <c r="BM543" s="7"/>
      <c r="BN543" s="7"/>
      <c r="BO543" s="4"/>
      <c r="BP543" s="8"/>
      <c r="BQ543" s="4"/>
      <c r="BR543" s="8"/>
      <c r="BS543" s="7"/>
      <c r="BT543" s="7"/>
      <c r="BU543" s="2" t="s">
        <v>3188</v>
      </c>
      <c r="BV543" s="2" t="s">
        <v>233</v>
      </c>
      <c r="BW543" s="2" t="s">
        <v>233</v>
      </c>
      <c r="BX543" s="2" t="s">
        <v>293</v>
      </c>
      <c r="BY543" s="2" t="s">
        <v>242</v>
      </c>
      <c r="BZ543" s="2" t="s">
        <v>230</v>
      </c>
      <c r="CA543" s="2" t="s">
        <v>3189</v>
      </c>
      <c r="CB543" s="2" t="s">
        <v>3190</v>
      </c>
      <c r="CC543" s="2" t="s">
        <v>245</v>
      </c>
      <c r="CD543" s="2" t="s">
        <v>233</v>
      </c>
      <c r="CE543" s="4">
        <v>55</v>
      </c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>
        <v>60</v>
      </c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>
        <v>55</v>
      </c>
      <c r="GD543" s="4">
        <v>51</v>
      </c>
      <c r="GE543" s="4">
        <v>46</v>
      </c>
      <c r="GF543" s="4">
        <v>42</v>
      </c>
      <c r="GG543" s="4">
        <v>37</v>
      </c>
      <c r="GH543" s="4">
        <v>33</v>
      </c>
      <c r="GI543" s="4">
        <v>28</v>
      </c>
      <c r="GJ543" s="4">
        <v>85</v>
      </c>
      <c r="GK543" s="4">
        <v>81</v>
      </c>
      <c r="GL543" s="4">
        <v>78</v>
      </c>
      <c r="GM543" s="4">
        <v>75</v>
      </c>
      <c r="GN543" s="4">
        <v>72</v>
      </c>
      <c r="GO543" s="4">
        <v>69</v>
      </c>
      <c r="GP543" s="4">
        <v>66</v>
      </c>
      <c r="GQ543" s="4">
        <v>63</v>
      </c>
      <c r="GR543" s="4">
        <v>60</v>
      </c>
      <c r="GS543" s="4">
        <v>57</v>
      </c>
      <c r="GT543" s="4">
        <v>53</v>
      </c>
      <c r="GU543" s="4">
        <v>50</v>
      </c>
      <c r="GV543" s="4">
        <v>47</v>
      </c>
      <c r="GW543" s="4">
        <v>44</v>
      </c>
      <c r="GX543" s="4">
        <v>41</v>
      </c>
      <c r="GY543" s="4">
        <v>38</v>
      </c>
      <c r="GZ543" s="4">
        <v>35</v>
      </c>
      <c r="HA543" s="4">
        <v>32</v>
      </c>
      <c r="HB543" s="4">
        <v>89</v>
      </c>
      <c r="HC543" s="19">
        <v>13.8</v>
      </c>
      <c r="HD543" s="19">
        <v>12.8</v>
      </c>
      <c r="HE543" s="19">
        <v>11.5</v>
      </c>
      <c r="HF543" s="19">
        <v>10.5</v>
      </c>
      <c r="HG543" s="19">
        <v>9.3</v>
      </c>
      <c r="HH543" s="19">
        <v>8.3</v>
      </c>
      <c r="HI543" s="19">
        <v>9.3</v>
      </c>
      <c r="HJ543" s="19">
        <v>28.3</v>
      </c>
      <c r="HK543" s="19">
        <v>27</v>
      </c>
      <c r="HL543" s="19">
        <v>26</v>
      </c>
      <c r="HM543" s="19">
        <v>25</v>
      </c>
      <c r="HN543" s="19">
        <v>24</v>
      </c>
      <c r="HO543" s="19">
        <v>23</v>
      </c>
      <c r="HP543" s="19">
        <v>22</v>
      </c>
      <c r="HQ543" s="19">
        <v>21</v>
      </c>
      <c r="HR543" s="19">
        <v>20</v>
      </c>
      <c r="HS543" s="19">
        <v>19</v>
      </c>
      <c r="HT543" s="19">
        <v>17.7</v>
      </c>
      <c r="HU543" s="19">
        <v>16.7</v>
      </c>
      <c r="HV543" s="19">
        <v>15.7</v>
      </c>
      <c r="HW543" s="19">
        <v>14.7</v>
      </c>
      <c r="HX543" s="19">
        <v>13.7</v>
      </c>
      <c r="HY543" s="19">
        <v>12.7</v>
      </c>
      <c r="HZ543" s="19">
        <v>11.7</v>
      </c>
      <c r="IA543" s="19">
        <v>10.7</v>
      </c>
      <c r="IB543" s="19">
        <v>29.7</v>
      </c>
    </row>
    <row r="544">
      <c r="A544" s="2" t="s">
        <v>3191</v>
      </c>
      <c r="B544" s="2" t="s">
        <v>847</v>
      </c>
      <c r="C544" s="2" t="s">
        <v>848</v>
      </c>
      <c r="D544" s="2" t="s">
        <v>849</v>
      </c>
      <c r="E544" s="2" t="s">
        <v>850</v>
      </c>
      <c r="F544" s="2" t="s">
        <v>3181</v>
      </c>
      <c r="G544" s="2" t="s">
        <v>3181</v>
      </c>
      <c r="H544" s="2" t="s">
        <v>3181</v>
      </c>
      <c r="I544" s="2" t="s">
        <v>3192</v>
      </c>
      <c r="J544" s="2" t="s">
        <v>3193</v>
      </c>
      <c r="K544" s="2" t="s">
        <v>300</v>
      </c>
      <c r="L544" s="3">
        <v>24</v>
      </c>
      <c r="M544" s="3">
        <v>25.2</v>
      </c>
      <c r="N544" s="3">
        <v>49.99</v>
      </c>
      <c r="O544" s="2" t="s">
        <v>230</v>
      </c>
      <c r="P544" s="2" t="s">
        <v>597</v>
      </c>
      <c r="Q544" s="2" t="s">
        <v>232</v>
      </c>
      <c r="R544" s="2" t="s">
        <v>233</v>
      </c>
      <c r="S544" s="2" t="s">
        <v>233</v>
      </c>
      <c r="T544" s="2" t="s">
        <v>233</v>
      </c>
      <c r="U544" s="2" t="s">
        <v>329</v>
      </c>
      <c r="V544" s="2" t="s">
        <v>609</v>
      </c>
      <c r="W544" s="2" t="s">
        <v>233</v>
      </c>
      <c r="X544" s="2" t="s">
        <v>233</v>
      </c>
      <c r="Y544" s="2" t="s">
        <v>3194</v>
      </c>
      <c r="Z544" s="4">
        <v>233</v>
      </c>
      <c r="AA544" s="4">
        <f>=ROUNDDOWN(13.7058823529412,0)</f>
      </c>
      <c r="AB544" s="5">
        <v>17</v>
      </c>
      <c r="AC544" s="2" t="s">
        <v>233</v>
      </c>
      <c r="AD544" s="4"/>
      <c r="AE544" s="4"/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233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233</v>
      </c>
      <c r="AW544" s="8" t="s">
        <v>233</v>
      </c>
      <c r="AX544" s="4" t="s">
        <v>233</v>
      </c>
      <c r="AY544" s="8" t="s">
        <v>233</v>
      </c>
      <c r="AZ544" s="7" t="s">
        <v>233</v>
      </c>
      <c r="BA544" s="7" t="s">
        <v>233</v>
      </c>
      <c r="BB544" s="7"/>
      <c r="BC544" s="4" t="s">
        <v>233</v>
      </c>
      <c r="BD544" s="8" t="s">
        <v>233</v>
      </c>
      <c r="BE544" s="4" t="s">
        <v>233</v>
      </c>
      <c r="BF544" s="8" t="s">
        <v>233</v>
      </c>
      <c r="BG544" s="7" t="s">
        <v>233</v>
      </c>
      <c r="BH544" s="7" t="s">
        <v>233</v>
      </c>
      <c r="BI544" s="7"/>
      <c r="BJ544" s="4">
        <v>78</v>
      </c>
      <c r="BK544" s="8">
        <v>1975.9</v>
      </c>
      <c r="BL544" s="2" t="s">
        <v>3195</v>
      </c>
      <c r="BM544" s="7"/>
      <c r="BN544" s="7"/>
      <c r="BO544" s="4"/>
      <c r="BP544" s="8"/>
      <c r="BQ544" s="4"/>
      <c r="BR544" s="8"/>
      <c r="BS544" s="7"/>
      <c r="BT544" s="7"/>
      <c r="BU544" s="2" t="s">
        <v>3196</v>
      </c>
      <c r="BV544" s="2" t="s">
        <v>233</v>
      </c>
      <c r="BW544" s="2" t="s">
        <v>233</v>
      </c>
      <c r="BX544" s="2" t="s">
        <v>241</v>
      </c>
      <c r="BY544" s="2" t="s">
        <v>242</v>
      </c>
      <c r="BZ544" s="2" t="s">
        <v>230</v>
      </c>
      <c r="CA544" s="2" t="s">
        <v>3197</v>
      </c>
      <c r="CB544" s="2" t="s">
        <v>3198</v>
      </c>
      <c r="CC544" s="2" t="s">
        <v>245</v>
      </c>
      <c r="CD544" s="2" t="s">
        <v>233</v>
      </c>
      <c r="CE544" s="4"/>
      <c r="CF544" s="4">
        <v>233</v>
      </c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>
        <v>248</v>
      </c>
      <c r="GD544" s="4">
        <v>208</v>
      </c>
      <c r="GE544" s="4">
        <v>185</v>
      </c>
      <c r="GF544" s="4">
        <v>163</v>
      </c>
      <c r="GG544" s="4">
        <v>134</v>
      </c>
      <c r="GH544" s="4">
        <v>106</v>
      </c>
      <c r="GI544" s="4">
        <v>72</v>
      </c>
      <c r="GJ544" s="4">
        <v>44</v>
      </c>
      <c r="GK544" s="4">
        <v>28</v>
      </c>
      <c r="GL544" s="4">
        <v>9</v>
      </c>
      <c r="GM544" s="4"/>
      <c r="GN544" s="4"/>
      <c r="GO544" s="4"/>
      <c r="GP544" s="4"/>
      <c r="GQ544" s="4"/>
      <c r="GR544" s="4"/>
      <c r="GS544" s="4"/>
      <c r="GT544" s="4"/>
      <c r="GU544" s="4">
        <v>407</v>
      </c>
      <c r="GV544" s="4">
        <v>376</v>
      </c>
      <c r="GW544" s="4">
        <v>359</v>
      </c>
      <c r="GX544" s="4">
        <v>342</v>
      </c>
      <c r="GY544" s="4">
        <v>325</v>
      </c>
      <c r="GZ544" s="4">
        <v>308</v>
      </c>
      <c r="HA544" s="4">
        <v>291</v>
      </c>
      <c r="HB544" s="4">
        <v>274</v>
      </c>
      <c r="HC544" s="19">
        <v>8.9</v>
      </c>
      <c r="HD544" s="19">
        <v>8</v>
      </c>
      <c r="HE544" s="19">
        <v>6.6</v>
      </c>
      <c r="HF544" s="19">
        <v>5.4</v>
      </c>
      <c r="HG544" s="19">
        <v>5.2</v>
      </c>
      <c r="HH544" s="19">
        <v>4.4</v>
      </c>
      <c r="HI544" s="19">
        <v>3.6</v>
      </c>
      <c r="HJ544" s="19">
        <v>2.4</v>
      </c>
      <c r="HK544" s="19">
        <v>1.6</v>
      </c>
      <c r="HL544" s="19">
        <v>0.5</v>
      </c>
      <c r="HM544" s="20">
        <v>0</v>
      </c>
      <c r="HN544" s="20">
        <v>0</v>
      </c>
      <c r="HO544" s="20">
        <v>0</v>
      </c>
      <c r="HP544" s="20">
        <v>0</v>
      </c>
      <c r="HQ544" s="20">
        <v>0</v>
      </c>
      <c r="HR544" s="20">
        <v>0</v>
      </c>
      <c r="HS544" s="20">
        <v>0</v>
      </c>
      <c r="HT544" s="20">
        <v>0</v>
      </c>
      <c r="HU544" s="19">
        <v>20.4</v>
      </c>
      <c r="HV544" s="19">
        <v>22.1</v>
      </c>
      <c r="HW544" s="19">
        <v>21.1</v>
      </c>
      <c r="HX544" s="19">
        <v>20.1</v>
      </c>
      <c r="HY544" s="19">
        <v>19.1</v>
      </c>
      <c r="HZ544" s="19">
        <v>18.1</v>
      </c>
      <c r="IA544" s="19">
        <v>17.1</v>
      </c>
      <c r="IB544" s="19">
        <v>16.1</v>
      </c>
    </row>
    <row r="545">
      <c r="A545" s="2" t="s">
        <v>3199</v>
      </c>
      <c r="B545" s="2" t="s">
        <v>847</v>
      </c>
      <c r="C545" s="2" t="s">
        <v>848</v>
      </c>
      <c r="D545" s="2" t="s">
        <v>849</v>
      </c>
      <c r="E545" s="2" t="s">
        <v>850</v>
      </c>
      <c r="F545" s="2" t="s">
        <v>3181</v>
      </c>
      <c r="G545" s="2" t="s">
        <v>3181</v>
      </c>
      <c r="H545" s="2" t="s">
        <v>3181</v>
      </c>
      <c r="I545" s="2" t="s">
        <v>3192</v>
      </c>
      <c r="J545" s="2" t="s">
        <v>3200</v>
      </c>
      <c r="K545" s="2" t="s">
        <v>300</v>
      </c>
      <c r="L545" s="3">
        <v>50</v>
      </c>
      <c r="M545" s="3">
        <v>52.5</v>
      </c>
      <c r="N545" s="3">
        <v>104.99</v>
      </c>
      <c r="O545" s="2" t="s">
        <v>230</v>
      </c>
      <c r="P545" s="2" t="s">
        <v>231</v>
      </c>
      <c r="Q545" s="2" t="s">
        <v>232</v>
      </c>
      <c r="R545" s="2" t="s">
        <v>233</v>
      </c>
      <c r="S545" s="2" t="s">
        <v>233</v>
      </c>
      <c r="T545" s="2" t="s">
        <v>233</v>
      </c>
      <c r="U545" s="2" t="s">
        <v>329</v>
      </c>
      <c r="V545" s="2" t="s">
        <v>609</v>
      </c>
      <c r="W545" s="2" t="s">
        <v>233</v>
      </c>
      <c r="X545" s="2" t="s">
        <v>233</v>
      </c>
      <c r="Y545" s="2" t="s">
        <v>3194</v>
      </c>
      <c r="Z545" s="4">
        <v>806</v>
      </c>
      <c r="AA545" s="4">
        <f>=ROUNDDOWN(134.333333333333,0)</f>
      </c>
      <c r="AB545" s="5">
        <v>6</v>
      </c>
      <c r="AC545" s="2" t="s">
        <v>233</v>
      </c>
      <c r="AD545" s="4"/>
      <c r="AE545" s="4"/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233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233</v>
      </c>
      <c r="AW545" s="8" t="s">
        <v>233</v>
      </c>
      <c r="AX545" s="4" t="s">
        <v>233</v>
      </c>
      <c r="AY545" s="8" t="s">
        <v>233</v>
      </c>
      <c r="AZ545" s="7" t="s">
        <v>233</v>
      </c>
      <c r="BA545" s="7" t="s">
        <v>233</v>
      </c>
      <c r="BB545" s="7"/>
      <c r="BC545" s="4" t="s">
        <v>233</v>
      </c>
      <c r="BD545" s="8" t="s">
        <v>233</v>
      </c>
      <c r="BE545" s="4" t="s">
        <v>233</v>
      </c>
      <c r="BF545" s="8" t="s">
        <v>233</v>
      </c>
      <c r="BG545" s="7" t="s">
        <v>233</v>
      </c>
      <c r="BH545" s="7" t="s">
        <v>233</v>
      </c>
      <c r="BI545" s="7"/>
      <c r="BJ545" s="4">
        <v>22</v>
      </c>
      <c r="BK545" s="8">
        <v>1039.38</v>
      </c>
      <c r="BL545" s="2" t="s">
        <v>3201</v>
      </c>
      <c r="BM545" s="7"/>
      <c r="BN545" s="7"/>
      <c r="BO545" s="4"/>
      <c r="BP545" s="8"/>
      <c r="BQ545" s="4"/>
      <c r="BR545" s="8"/>
      <c r="BS545" s="7"/>
      <c r="BT545" s="7"/>
      <c r="BU545" s="2" t="s">
        <v>3196</v>
      </c>
      <c r="BV545" s="2" t="s">
        <v>233</v>
      </c>
      <c r="BW545" s="2" t="s">
        <v>233</v>
      </c>
      <c r="BX545" s="2" t="s">
        <v>241</v>
      </c>
      <c r="BY545" s="2" t="s">
        <v>242</v>
      </c>
      <c r="BZ545" s="2" t="s">
        <v>230</v>
      </c>
      <c r="CA545" s="2" t="s">
        <v>3197</v>
      </c>
      <c r="CB545" s="2" t="s">
        <v>3202</v>
      </c>
      <c r="CC545" s="2" t="s">
        <v>245</v>
      </c>
      <c r="CD545" s="2" t="s">
        <v>233</v>
      </c>
      <c r="CE545" s="4"/>
      <c r="CF545" s="4">
        <v>806</v>
      </c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>
        <v>809</v>
      </c>
      <c r="GD545" s="4">
        <v>788</v>
      </c>
      <c r="GE545" s="4">
        <v>780</v>
      </c>
      <c r="GF545" s="4">
        <v>772</v>
      </c>
      <c r="GG545" s="4">
        <v>762</v>
      </c>
      <c r="GH545" s="4">
        <v>752</v>
      </c>
      <c r="GI545" s="4">
        <v>740</v>
      </c>
      <c r="GJ545" s="4">
        <v>730</v>
      </c>
      <c r="GK545" s="4">
        <v>724</v>
      </c>
      <c r="GL545" s="4">
        <v>717</v>
      </c>
      <c r="GM545" s="4">
        <v>710</v>
      </c>
      <c r="GN545" s="4">
        <v>703</v>
      </c>
      <c r="GO545" s="4">
        <v>696</v>
      </c>
      <c r="GP545" s="4">
        <v>689</v>
      </c>
      <c r="GQ545" s="4">
        <v>682</v>
      </c>
      <c r="GR545" s="4">
        <v>675</v>
      </c>
      <c r="GS545" s="4">
        <v>668</v>
      </c>
      <c r="GT545" s="4">
        <v>661</v>
      </c>
      <c r="GU545" s="4">
        <v>654</v>
      </c>
      <c r="GV545" s="4">
        <v>648</v>
      </c>
      <c r="GW545" s="4">
        <v>642</v>
      </c>
      <c r="GX545" s="4">
        <v>636</v>
      </c>
      <c r="GY545" s="4">
        <v>630</v>
      </c>
      <c r="GZ545" s="4">
        <v>624</v>
      </c>
      <c r="HA545" s="4">
        <v>618</v>
      </c>
      <c r="HB545" s="4">
        <v>612</v>
      </c>
      <c r="HC545" s="19">
        <v>67.4</v>
      </c>
      <c r="HD545" s="19">
        <v>87.6</v>
      </c>
      <c r="HE545" s="19">
        <v>78</v>
      </c>
      <c r="HF545" s="19">
        <v>77.2</v>
      </c>
      <c r="HG545" s="19">
        <v>76.2</v>
      </c>
      <c r="HH545" s="19">
        <v>83.6</v>
      </c>
      <c r="HI545" s="19">
        <v>92.5</v>
      </c>
      <c r="HJ545" s="19">
        <v>104.3</v>
      </c>
      <c r="HK545" s="19">
        <v>103.4</v>
      </c>
      <c r="HL545" s="19">
        <v>102.4</v>
      </c>
      <c r="HM545" s="19">
        <v>101.4</v>
      </c>
      <c r="HN545" s="19">
        <v>100.4</v>
      </c>
      <c r="HO545" s="19">
        <v>99.4</v>
      </c>
      <c r="HP545" s="19">
        <v>98.4</v>
      </c>
      <c r="HQ545" s="19">
        <v>97.4</v>
      </c>
      <c r="HR545" s="19">
        <v>96.4</v>
      </c>
      <c r="HS545" s="19">
        <v>111.3</v>
      </c>
      <c r="HT545" s="19">
        <v>110.2</v>
      </c>
      <c r="HU545" s="19">
        <v>109</v>
      </c>
      <c r="HV545" s="19">
        <v>108</v>
      </c>
      <c r="HW545" s="19">
        <v>107</v>
      </c>
      <c r="HX545" s="19">
        <v>106</v>
      </c>
      <c r="HY545" s="19">
        <v>105</v>
      </c>
      <c r="HZ545" s="19">
        <v>104</v>
      </c>
      <c r="IA545" s="19">
        <v>103</v>
      </c>
      <c r="IB545" s="19">
        <v>102</v>
      </c>
    </row>
    <row r="546">
      <c r="A546" s="2" t="s">
        <v>3203</v>
      </c>
      <c r="B546" s="2" t="s">
        <v>938</v>
      </c>
      <c r="C546" s="2" t="s">
        <v>280</v>
      </c>
      <c r="D546" s="2" t="s">
        <v>972</v>
      </c>
      <c r="E546" s="2" t="s">
        <v>1930</v>
      </c>
      <c r="F546" s="2" t="s">
        <v>3181</v>
      </c>
      <c r="G546" s="2" t="s">
        <v>3182</v>
      </c>
      <c r="H546" s="2" t="s">
        <v>3183</v>
      </c>
      <c r="I546" s="2" t="s">
        <v>3184</v>
      </c>
      <c r="J546" s="2" t="s">
        <v>2185</v>
      </c>
      <c r="K546" s="2" t="s">
        <v>458</v>
      </c>
      <c r="L546" s="3">
        <v>20.25</v>
      </c>
      <c r="M546" s="3">
        <v>21.26</v>
      </c>
      <c r="N546" s="3">
        <v>44.99</v>
      </c>
      <c r="O546" s="2" t="s">
        <v>230</v>
      </c>
      <c r="P546" s="2" t="s">
        <v>231</v>
      </c>
      <c r="Q546" s="2" t="s">
        <v>232</v>
      </c>
      <c r="R546" s="2" t="s">
        <v>233</v>
      </c>
      <c r="S546" s="2" t="s">
        <v>3204</v>
      </c>
      <c r="T546" s="2" t="s">
        <v>233</v>
      </c>
      <c r="U546" s="2" t="s">
        <v>233</v>
      </c>
      <c r="V546" s="2" t="s">
        <v>236</v>
      </c>
      <c r="W546" s="2" t="s">
        <v>620</v>
      </c>
      <c r="X546" s="2" t="s">
        <v>1221</v>
      </c>
      <c r="Y546" s="2" t="s">
        <v>3186</v>
      </c>
      <c r="Z546" s="4">
        <v>227</v>
      </c>
      <c r="AA546" s="4">
        <f>=ROUNDDOWN(32.4285714285714,0)</f>
      </c>
      <c r="AB546" s="5">
        <v>7</v>
      </c>
      <c r="AC546" s="2" t="s">
        <v>2192</v>
      </c>
      <c r="AD546" s="4">
        <v>52</v>
      </c>
      <c r="AE546" s="4">
        <v>52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233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 t="s">
        <v>233</v>
      </c>
      <c r="BD546" s="8" t="s">
        <v>233</v>
      </c>
      <c r="BE546" s="4" t="s">
        <v>233</v>
      </c>
      <c r="BF546" s="8" t="s">
        <v>233</v>
      </c>
      <c r="BG546" s="7" t="s">
        <v>233</v>
      </c>
      <c r="BH546" s="7" t="s">
        <v>233</v>
      </c>
      <c r="BI546" s="7"/>
      <c r="BJ546" s="4">
        <v>31</v>
      </c>
      <c r="BK546" s="8">
        <v>677.25</v>
      </c>
      <c r="BL546" s="2" t="s">
        <v>1704</v>
      </c>
      <c r="BM546" s="7"/>
      <c r="BN546" s="7"/>
      <c r="BO546" s="4"/>
      <c r="BP546" s="8"/>
      <c r="BQ546" s="4"/>
      <c r="BR546" s="8"/>
      <c r="BS546" s="7"/>
      <c r="BT546" s="7"/>
      <c r="BU546" s="2" t="s">
        <v>3188</v>
      </c>
      <c r="BV546" s="2" t="s">
        <v>233</v>
      </c>
      <c r="BW546" s="2" t="s">
        <v>233</v>
      </c>
      <c r="BX546" s="2" t="s">
        <v>293</v>
      </c>
      <c r="BY546" s="2" t="s">
        <v>242</v>
      </c>
      <c r="BZ546" s="2" t="s">
        <v>230</v>
      </c>
      <c r="CA546" s="2" t="s">
        <v>3189</v>
      </c>
      <c r="CB546" s="2" t="s">
        <v>3205</v>
      </c>
      <c r="CC546" s="2" t="s">
        <v>245</v>
      </c>
      <c r="CD546" s="2" t="s">
        <v>233</v>
      </c>
      <c r="CE546" s="4">
        <v>227</v>
      </c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>
        <v>52</v>
      </c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>
        <v>227</v>
      </c>
      <c r="GD546" s="4">
        <v>219</v>
      </c>
      <c r="GE546" s="4">
        <v>209</v>
      </c>
      <c r="GF546" s="4">
        <v>201</v>
      </c>
      <c r="GG546" s="4">
        <v>190</v>
      </c>
      <c r="GH546" s="4">
        <v>182</v>
      </c>
      <c r="GI546" s="4">
        <v>172</v>
      </c>
      <c r="GJ546" s="4">
        <v>166</v>
      </c>
      <c r="GK546" s="4">
        <v>159</v>
      </c>
      <c r="GL546" s="4">
        <v>153</v>
      </c>
      <c r="GM546" s="4">
        <v>147</v>
      </c>
      <c r="GN546" s="4">
        <v>193</v>
      </c>
      <c r="GO546" s="4">
        <v>187</v>
      </c>
      <c r="GP546" s="4">
        <v>181</v>
      </c>
      <c r="GQ546" s="4">
        <v>175</v>
      </c>
      <c r="GR546" s="4">
        <v>169</v>
      </c>
      <c r="GS546" s="4">
        <v>163</v>
      </c>
      <c r="GT546" s="4">
        <v>156</v>
      </c>
      <c r="GU546" s="4">
        <v>150</v>
      </c>
      <c r="GV546" s="4">
        <v>144</v>
      </c>
      <c r="GW546" s="4">
        <v>138</v>
      </c>
      <c r="GX546" s="4">
        <v>132</v>
      </c>
      <c r="GY546" s="4">
        <v>126</v>
      </c>
      <c r="GZ546" s="4">
        <v>120</v>
      </c>
      <c r="HA546" s="4">
        <v>114</v>
      </c>
      <c r="HB546" s="4">
        <v>108</v>
      </c>
      <c r="HC546" s="19">
        <v>25.2</v>
      </c>
      <c r="HD546" s="19">
        <v>24.3</v>
      </c>
      <c r="HE546" s="19">
        <v>23.2</v>
      </c>
      <c r="HF546" s="19">
        <v>22.3</v>
      </c>
      <c r="HG546" s="19">
        <v>23.8</v>
      </c>
      <c r="HH546" s="19">
        <v>26</v>
      </c>
      <c r="HI546" s="19">
        <v>28.7</v>
      </c>
      <c r="HJ546" s="19">
        <v>27.7</v>
      </c>
      <c r="HK546" s="19">
        <v>26.5</v>
      </c>
      <c r="HL546" s="19">
        <v>25.5</v>
      </c>
      <c r="HM546" s="19">
        <v>24.5</v>
      </c>
      <c r="HN546" s="19">
        <v>32.2</v>
      </c>
      <c r="HO546" s="19">
        <v>31.2</v>
      </c>
      <c r="HP546" s="19">
        <v>30.2</v>
      </c>
      <c r="HQ546" s="19">
        <v>29.2</v>
      </c>
      <c r="HR546" s="19">
        <v>28.2</v>
      </c>
      <c r="HS546" s="19">
        <v>27.2</v>
      </c>
      <c r="HT546" s="19">
        <v>26</v>
      </c>
      <c r="HU546" s="19">
        <v>25</v>
      </c>
      <c r="HV546" s="19">
        <v>24</v>
      </c>
      <c r="HW546" s="19">
        <v>23</v>
      </c>
      <c r="HX546" s="19">
        <v>22</v>
      </c>
      <c r="HY546" s="19">
        <v>21</v>
      </c>
      <c r="HZ546" s="19">
        <v>20</v>
      </c>
      <c r="IA546" s="19">
        <v>19</v>
      </c>
      <c r="IB546" s="19">
        <v>15.4</v>
      </c>
    </row>
    <row r="547">
      <c r="A547" s="2" t="s">
        <v>3206</v>
      </c>
      <c r="B547" s="2" t="s">
        <v>938</v>
      </c>
      <c r="C547" s="2" t="s">
        <v>280</v>
      </c>
      <c r="D547" s="2" t="s">
        <v>972</v>
      </c>
      <c r="E547" s="2" t="s">
        <v>1930</v>
      </c>
      <c r="F547" s="2" t="s">
        <v>3181</v>
      </c>
      <c r="G547" s="2" t="s">
        <v>3182</v>
      </c>
      <c r="H547" s="2" t="s">
        <v>3183</v>
      </c>
      <c r="I547" s="2" t="s">
        <v>3184</v>
      </c>
      <c r="J547" s="2" t="s">
        <v>2185</v>
      </c>
      <c r="K547" s="2" t="s">
        <v>266</v>
      </c>
      <c r="L547" s="3">
        <v>20.25</v>
      </c>
      <c r="M547" s="3">
        <v>21.26</v>
      </c>
      <c r="N547" s="3">
        <v>44.99</v>
      </c>
      <c r="O547" s="2" t="s">
        <v>230</v>
      </c>
      <c r="P547" s="2" t="s">
        <v>231</v>
      </c>
      <c r="Q547" s="2" t="s">
        <v>232</v>
      </c>
      <c r="R547" s="2" t="s">
        <v>233</v>
      </c>
      <c r="S547" s="2" t="s">
        <v>3207</v>
      </c>
      <c r="T547" s="2" t="s">
        <v>233</v>
      </c>
      <c r="U547" s="2" t="s">
        <v>233</v>
      </c>
      <c r="V547" s="2" t="s">
        <v>236</v>
      </c>
      <c r="W547" s="2" t="s">
        <v>620</v>
      </c>
      <c r="X547" s="2" t="s">
        <v>1221</v>
      </c>
      <c r="Y547" s="2" t="s">
        <v>3186</v>
      </c>
      <c r="Z547" s="4">
        <v>119</v>
      </c>
      <c r="AA547" s="4">
        <f>=ROUNDDOWN(23.8,0)</f>
      </c>
      <c r="AB547" s="5">
        <v>5</v>
      </c>
      <c r="AC547" s="2" t="s">
        <v>746</v>
      </c>
      <c r="AD547" s="4">
        <v>56</v>
      </c>
      <c r="AE547" s="4">
        <v>56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233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 t="s">
        <v>233</v>
      </c>
      <c r="BD547" s="8" t="s">
        <v>233</v>
      </c>
      <c r="BE547" s="4" t="s">
        <v>233</v>
      </c>
      <c r="BF547" s="8" t="s">
        <v>233</v>
      </c>
      <c r="BG547" s="7" t="s">
        <v>233</v>
      </c>
      <c r="BH547" s="7" t="s">
        <v>233</v>
      </c>
      <c r="BI547" s="7"/>
      <c r="BJ547" s="4">
        <v>16</v>
      </c>
      <c r="BK547" s="8">
        <v>341.73</v>
      </c>
      <c r="BL547" s="2" t="s">
        <v>3208</v>
      </c>
      <c r="BM547" s="7"/>
      <c r="BN547" s="7"/>
      <c r="BO547" s="4"/>
      <c r="BP547" s="8"/>
      <c r="BQ547" s="4"/>
      <c r="BR547" s="8"/>
      <c r="BS547" s="7"/>
      <c r="BT547" s="7"/>
      <c r="BU547" s="2" t="s">
        <v>3188</v>
      </c>
      <c r="BV547" s="2" t="s">
        <v>233</v>
      </c>
      <c r="BW547" s="2" t="s">
        <v>233</v>
      </c>
      <c r="BX547" s="2" t="s">
        <v>293</v>
      </c>
      <c r="BY547" s="2" t="s">
        <v>242</v>
      </c>
      <c r="BZ547" s="2" t="s">
        <v>230</v>
      </c>
      <c r="CA547" s="2" t="s">
        <v>3189</v>
      </c>
      <c r="CB547" s="2" t="s">
        <v>3209</v>
      </c>
      <c r="CC547" s="2" t="s">
        <v>245</v>
      </c>
      <c r="CD547" s="2" t="s">
        <v>233</v>
      </c>
      <c r="CE547" s="4">
        <v>119</v>
      </c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>
        <v>56</v>
      </c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>
        <v>132</v>
      </c>
      <c r="GD547" s="4">
        <v>114</v>
      </c>
      <c r="GE547" s="4">
        <v>108</v>
      </c>
      <c r="GF547" s="4">
        <v>101</v>
      </c>
      <c r="GG547" s="4">
        <v>93</v>
      </c>
      <c r="GH547" s="4">
        <v>143</v>
      </c>
      <c r="GI547" s="4">
        <v>135</v>
      </c>
      <c r="GJ547" s="4">
        <v>130</v>
      </c>
      <c r="GK547" s="4">
        <v>124</v>
      </c>
      <c r="GL547" s="4">
        <v>119</v>
      </c>
      <c r="GM547" s="4">
        <v>114</v>
      </c>
      <c r="GN547" s="4">
        <v>109</v>
      </c>
      <c r="GO547" s="4">
        <v>104</v>
      </c>
      <c r="GP547" s="4">
        <v>99</v>
      </c>
      <c r="GQ547" s="4">
        <v>94</v>
      </c>
      <c r="GR547" s="4">
        <v>89</v>
      </c>
      <c r="GS547" s="4">
        <v>84</v>
      </c>
      <c r="GT547" s="4">
        <v>78</v>
      </c>
      <c r="GU547" s="4">
        <v>73</v>
      </c>
      <c r="GV547" s="4">
        <v>68</v>
      </c>
      <c r="GW547" s="4">
        <v>63</v>
      </c>
      <c r="GX547" s="4">
        <v>58</v>
      </c>
      <c r="GY547" s="4">
        <v>53</v>
      </c>
      <c r="GZ547" s="4">
        <v>48</v>
      </c>
      <c r="HA547" s="4">
        <v>43</v>
      </c>
      <c r="HB547" s="4">
        <v>55</v>
      </c>
      <c r="HC547" s="19">
        <v>13.2</v>
      </c>
      <c r="HD547" s="19">
        <v>16.3</v>
      </c>
      <c r="HE547" s="19">
        <v>15.4</v>
      </c>
      <c r="HF547" s="19">
        <v>14.4</v>
      </c>
      <c r="HG547" s="19">
        <v>15.5</v>
      </c>
      <c r="HH547" s="19">
        <v>23.8</v>
      </c>
      <c r="HI547" s="19">
        <v>27</v>
      </c>
      <c r="HJ547" s="19">
        <v>26</v>
      </c>
      <c r="HK547" s="19">
        <v>24.8</v>
      </c>
      <c r="HL547" s="19">
        <v>23.8</v>
      </c>
      <c r="HM547" s="19">
        <v>22.8</v>
      </c>
      <c r="HN547" s="19">
        <v>21.8</v>
      </c>
      <c r="HO547" s="19">
        <v>20.8</v>
      </c>
      <c r="HP547" s="19">
        <v>19.8</v>
      </c>
      <c r="HQ547" s="19">
        <v>18.8</v>
      </c>
      <c r="HR547" s="19">
        <v>17.8</v>
      </c>
      <c r="HS547" s="19">
        <v>16.8</v>
      </c>
      <c r="HT547" s="19">
        <v>15.6</v>
      </c>
      <c r="HU547" s="19">
        <v>14.6</v>
      </c>
      <c r="HV547" s="19">
        <v>13.6</v>
      </c>
      <c r="HW547" s="19">
        <v>12.6</v>
      </c>
      <c r="HX547" s="19">
        <v>11.6</v>
      </c>
      <c r="HY547" s="19">
        <v>10.6</v>
      </c>
      <c r="HZ547" s="19">
        <v>9.6</v>
      </c>
      <c r="IA547" s="19">
        <v>8.6</v>
      </c>
      <c r="IB547" s="19">
        <v>11</v>
      </c>
    </row>
    <row r="548">
      <c r="A548" s="2" t="s">
        <v>3210</v>
      </c>
      <c r="B548" s="2" t="s">
        <v>773</v>
      </c>
      <c r="C548" s="2" t="s">
        <v>616</v>
      </c>
      <c r="D548" s="2" t="s">
        <v>985</v>
      </c>
      <c r="E548" s="2" t="s">
        <v>986</v>
      </c>
      <c r="F548" s="2" t="s">
        <v>3211</v>
      </c>
      <c r="G548" s="2" t="s">
        <v>3211</v>
      </c>
      <c r="H548" s="2" t="s">
        <v>233</v>
      </c>
      <c r="I548" s="2" t="s">
        <v>1443</v>
      </c>
      <c r="J548" s="2" t="s">
        <v>989</v>
      </c>
      <c r="K548" s="2" t="s">
        <v>1525</v>
      </c>
      <c r="L548" s="3">
        <v>36.8</v>
      </c>
      <c r="M548" s="3">
        <v>38.64</v>
      </c>
      <c r="N548" s="3">
        <v>79.99</v>
      </c>
      <c r="O548" s="2" t="s">
        <v>230</v>
      </c>
      <c r="P548" s="2" t="s">
        <v>231</v>
      </c>
      <c r="Q548" s="2" t="s">
        <v>232</v>
      </c>
      <c r="R548" s="2" t="s">
        <v>233</v>
      </c>
      <c r="S548" s="2" t="s">
        <v>3212</v>
      </c>
      <c r="T548" s="2" t="s">
        <v>913</v>
      </c>
      <c r="U548" s="2" t="s">
        <v>233</v>
      </c>
      <c r="V548" s="2" t="s">
        <v>236</v>
      </c>
      <c r="W548" s="2" t="s">
        <v>237</v>
      </c>
      <c r="X548" s="2" t="s">
        <v>233</v>
      </c>
      <c r="Y548" s="2" t="s">
        <v>238</v>
      </c>
      <c r="Z548" s="4">
        <v>553</v>
      </c>
      <c r="AA548" s="4">
        <f>=ROUNDDOWN(39.5,0)</f>
      </c>
      <c r="AB548" s="5">
        <v>14</v>
      </c>
      <c r="AC548" s="2" t="s">
        <v>233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233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 t="s">
        <v>233</v>
      </c>
      <c r="BD548" s="8" t="s">
        <v>233</v>
      </c>
      <c r="BE548" s="4" t="s">
        <v>233</v>
      </c>
      <c r="BF548" s="8" t="s">
        <v>233</v>
      </c>
      <c r="BG548" s="7" t="s">
        <v>233</v>
      </c>
      <c r="BH548" s="7" t="s">
        <v>233</v>
      </c>
      <c r="BI548" s="7"/>
      <c r="BJ548" s="4">
        <v>83</v>
      </c>
      <c r="BK548" s="8">
        <v>3235.88</v>
      </c>
      <c r="BL548" s="2" t="s">
        <v>3213</v>
      </c>
      <c r="BM548" s="7"/>
      <c r="BN548" s="7"/>
      <c r="BO548" s="4"/>
      <c r="BP548" s="8"/>
      <c r="BQ548" s="4"/>
      <c r="BR548" s="8"/>
      <c r="BS548" s="7"/>
      <c r="BT548" s="7"/>
      <c r="BU548" s="2" t="s">
        <v>3214</v>
      </c>
      <c r="BV548" s="2" t="s">
        <v>233</v>
      </c>
      <c r="BW548" s="2" t="s">
        <v>233</v>
      </c>
      <c r="BX548" s="2" t="s">
        <v>241</v>
      </c>
      <c r="BY548" s="2" t="s">
        <v>242</v>
      </c>
      <c r="BZ548" s="2" t="s">
        <v>230</v>
      </c>
      <c r="CA548" s="2" t="s">
        <v>2768</v>
      </c>
      <c r="CB548" s="2" t="s">
        <v>3215</v>
      </c>
      <c r="CC548" s="2" t="s">
        <v>245</v>
      </c>
      <c r="CD548" s="2" t="s">
        <v>233</v>
      </c>
      <c r="CE548" s="4">
        <v>553</v>
      </c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>
        <v>625</v>
      </c>
      <c r="GD548" s="4">
        <v>611</v>
      </c>
      <c r="GE548" s="4">
        <v>598</v>
      </c>
      <c r="GF548" s="4">
        <v>583</v>
      </c>
      <c r="GG548" s="4">
        <v>543</v>
      </c>
      <c r="GH548" s="4">
        <v>502</v>
      </c>
      <c r="GI548" s="4">
        <v>448</v>
      </c>
      <c r="GJ548" s="4">
        <v>418</v>
      </c>
      <c r="GK548" s="4">
        <v>404</v>
      </c>
      <c r="GL548" s="4">
        <v>386</v>
      </c>
      <c r="GM548" s="4">
        <v>378</v>
      </c>
      <c r="GN548" s="4">
        <v>364</v>
      </c>
      <c r="GO548" s="4">
        <v>355</v>
      </c>
      <c r="GP548" s="4">
        <v>346</v>
      </c>
      <c r="GQ548" s="4">
        <v>335</v>
      </c>
      <c r="GR548" s="4">
        <v>327</v>
      </c>
      <c r="GS548" s="4">
        <v>320</v>
      </c>
      <c r="GT548" s="4">
        <v>312</v>
      </c>
      <c r="GU548" s="4">
        <v>307</v>
      </c>
      <c r="GV548" s="4">
        <v>301</v>
      </c>
      <c r="GW548" s="4">
        <v>293</v>
      </c>
      <c r="GX548" s="4">
        <v>287</v>
      </c>
      <c r="GY548" s="4">
        <v>283</v>
      </c>
      <c r="GZ548" s="4">
        <v>279</v>
      </c>
      <c r="HA548" s="4">
        <v>276</v>
      </c>
      <c r="HB548" s="4">
        <v>273</v>
      </c>
      <c r="HC548" s="19">
        <v>31.3</v>
      </c>
      <c r="HD548" s="19">
        <v>22.6</v>
      </c>
      <c r="HE548" s="19">
        <v>15.7</v>
      </c>
      <c r="HF548" s="19">
        <v>14.2</v>
      </c>
      <c r="HG548" s="19">
        <v>15.5</v>
      </c>
      <c r="HH548" s="19">
        <v>17.3</v>
      </c>
      <c r="HI548" s="19">
        <v>24.9</v>
      </c>
      <c r="HJ548" s="19">
        <v>29.9</v>
      </c>
      <c r="HK548" s="19">
        <v>33.7</v>
      </c>
      <c r="HL548" s="19">
        <v>38.6</v>
      </c>
      <c r="HM548" s="19">
        <v>34.4</v>
      </c>
      <c r="HN548" s="19">
        <v>40.4</v>
      </c>
      <c r="HO548" s="19">
        <v>39.4</v>
      </c>
      <c r="HP548" s="19">
        <v>43.3</v>
      </c>
      <c r="HQ548" s="19">
        <v>47.9</v>
      </c>
      <c r="HR548" s="19">
        <v>54.5</v>
      </c>
      <c r="HS548" s="19">
        <v>45.7</v>
      </c>
      <c r="HT548" s="19">
        <v>52</v>
      </c>
      <c r="HU548" s="19">
        <v>51.2</v>
      </c>
      <c r="HV548" s="19">
        <v>50.2</v>
      </c>
      <c r="HW548" s="19">
        <v>73.3</v>
      </c>
      <c r="HX548" s="19">
        <v>71.8</v>
      </c>
      <c r="HY548" s="19">
        <v>94.3</v>
      </c>
      <c r="HZ548" s="19">
        <v>93</v>
      </c>
      <c r="IA548" s="19">
        <v>69</v>
      </c>
      <c r="IB548" s="19">
        <v>68.3</v>
      </c>
    </row>
    <row r="549">
      <c r="A549" s="2" t="s">
        <v>3216</v>
      </c>
      <c r="B549" s="2" t="s">
        <v>773</v>
      </c>
      <c r="C549" s="2" t="s">
        <v>616</v>
      </c>
      <c r="D549" s="2" t="s">
        <v>985</v>
      </c>
      <c r="E549" s="2" t="s">
        <v>2241</v>
      </c>
      <c r="F549" s="2" t="s">
        <v>3211</v>
      </c>
      <c r="G549" s="2" t="s">
        <v>3211</v>
      </c>
      <c r="H549" s="2" t="s">
        <v>233</v>
      </c>
      <c r="I549" s="2" t="s">
        <v>1574</v>
      </c>
      <c r="J549" s="2" t="s">
        <v>336</v>
      </c>
      <c r="K549" s="2" t="s">
        <v>3217</v>
      </c>
      <c r="L549" s="3">
        <v>79.48</v>
      </c>
      <c r="M549" s="3">
        <v>83.45</v>
      </c>
      <c r="N549" s="3">
        <v>154.99</v>
      </c>
      <c r="O549" s="2" t="s">
        <v>230</v>
      </c>
      <c r="P549" s="2" t="s">
        <v>231</v>
      </c>
      <c r="Q549" s="2" t="s">
        <v>232</v>
      </c>
      <c r="R549" s="2" t="s">
        <v>233</v>
      </c>
      <c r="S549" s="2" t="s">
        <v>3218</v>
      </c>
      <c r="T549" s="2" t="s">
        <v>913</v>
      </c>
      <c r="U549" s="2" t="s">
        <v>233</v>
      </c>
      <c r="V549" s="2" t="s">
        <v>236</v>
      </c>
      <c r="W549" s="2" t="s">
        <v>237</v>
      </c>
      <c r="X549" s="2" t="s">
        <v>233</v>
      </c>
      <c r="Y549" s="2" t="s">
        <v>238</v>
      </c>
      <c r="Z549" s="4">
        <v>169</v>
      </c>
      <c r="AA549" s="4">
        <f>=ROUNDDOWN(24.1428571428571,0)</f>
      </c>
      <c r="AB549" s="5">
        <v>7</v>
      </c>
      <c r="AC549" s="2" t="s">
        <v>233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233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 t="s">
        <v>233</v>
      </c>
      <c r="BD549" s="8" t="s">
        <v>233</v>
      </c>
      <c r="BE549" s="4" t="s">
        <v>233</v>
      </c>
      <c r="BF549" s="8" t="s">
        <v>233</v>
      </c>
      <c r="BG549" s="7" t="s">
        <v>233</v>
      </c>
      <c r="BH549" s="7" t="s">
        <v>233</v>
      </c>
      <c r="BI549" s="7"/>
      <c r="BJ549" s="4">
        <v>63</v>
      </c>
      <c r="BK549" s="8">
        <v>5513.74</v>
      </c>
      <c r="BL549" s="2" t="s">
        <v>3219</v>
      </c>
      <c r="BM549" s="7"/>
      <c r="BN549" s="7"/>
      <c r="BO549" s="4"/>
      <c r="BP549" s="8"/>
      <c r="BQ549" s="4"/>
      <c r="BR549" s="8"/>
      <c r="BS549" s="7"/>
      <c r="BT549" s="7"/>
      <c r="BU549" s="2" t="s">
        <v>3220</v>
      </c>
      <c r="BV549" s="2" t="s">
        <v>233</v>
      </c>
      <c r="BW549" s="2" t="s">
        <v>233</v>
      </c>
      <c r="BX549" s="2" t="s">
        <v>2938</v>
      </c>
      <c r="BY549" s="2" t="s">
        <v>242</v>
      </c>
      <c r="BZ549" s="2" t="s">
        <v>230</v>
      </c>
      <c r="CA549" s="2" t="s">
        <v>2768</v>
      </c>
      <c r="CB549" s="2" t="s">
        <v>3221</v>
      </c>
      <c r="CC549" s="2" t="s">
        <v>245</v>
      </c>
      <c r="CD549" s="2" t="s">
        <v>233</v>
      </c>
      <c r="CE549" s="4">
        <v>169</v>
      </c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>
        <v>191</v>
      </c>
      <c r="GD549" s="4">
        <v>169</v>
      </c>
      <c r="GE549" s="4">
        <v>163</v>
      </c>
      <c r="GF549" s="4">
        <v>157</v>
      </c>
      <c r="GG549" s="4">
        <v>145</v>
      </c>
      <c r="GH549" s="4">
        <v>134</v>
      </c>
      <c r="GI549" s="4">
        <v>121</v>
      </c>
      <c r="GJ549" s="4">
        <v>112</v>
      </c>
      <c r="GK549" s="4">
        <v>106</v>
      </c>
      <c r="GL549" s="4">
        <v>100</v>
      </c>
      <c r="GM549" s="4">
        <v>93</v>
      </c>
      <c r="GN549" s="4">
        <v>86</v>
      </c>
      <c r="GO549" s="4">
        <v>81</v>
      </c>
      <c r="GP549" s="4">
        <v>76</v>
      </c>
      <c r="GQ549" s="4">
        <v>73</v>
      </c>
      <c r="GR549" s="4">
        <v>70</v>
      </c>
      <c r="GS549" s="4">
        <v>67</v>
      </c>
      <c r="GT549" s="4">
        <v>64</v>
      </c>
      <c r="GU549" s="4">
        <v>62</v>
      </c>
      <c r="GV549" s="4">
        <v>59</v>
      </c>
      <c r="GW549" s="4">
        <v>57</v>
      </c>
      <c r="GX549" s="4">
        <v>56</v>
      </c>
      <c r="GY549" s="4">
        <v>54</v>
      </c>
      <c r="GZ549" s="4">
        <v>53</v>
      </c>
      <c r="HA549" s="4">
        <v>52</v>
      </c>
      <c r="HB549" s="4">
        <v>51</v>
      </c>
      <c r="HC549" s="19">
        <v>15.9</v>
      </c>
      <c r="HD549" s="19">
        <v>18.8</v>
      </c>
      <c r="HE549" s="19">
        <v>16.3</v>
      </c>
      <c r="HF549" s="19">
        <v>14.3</v>
      </c>
      <c r="HG549" s="19">
        <v>14.5</v>
      </c>
      <c r="HH549" s="19">
        <v>16.8</v>
      </c>
      <c r="HI549" s="19">
        <v>17.3</v>
      </c>
      <c r="HJ549" s="19">
        <v>18.7</v>
      </c>
      <c r="HK549" s="19">
        <v>17.7</v>
      </c>
      <c r="HL549" s="19">
        <v>16.7</v>
      </c>
      <c r="HM549" s="19">
        <v>18.6</v>
      </c>
      <c r="HN549" s="19">
        <v>21.5</v>
      </c>
      <c r="HO549" s="19">
        <v>20.3</v>
      </c>
      <c r="HP549" s="19">
        <v>25.3</v>
      </c>
      <c r="HQ549" s="19">
        <v>24.3</v>
      </c>
      <c r="HR549" s="19">
        <v>23.3</v>
      </c>
      <c r="HS549" s="19">
        <v>33.5</v>
      </c>
      <c r="HT549" s="19">
        <v>32</v>
      </c>
      <c r="HU549" s="19">
        <v>31</v>
      </c>
      <c r="HV549" s="19">
        <v>29.5</v>
      </c>
      <c r="HW549" s="19">
        <v>57</v>
      </c>
      <c r="HX549" s="19">
        <v>56</v>
      </c>
      <c r="HY549" s="19">
        <v>54</v>
      </c>
      <c r="HZ549" s="19">
        <v>26.5</v>
      </c>
      <c r="IA549" s="19">
        <v>26</v>
      </c>
      <c r="IB549" s="19">
        <v>25.5</v>
      </c>
    </row>
    <row r="550">
      <c r="A550" s="2" t="s">
        <v>3222</v>
      </c>
      <c r="B550" s="2" t="s">
        <v>773</v>
      </c>
      <c r="C550" s="2" t="s">
        <v>616</v>
      </c>
      <c r="D550" s="2" t="s">
        <v>985</v>
      </c>
      <c r="E550" s="2" t="s">
        <v>986</v>
      </c>
      <c r="F550" s="2" t="s">
        <v>3211</v>
      </c>
      <c r="G550" s="2" t="s">
        <v>3211</v>
      </c>
      <c r="H550" s="2" t="s">
        <v>233</v>
      </c>
      <c r="I550" s="2" t="s">
        <v>1443</v>
      </c>
      <c r="J550" s="2" t="s">
        <v>989</v>
      </c>
      <c r="K550" s="2" t="s">
        <v>300</v>
      </c>
      <c r="L550" s="3">
        <v>36.8</v>
      </c>
      <c r="M550" s="3">
        <v>38.64</v>
      </c>
      <c r="N550" s="3">
        <v>79.99</v>
      </c>
      <c r="O550" s="2" t="s">
        <v>230</v>
      </c>
      <c r="P550" s="2" t="s">
        <v>597</v>
      </c>
      <c r="Q550" s="2" t="s">
        <v>232</v>
      </c>
      <c r="R550" s="2" t="s">
        <v>233</v>
      </c>
      <c r="S550" s="2" t="s">
        <v>3223</v>
      </c>
      <c r="T550" s="2" t="s">
        <v>913</v>
      </c>
      <c r="U550" s="2" t="s">
        <v>233</v>
      </c>
      <c r="V550" s="2" t="s">
        <v>236</v>
      </c>
      <c r="W550" s="2" t="s">
        <v>237</v>
      </c>
      <c r="X550" s="2" t="s">
        <v>233</v>
      </c>
      <c r="Y550" s="2" t="s">
        <v>238</v>
      </c>
      <c r="Z550" s="4">
        <v>472</v>
      </c>
      <c r="AA550" s="4">
        <f>=ROUNDDOWN(9.44,0)</f>
      </c>
      <c r="AB550" s="5">
        <v>50</v>
      </c>
      <c r="AC550" s="2" t="s">
        <v>731</v>
      </c>
      <c r="AD550" s="4">
        <v>1620</v>
      </c>
      <c r="AE550" s="4">
        <v>2340</v>
      </c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233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 t="s">
        <v>233</v>
      </c>
      <c r="BD550" s="8" t="s">
        <v>233</v>
      </c>
      <c r="BE550" s="4" t="s">
        <v>233</v>
      </c>
      <c r="BF550" s="8" t="s">
        <v>233</v>
      </c>
      <c r="BG550" s="7" t="s">
        <v>233</v>
      </c>
      <c r="BH550" s="7" t="s">
        <v>233</v>
      </c>
      <c r="BI550" s="7"/>
      <c r="BJ550" s="4">
        <v>274</v>
      </c>
      <c r="BK550" s="8">
        <v>10708.83</v>
      </c>
      <c r="BL550" s="2" t="s">
        <v>3224</v>
      </c>
      <c r="BM550" s="7"/>
      <c r="BN550" s="7"/>
      <c r="BO550" s="4"/>
      <c r="BP550" s="8"/>
      <c r="BQ550" s="4"/>
      <c r="BR550" s="8"/>
      <c r="BS550" s="7"/>
      <c r="BT550" s="7"/>
      <c r="BU550" s="2" t="s">
        <v>3214</v>
      </c>
      <c r="BV550" s="2" t="s">
        <v>233</v>
      </c>
      <c r="BW550" s="2" t="s">
        <v>233</v>
      </c>
      <c r="BX550" s="2" t="s">
        <v>241</v>
      </c>
      <c r="BY550" s="2" t="s">
        <v>242</v>
      </c>
      <c r="BZ550" s="2" t="s">
        <v>230</v>
      </c>
      <c r="CA550" s="2" t="s">
        <v>2768</v>
      </c>
      <c r="CB550" s="2" t="s">
        <v>3225</v>
      </c>
      <c r="CC550" s="2" t="s">
        <v>245</v>
      </c>
      <c r="CD550" s="2" t="s">
        <v>233</v>
      </c>
      <c r="CE550" s="4">
        <v>1</v>
      </c>
      <c r="CF550" s="4">
        <v>471</v>
      </c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>
        <v>1620</v>
      </c>
      <c r="CX550" s="4"/>
      <c r="CY550" s="4"/>
      <c r="CZ550" s="4"/>
      <c r="DA550" s="4"/>
      <c r="DB550" s="4"/>
      <c r="DC550" s="4"/>
      <c r="DD550" s="4">
        <v>100</v>
      </c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>
        <v>120</v>
      </c>
      <c r="DS550" s="4"/>
      <c r="DT550" s="4"/>
      <c r="DU550" s="4"/>
      <c r="DV550" s="4">
        <v>500</v>
      </c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>
        <v>712</v>
      </c>
      <c r="GD550" s="4">
        <v>783</v>
      </c>
      <c r="GE550" s="4">
        <v>623</v>
      </c>
      <c r="GF550" s="4">
        <v>621</v>
      </c>
      <c r="GG550" s="4">
        <v>453</v>
      </c>
      <c r="GH550" s="4">
        <v>919</v>
      </c>
      <c r="GI550" s="4">
        <v>755</v>
      </c>
      <c r="GJ550" s="4">
        <v>543</v>
      </c>
      <c r="GK550" s="4">
        <v>529</v>
      </c>
      <c r="GL550" s="4">
        <v>508</v>
      </c>
      <c r="GM550" s="4">
        <v>496</v>
      </c>
      <c r="GN550" s="4">
        <v>460</v>
      </c>
      <c r="GO550" s="4">
        <v>425</v>
      </c>
      <c r="GP550" s="4">
        <v>390</v>
      </c>
      <c r="GQ550" s="4">
        <v>358</v>
      </c>
      <c r="GR550" s="4">
        <v>338</v>
      </c>
      <c r="GS550" s="4">
        <v>322</v>
      </c>
      <c r="GT550" s="4">
        <v>301</v>
      </c>
      <c r="GU550" s="4">
        <v>285</v>
      </c>
      <c r="GV550" s="4">
        <v>267</v>
      </c>
      <c r="GW550" s="4">
        <v>240</v>
      </c>
      <c r="GX550" s="4">
        <v>218</v>
      </c>
      <c r="GY550" s="4">
        <v>206</v>
      </c>
      <c r="GZ550" s="4">
        <v>194</v>
      </c>
      <c r="HA550" s="4">
        <v>183</v>
      </c>
      <c r="HB550" s="4">
        <v>172</v>
      </c>
      <c r="HC550" s="19">
        <v>4.5</v>
      </c>
      <c r="HD550" s="19">
        <v>5.4</v>
      </c>
      <c r="HE550" s="19">
        <v>4.2</v>
      </c>
      <c r="HF550" s="19">
        <v>3.6</v>
      </c>
      <c r="HG550" s="19">
        <v>3.3</v>
      </c>
      <c r="HH550" s="19">
        <v>8.9</v>
      </c>
      <c r="HI550" s="19">
        <v>11.6</v>
      </c>
      <c r="HJ550" s="19">
        <v>25.9</v>
      </c>
      <c r="HK550" s="19">
        <v>20.3</v>
      </c>
      <c r="HL550" s="19">
        <v>16.9</v>
      </c>
      <c r="HM550" s="19">
        <v>14.6</v>
      </c>
      <c r="HN550" s="19">
        <v>15.3</v>
      </c>
      <c r="HO550" s="19">
        <v>16.3</v>
      </c>
      <c r="HP550" s="19">
        <v>17.7</v>
      </c>
      <c r="HQ550" s="19">
        <v>19.9</v>
      </c>
      <c r="HR550" s="19">
        <v>18.8</v>
      </c>
      <c r="HS550" s="19">
        <v>16.1</v>
      </c>
      <c r="HT550" s="19">
        <v>14.3</v>
      </c>
      <c r="HU550" s="19">
        <v>14.3</v>
      </c>
      <c r="HV550" s="19">
        <v>14.8</v>
      </c>
      <c r="HW550" s="19">
        <v>17.1</v>
      </c>
      <c r="HX550" s="19">
        <v>18.2</v>
      </c>
      <c r="HY550" s="19">
        <v>18.7</v>
      </c>
      <c r="HZ550" s="19">
        <v>16.2</v>
      </c>
      <c r="IA550" s="19">
        <v>14.1</v>
      </c>
      <c r="IB550" s="19">
        <v>13.2</v>
      </c>
    </row>
    <row r="551">
      <c r="A551" s="2" t="s">
        <v>3226</v>
      </c>
      <c r="B551" s="2" t="s">
        <v>773</v>
      </c>
      <c r="C551" s="2" t="s">
        <v>616</v>
      </c>
      <c r="D551" s="2" t="s">
        <v>985</v>
      </c>
      <c r="E551" s="2" t="s">
        <v>986</v>
      </c>
      <c r="F551" s="2" t="s">
        <v>3211</v>
      </c>
      <c r="G551" s="2" t="s">
        <v>3211</v>
      </c>
      <c r="H551" s="2" t="s">
        <v>233</v>
      </c>
      <c r="I551" s="2" t="s">
        <v>1443</v>
      </c>
      <c r="J551" s="2" t="s">
        <v>989</v>
      </c>
      <c r="K551" s="2" t="s">
        <v>689</v>
      </c>
      <c r="L551" s="3">
        <v>36.8</v>
      </c>
      <c r="M551" s="3">
        <v>38.64</v>
      </c>
      <c r="N551" s="3">
        <v>79.99</v>
      </c>
      <c r="O551" s="2" t="s">
        <v>230</v>
      </c>
      <c r="P551" s="2" t="s">
        <v>231</v>
      </c>
      <c r="Q551" s="2" t="s">
        <v>232</v>
      </c>
      <c r="R551" s="2" t="s">
        <v>233</v>
      </c>
      <c r="S551" s="2" t="s">
        <v>3227</v>
      </c>
      <c r="T551" s="2" t="s">
        <v>1859</v>
      </c>
      <c r="U551" s="2" t="s">
        <v>329</v>
      </c>
      <c r="V551" s="2" t="s">
        <v>236</v>
      </c>
      <c r="W551" s="2" t="s">
        <v>237</v>
      </c>
      <c r="X551" s="2" t="s">
        <v>233</v>
      </c>
      <c r="Y551" s="2" t="s">
        <v>2879</v>
      </c>
      <c r="Z551" s="4">
        <v>901</v>
      </c>
      <c r="AA551" s="4">
        <f>=ROUNDDOWN(40.9545454545454,0)</f>
      </c>
      <c r="AB551" s="5">
        <v>22</v>
      </c>
      <c r="AC551" s="2" t="s">
        <v>731</v>
      </c>
      <c r="AD551" s="4">
        <v>1080</v>
      </c>
      <c r="AE551" s="4">
        <v>1250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233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 t="s">
        <v>233</v>
      </c>
      <c r="BD551" s="8" t="s">
        <v>233</v>
      </c>
      <c r="BE551" s="4" t="s">
        <v>233</v>
      </c>
      <c r="BF551" s="8" t="s">
        <v>233</v>
      </c>
      <c r="BG551" s="7" t="s">
        <v>233</v>
      </c>
      <c r="BH551" s="7" t="s">
        <v>233</v>
      </c>
      <c r="BI551" s="7"/>
      <c r="BJ551" s="4">
        <v>77</v>
      </c>
      <c r="BK551" s="8">
        <v>3050.74</v>
      </c>
      <c r="BL551" s="2" t="s">
        <v>3228</v>
      </c>
      <c r="BM551" s="7"/>
      <c r="BN551" s="7"/>
      <c r="BO551" s="4"/>
      <c r="BP551" s="8"/>
      <c r="BQ551" s="4"/>
      <c r="BR551" s="8"/>
      <c r="BS551" s="7"/>
      <c r="BT551" s="7"/>
      <c r="BU551" s="2" t="s">
        <v>3214</v>
      </c>
      <c r="BV551" s="2" t="s">
        <v>233</v>
      </c>
      <c r="BW551" s="2" t="s">
        <v>233</v>
      </c>
      <c r="BX551" s="2" t="s">
        <v>241</v>
      </c>
      <c r="BY551" s="2" t="s">
        <v>242</v>
      </c>
      <c r="BZ551" s="2" t="s">
        <v>230</v>
      </c>
      <c r="CA551" s="2" t="s">
        <v>2879</v>
      </c>
      <c r="CB551" s="2" t="s">
        <v>3229</v>
      </c>
      <c r="CC551" s="2" t="s">
        <v>245</v>
      </c>
      <c r="CD551" s="2" t="s">
        <v>233</v>
      </c>
      <c r="CE551" s="4">
        <v>482</v>
      </c>
      <c r="CF551" s="4">
        <v>417</v>
      </c>
      <c r="CG551" s="4"/>
      <c r="CH551" s="4"/>
      <c r="CI551" s="4"/>
      <c r="CJ551" s="4"/>
      <c r="CK551" s="4">
        <v>2</v>
      </c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>
        <v>1080</v>
      </c>
      <c r="CX551" s="4"/>
      <c r="CY551" s="4"/>
      <c r="CZ551" s="4"/>
      <c r="DA551" s="4"/>
      <c r="DB551" s="4"/>
      <c r="DC551" s="4"/>
      <c r="DD551" s="4">
        <v>100</v>
      </c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>
        <v>70</v>
      </c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>
        <v>937</v>
      </c>
      <c r="GD551" s="4">
        <v>1051</v>
      </c>
      <c r="GE551" s="4">
        <v>1017</v>
      </c>
      <c r="GF551" s="4">
        <v>1077</v>
      </c>
      <c r="GG551" s="4">
        <v>999</v>
      </c>
      <c r="GH551" s="4">
        <v>996</v>
      </c>
      <c r="GI551" s="4">
        <v>906</v>
      </c>
      <c r="GJ551" s="4">
        <v>857</v>
      </c>
      <c r="GK551" s="4">
        <v>836</v>
      </c>
      <c r="GL551" s="4">
        <v>808</v>
      </c>
      <c r="GM551" s="4">
        <v>797</v>
      </c>
      <c r="GN551" s="4">
        <v>776</v>
      </c>
      <c r="GO551" s="4">
        <v>763</v>
      </c>
      <c r="GP551" s="4">
        <v>750</v>
      </c>
      <c r="GQ551" s="4">
        <v>732</v>
      </c>
      <c r="GR551" s="4">
        <v>720</v>
      </c>
      <c r="GS551" s="4">
        <v>708</v>
      </c>
      <c r="GT551" s="4">
        <v>695</v>
      </c>
      <c r="GU551" s="4">
        <v>687</v>
      </c>
      <c r="GV551" s="4">
        <v>678</v>
      </c>
      <c r="GW551" s="4">
        <v>666</v>
      </c>
      <c r="GX551" s="4">
        <v>656</v>
      </c>
      <c r="GY551" s="4">
        <v>648</v>
      </c>
      <c r="GZ551" s="4">
        <v>640</v>
      </c>
      <c r="HA551" s="4">
        <v>634</v>
      </c>
      <c r="HB551" s="4">
        <v>628</v>
      </c>
      <c r="HC551" s="19">
        <v>17.4</v>
      </c>
      <c r="HD551" s="19">
        <v>18.8</v>
      </c>
      <c r="HE551" s="19">
        <v>14.5</v>
      </c>
      <c r="HF551" s="19">
        <v>15</v>
      </c>
      <c r="HG551" s="19">
        <v>17.2</v>
      </c>
      <c r="HH551" s="19">
        <v>21.2</v>
      </c>
      <c r="HI551" s="19">
        <v>33.6</v>
      </c>
      <c r="HJ551" s="19">
        <v>42.9</v>
      </c>
      <c r="HK551" s="19">
        <v>46.4</v>
      </c>
      <c r="HL551" s="19">
        <v>57.7</v>
      </c>
      <c r="HM551" s="19">
        <v>49.8</v>
      </c>
      <c r="HN551" s="19">
        <v>55.4</v>
      </c>
      <c r="HO551" s="19">
        <v>54.5</v>
      </c>
      <c r="HP551" s="19">
        <v>53.6</v>
      </c>
      <c r="HQ551" s="19">
        <v>66.5</v>
      </c>
      <c r="HR551" s="19">
        <v>72</v>
      </c>
      <c r="HS551" s="19">
        <v>70.8</v>
      </c>
      <c r="HT551" s="19">
        <v>69.5</v>
      </c>
      <c r="HU551" s="19">
        <v>68.7</v>
      </c>
      <c r="HV551" s="19">
        <v>67.8</v>
      </c>
      <c r="HW551" s="19">
        <v>83.3</v>
      </c>
      <c r="HX551" s="19">
        <v>93.7</v>
      </c>
      <c r="HY551" s="19">
        <v>108</v>
      </c>
      <c r="HZ551" s="19">
        <v>106.7</v>
      </c>
      <c r="IA551" s="19">
        <v>105.7</v>
      </c>
      <c r="IB551" s="19">
        <v>104.7</v>
      </c>
    </row>
    <row r="552">
      <c r="A552" s="2" t="s">
        <v>3230</v>
      </c>
      <c r="B552" s="2" t="s">
        <v>773</v>
      </c>
      <c r="C552" s="2" t="s">
        <v>616</v>
      </c>
      <c r="D552" s="2" t="s">
        <v>985</v>
      </c>
      <c r="E552" s="2" t="s">
        <v>2241</v>
      </c>
      <c r="F552" s="2" t="s">
        <v>3211</v>
      </c>
      <c r="G552" s="2" t="s">
        <v>3211</v>
      </c>
      <c r="H552" s="2" t="s">
        <v>233</v>
      </c>
      <c r="I552" s="2" t="s">
        <v>1574</v>
      </c>
      <c r="J552" s="2" t="s">
        <v>336</v>
      </c>
      <c r="K552" s="2" t="s">
        <v>1121</v>
      </c>
      <c r="L552" s="3">
        <v>79.48</v>
      </c>
      <c r="M552" s="3">
        <v>83.45</v>
      </c>
      <c r="N552" s="3">
        <v>154.99</v>
      </c>
      <c r="O552" s="2" t="s">
        <v>230</v>
      </c>
      <c r="P552" s="2" t="s">
        <v>231</v>
      </c>
      <c r="Q552" s="2" t="s">
        <v>232</v>
      </c>
      <c r="R552" s="2" t="s">
        <v>233</v>
      </c>
      <c r="S552" s="2" t="s">
        <v>3231</v>
      </c>
      <c r="T552" s="2" t="s">
        <v>913</v>
      </c>
      <c r="U552" s="2" t="s">
        <v>233</v>
      </c>
      <c r="V552" s="2" t="s">
        <v>236</v>
      </c>
      <c r="W552" s="2" t="s">
        <v>237</v>
      </c>
      <c r="X552" s="2" t="s">
        <v>233</v>
      </c>
      <c r="Y552" s="2" t="s">
        <v>238</v>
      </c>
      <c r="Z552" s="4">
        <v>175</v>
      </c>
      <c r="AA552" s="4">
        <f>=ROUNDDOWN(21.875,0)</f>
      </c>
      <c r="AB552" s="5">
        <v>8</v>
      </c>
      <c r="AC552" s="2" t="s">
        <v>3232</v>
      </c>
      <c r="AD552" s="4">
        <v>300</v>
      </c>
      <c r="AE552" s="4">
        <v>300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233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 t="s">
        <v>233</v>
      </c>
      <c r="BD552" s="8" t="s">
        <v>233</v>
      </c>
      <c r="BE552" s="4" t="s">
        <v>233</v>
      </c>
      <c r="BF552" s="8" t="s">
        <v>233</v>
      </c>
      <c r="BG552" s="7" t="s">
        <v>233</v>
      </c>
      <c r="BH552" s="7" t="s">
        <v>233</v>
      </c>
      <c r="BI552" s="7"/>
      <c r="BJ552" s="4">
        <v>11</v>
      </c>
      <c r="BK552" s="8">
        <v>913.82</v>
      </c>
      <c r="BL552" s="2" t="s">
        <v>3233</v>
      </c>
      <c r="BM552" s="7"/>
      <c r="BN552" s="7"/>
      <c r="BO552" s="4"/>
      <c r="BP552" s="8"/>
      <c r="BQ552" s="4"/>
      <c r="BR552" s="8"/>
      <c r="BS552" s="7"/>
      <c r="BT552" s="7"/>
      <c r="BU552" s="2" t="s">
        <v>3220</v>
      </c>
      <c r="BV552" s="2" t="s">
        <v>233</v>
      </c>
      <c r="BW552" s="2" t="s">
        <v>233</v>
      </c>
      <c r="BX552" s="2" t="s">
        <v>2938</v>
      </c>
      <c r="BY552" s="2" t="s">
        <v>242</v>
      </c>
      <c r="BZ552" s="2" t="s">
        <v>230</v>
      </c>
      <c r="CA552" s="2" t="s">
        <v>2768</v>
      </c>
      <c r="CB552" s="2" t="s">
        <v>1057</v>
      </c>
      <c r="CC552" s="2" t="s">
        <v>245</v>
      </c>
      <c r="CD552" s="2" t="s">
        <v>233</v>
      </c>
      <c r="CE552" s="4">
        <v>175</v>
      </c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>
        <v>300</v>
      </c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>
        <v>180</v>
      </c>
      <c r="GD552" s="4">
        <v>134</v>
      </c>
      <c r="GE552" s="4">
        <v>121</v>
      </c>
      <c r="GF552" s="4">
        <v>110</v>
      </c>
      <c r="GG552" s="4">
        <v>91</v>
      </c>
      <c r="GH552" s="4">
        <v>78</v>
      </c>
      <c r="GI552" s="4">
        <v>62</v>
      </c>
      <c r="GJ552" s="4">
        <v>50</v>
      </c>
      <c r="GK552" s="4">
        <v>43</v>
      </c>
      <c r="GL552" s="4">
        <v>35</v>
      </c>
      <c r="GM552" s="4">
        <v>328</v>
      </c>
      <c r="GN552" s="4">
        <v>321</v>
      </c>
      <c r="GO552" s="4">
        <v>316</v>
      </c>
      <c r="GP552" s="4">
        <v>311</v>
      </c>
      <c r="GQ552" s="4">
        <v>307</v>
      </c>
      <c r="GR552" s="4">
        <v>304</v>
      </c>
      <c r="GS552" s="4">
        <v>301</v>
      </c>
      <c r="GT552" s="4">
        <v>297</v>
      </c>
      <c r="GU552" s="4">
        <v>294</v>
      </c>
      <c r="GV552" s="4">
        <v>291</v>
      </c>
      <c r="GW552" s="4">
        <v>288</v>
      </c>
      <c r="GX552" s="4">
        <v>286</v>
      </c>
      <c r="GY552" s="4">
        <v>284</v>
      </c>
      <c r="GZ552" s="4">
        <v>282</v>
      </c>
      <c r="HA552" s="4">
        <v>281</v>
      </c>
      <c r="HB552" s="4">
        <v>280</v>
      </c>
      <c r="HC552" s="19">
        <v>8.2</v>
      </c>
      <c r="HD552" s="19">
        <v>9.6</v>
      </c>
      <c r="HE552" s="19">
        <v>8.1</v>
      </c>
      <c r="HF552" s="19">
        <v>7.3</v>
      </c>
      <c r="HG552" s="19">
        <v>7.6</v>
      </c>
      <c r="HH552" s="19">
        <v>7.1</v>
      </c>
      <c r="HI552" s="19">
        <v>7.8</v>
      </c>
      <c r="HJ552" s="19">
        <v>7.1</v>
      </c>
      <c r="HK552" s="19">
        <v>6.1</v>
      </c>
      <c r="HL552" s="19">
        <v>5.8</v>
      </c>
      <c r="HM552" s="19">
        <v>65.6</v>
      </c>
      <c r="HN552" s="19">
        <v>80.3</v>
      </c>
      <c r="HO552" s="19">
        <v>79</v>
      </c>
      <c r="HP552" s="19">
        <v>77.8</v>
      </c>
      <c r="HQ552" s="19">
        <v>102.3</v>
      </c>
      <c r="HR552" s="19">
        <v>101.3</v>
      </c>
      <c r="HS552" s="19">
        <v>100.3</v>
      </c>
      <c r="HT552" s="19">
        <v>99</v>
      </c>
      <c r="HU552" s="19">
        <v>147</v>
      </c>
      <c r="HV552" s="19">
        <v>145.5</v>
      </c>
      <c r="HW552" s="19">
        <v>144</v>
      </c>
      <c r="HX552" s="19">
        <v>143</v>
      </c>
      <c r="HY552" s="19">
        <v>142</v>
      </c>
      <c r="HZ552" s="19">
        <v>141</v>
      </c>
      <c r="IA552" s="19">
        <v>140.5</v>
      </c>
      <c r="IB552" s="19">
        <v>140</v>
      </c>
    </row>
    <row r="553">
      <c r="A553" s="2" t="s">
        <v>3234</v>
      </c>
      <c r="B553" s="2" t="s">
        <v>773</v>
      </c>
      <c r="C553" s="2" t="s">
        <v>616</v>
      </c>
      <c r="D553" s="2" t="s">
        <v>985</v>
      </c>
      <c r="E553" s="2" t="s">
        <v>2241</v>
      </c>
      <c r="F553" s="2" t="s">
        <v>3211</v>
      </c>
      <c r="G553" s="2" t="s">
        <v>3211</v>
      </c>
      <c r="H553" s="2" t="s">
        <v>233</v>
      </c>
      <c r="I553" s="2" t="s">
        <v>1574</v>
      </c>
      <c r="J553" s="2" t="s">
        <v>228</v>
      </c>
      <c r="K553" s="2" t="s">
        <v>1014</v>
      </c>
      <c r="L553" s="3">
        <v>54.64</v>
      </c>
      <c r="M553" s="3">
        <v>57.37</v>
      </c>
      <c r="N553" s="3">
        <v>104.99</v>
      </c>
      <c r="O553" s="2" t="s">
        <v>230</v>
      </c>
      <c r="P553" s="2" t="s">
        <v>586</v>
      </c>
      <c r="Q553" s="2" t="s">
        <v>232</v>
      </c>
      <c r="R553" s="2" t="s">
        <v>233</v>
      </c>
      <c r="S553" s="2" t="s">
        <v>3235</v>
      </c>
      <c r="T553" s="2" t="s">
        <v>913</v>
      </c>
      <c r="U553" s="2" t="s">
        <v>233</v>
      </c>
      <c r="V553" s="2" t="s">
        <v>236</v>
      </c>
      <c r="W553" s="2" t="s">
        <v>237</v>
      </c>
      <c r="X553" s="2" t="s">
        <v>233</v>
      </c>
      <c r="Y553" s="2" t="s">
        <v>3236</v>
      </c>
      <c r="Z553" s="4">
        <v>362</v>
      </c>
      <c r="AA553" s="4">
        <f>=ROUNDDOWN(25.8571428571429,0)</f>
      </c>
      <c r="AB553" s="5">
        <v>14</v>
      </c>
      <c r="AC553" s="2" t="s">
        <v>746</v>
      </c>
      <c r="AD553" s="4">
        <v>70</v>
      </c>
      <c r="AE553" s="4">
        <v>70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233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 t="s">
        <v>233</v>
      </c>
      <c r="BD553" s="8" t="s">
        <v>233</v>
      </c>
      <c r="BE553" s="4" t="s">
        <v>233</v>
      </c>
      <c r="BF553" s="8" t="s">
        <v>233</v>
      </c>
      <c r="BG553" s="7" t="s">
        <v>233</v>
      </c>
      <c r="BH553" s="7" t="s">
        <v>233</v>
      </c>
      <c r="BI553" s="7"/>
      <c r="BJ553" s="4">
        <v>38</v>
      </c>
      <c r="BK553" s="8">
        <v>2311.3</v>
      </c>
      <c r="BL553" s="2" t="s">
        <v>3237</v>
      </c>
      <c r="BM553" s="7"/>
      <c r="BN553" s="7"/>
      <c r="BO553" s="4"/>
      <c r="BP553" s="8"/>
      <c r="BQ553" s="4"/>
      <c r="BR553" s="8"/>
      <c r="BS553" s="7"/>
      <c r="BT553" s="7"/>
      <c r="BU553" s="2" t="s">
        <v>3220</v>
      </c>
      <c r="BV553" s="2" t="s">
        <v>233</v>
      </c>
      <c r="BW553" s="2" t="s">
        <v>233</v>
      </c>
      <c r="BX553" s="2" t="s">
        <v>2938</v>
      </c>
      <c r="BY553" s="2" t="s">
        <v>242</v>
      </c>
      <c r="BZ553" s="2" t="s">
        <v>230</v>
      </c>
      <c r="CA553" s="2" t="s">
        <v>2768</v>
      </c>
      <c r="CB553" s="2" t="s">
        <v>3238</v>
      </c>
      <c r="CC553" s="2" t="s">
        <v>245</v>
      </c>
      <c r="CD553" s="2" t="s">
        <v>233</v>
      </c>
      <c r="CE553" s="4">
        <v>107</v>
      </c>
      <c r="CF553" s="4">
        <v>255</v>
      </c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>
        <v>70</v>
      </c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>
        <v>380</v>
      </c>
      <c r="GD553" s="4">
        <v>265</v>
      </c>
      <c r="GE553" s="4">
        <v>248</v>
      </c>
      <c r="GF553" s="4">
        <v>233</v>
      </c>
      <c r="GG553" s="4">
        <v>207</v>
      </c>
      <c r="GH553" s="4">
        <v>260</v>
      </c>
      <c r="GI553" s="4">
        <v>239</v>
      </c>
      <c r="GJ553" s="4">
        <v>227</v>
      </c>
      <c r="GK553" s="4">
        <v>221</v>
      </c>
      <c r="GL553" s="4">
        <v>213</v>
      </c>
      <c r="GM553" s="4">
        <v>201</v>
      </c>
      <c r="GN553" s="4">
        <v>190</v>
      </c>
      <c r="GO553" s="4">
        <v>182</v>
      </c>
      <c r="GP553" s="4">
        <v>176</v>
      </c>
      <c r="GQ553" s="4">
        <v>169</v>
      </c>
      <c r="GR553" s="4">
        <v>163</v>
      </c>
      <c r="GS553" s="4">
        <v>156</v>
      </c>
      <c r="GT553" s="4">
        <v>149</v>
      </c>
      <c r="GU553" s="4">
        <v>145</v>
      </c>
      <c r="GV553" s="4">
        <v>140</v>
      </c>
      <c r="GW553" s="4">
        <v>135</v>
      </c>
      <c r="GX553" s="4">
        <v>130</v>
      </c>
      <c r="GY553" s="4">
        <v>126</v>
      </c>
      <c r="GZ553" s="4">
        <v>123</v>
      </c>
      <c r="HA553" s="4">
        <v>121</v>
      </c>
      <c r="HB553" s="4">
        <v>118</v>
      </c>
      <c r="HC553" s="19">
        <v>8.8</v>
      </c>
      <c r="HD553" s="19">
        <v>13.9</v>
      </c>
      <c r="HE553" s="19">
        <v>12.4</v>
      </c>
      <c r="HF553" s="19">
        <v>12.3</v>
      </c>
      <c r="HG553" s="19">
        <v>14.8</v>
      </c>
      <c r="HH553" s="19">
        <v>21.7</v>
      </c>
      <c r="HI553" s="19">
        <v>23.9</v>
      </c>
      <c r="HJ553" s="19">
        <v>25.2</v>
      </c>
      <c r="HK553" s="19">
        <v>22.1</v>
      </c>
      <c r="HL553" s="19">
        <v>23.7</v>
      </c>
      <c r="HM553" s="19">
        <v>25.1</v>
      </c>
      <c r="HN553" s="19">
        <v>27.1</v>
      </c>
      <c r="HO553" s="19">
        <v>30.3</v>
      </c>
      <c r="HP553" s="19">
        <v>25.1</v>
      </c>
      <c r="HQ553" s="19">
        <v>28.2</v>
      </c>
      <c r="HR553" s="19">
        <v>27.2</v>
      </c>
      <c r="HS553" s="19">
        <v>31.2</v>
      </c>
      <c r="HT553" s="19">
        <v>29.8</v>
      </c>
      <c r="HU553" s="19">
        <v>29</v>
      </c>
      <c r="HV553" s="19">
        <v>35</v>
      </c>
      <c r="HW553" s="19">
        <v>33.8</v>
      </c>
      <c r="HX553" s="19">
        <v>43.3</v>
      </c>
      <c r="HY553" s="19">
        <v>63</v>
      </c>
      <c r="HZ553" s="19">
        <v>41</v>
      </c>
      <c r="IA553" s="19">
        <v>30.3</v>
      </c>
      <c r="IB553" s="19">
        <v>29.5</v>
      </c>
    </row>
    <row r="554">
      <c r="A554" s="2" t="s">
        <v>3239</v>
      </c>
      <c r="B554" s="2" t="s">
        <v>773</v>
      </c>
      <c r="C554" s="2" t="s">
        <v>616</v>
      </c>
      <c r="D554" s="2" t="s">
        <v>985</v>
      </c>
      <c r="E554" s="2" t="s">
        <v>986</v>
      </c>
      <c r="F554" s="2" t="s">
        <v>3211</v>
      </c>
      <c r="G554" s="2" t="s">
        <v>3211</v>
      </c>
      <c r="H554" s="2" t="s">
        <v>233</v>
      </c>
      <c r="I554" s="2" t="s">
        <v>1443</v>
      </c>
      <c r="J554" s="2" t="s">
        <v>989</v>
      </c>
      <c r="K554" s="2" t="s">
        <v>651</v>
      </c>
      <c r="L554" s="3">
        <v>36.8</v>
      </c>
      <c r="M554" s="3">
        <v>38.64</v>
      </c>
      <c r="N554" s="3">
        <v>79.99</v>
      </c>
      <c r="O554" s="2" t="s">
        <v>230</v>
      </c>
      <c r="P554" s="2" t="s">
        <v>231</v>
      </c>
      <c r="Q554" s="2" t="s">
        <v>232</v>
      </c>
      <c r="R554" s="2" t="s">
        <v>233</v>
      </c>
      <c r="S554" s="2" t="s">
        <v>3240</v>
      </c>
      <c r="T554" s="2" t="s">
        <v>1859</v>
      </c>
      <c r="U554" s="2" t="s">
        <v>329</v>
      </c>
      <c r="V554" s="2" t="s">
        <v>236</v>
      </c>
      <c r="W554" s="2" t="s">
        <v>237</v>
      </c>
      <c r="X554" s="2" t="s">
        <v>233</v>
      </c>
      <c r="Y554" s="2" t="s">
        <v>2879</v>
      </c>
      <c r="Z554" s="4">
        <v>843</v>
      </c>
      <c r="AA554" s="4">
        <f>=ROUNDDOWN(49.5882352941176,0)</f>
      </c>
      <c r="AB554" s="5">
        <v>17</v>
      </c>
      <c r="AC554" s="2" t="s">
        <v>731</v>
      </c>
      <c r="AD554" s="4">
        <v>960</v>
      </c>
      <c r="AE554" s="4">
        <v>1060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233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 t="s">
        <v>233</v>
      </c>
      <c r="BD554" s="8" t="s">
        <v>233</v>
      </c>
      <c r="BE554" s="4" t="s">
        <v>233</v>
      </c>
      <c r="BF554" s="8" t="s">
        <v>233</v>
      </c>
      <c r="BG554" s="7" t="s">
        <v>233</v>
      </c>
      <c r="BH554" s="7" t="s">
        <v>233</v>
      </c>
      <c r="BI554" s="7"/>
      <c r="BJ554" s="4">
        <v>54</v>
      </c>
      <c r="BK554" s="8">
        <v>2059.94</v>
      </c>
      <c r="BL554" s="2" t="s">
        <v>3241</v>
      </c>
      <c r="BM554" s="7"/>
      <c r="BN554" s="7"/>
      <c r="BO554" s="4"/>
      <c r="BP554" s="8"/>
      <c r="BQ554" s="4"/>
      <c r="BR554" s="8"/>
      <c r="BS554" s="7"/>
      <c r="BT554" s="7"/>
      <c r="BU554" s="2" t="s">
        <v>3214</v>
      </c>
      <c r="BV554" s="2" t="s">
        <v>233</v>
      </c>
      <c r="BW554" s="2" t="s">
        <v>233</v>
      </c>
      <c r="BX554" s="2" t="s">
        <v>241</v>
      </c>
      <c r="BY554" s="2" t="s">
        <v>242</v>
      </c>
      <c r="BZ554" s="2" t="s">
        <v>230</v>
      </c>
      <c r="CA554" s="2" t="s">
        <v>2879</v>
      </c>
      <c r="CB554" s="2" t="s">
        <v>3242</v>
      </c>
      <c r="CC554" s="2" t="s">
        <v>245</v>
      </c>
      <c r="CD554" s="2" t="s">
        <v>233</v>
      </c>
      <c r="CE554" s="4">
        <v>497</v>
      </c>
      <c r="CF554" s="4">
        <v>346</v>
      </c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>
        <v>960</v>
      </c>
      <c r="CX554" s="4"/>
      <c r="CY554" s="4"/>
      <c r="CZ554" s="4"/>
      <c r="DA554" s="4"/>
      <c r="DB554" s="4"/>
      <c r="DC554" s="4"/>
      <c r="DD554" s="4">
        <v>100</v>
      </c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>
        <v>872</v>
      </c>
      <c r="GD554" s="4">
        <v>879</v>
      </c>
      <c r="GE554" s="4">
        <v>848</v>
      </c>
      <c r="GF554" s="4">
        <v>911</v>
      </c>
      <c r="GG554" s="4">
        <v>838</v>
      </c>
      <c r="GH554" s="4">
        <v>771</v>
      </c>
      <c r="GI554" s="4">
        <v>689</v>
      </c>
      <c r="GJ554" s="4">
        <v>653</v>
      </c>
      <c r="GK554" s="4">
        <v>640</v>
      </c>
      <c r="GL554" s="4">
        <v>623</v>
      </c>
      <c r="GM554" s="4">
        <v>612</v>
      </c>
      <c r="GN554" s="4">
        <v>593</v>
      </c>
      <c r="GO554" s="4">
        <v>580</v>
      </c>
      <c r="GP554" s="4">
        <v>567</v>
      </c>
      <c r="GQ554" s="4">
        <v>552</v>
      </c>
      <c r="GR554" s="4">
        <v>542</v>
      </c>
      <c r="GS554" s="4">
        <v>532</v>
      </c>
      <c r="GT554" s="4">
        <v>521</v>
      </c>
      <c r="GU554" s="4">
        <v>515</v>
      </c>
      <c r="GV554" s="4">
        <v>507</v>
      </c>
      <c r="GW554" s="4">
        <v>497</v>
      </c>
      <c r="GX554" s="4">
        <v>488</v>
      </c>
      <c r="GY554" s="4">
        <v>482</v>
      </c>
      <c r="GZ554" s="4">
        <v>476</v>
      </c>
      <c r="HA554" s="4">
        <v>471</v>
      </c>
      <c r="HB554" s="4">
        <v>466</v>
      </c>
      <c r="HC554" s="19">
        <v>11.8</v>
      </c>
      <c r="HD554" s="19">
        <v>16.9</v>
      </c>
      <c r="HE554" s="19">
        <v>13</v>
      </c>
      <c r="HF554" s="19">
        <v>14.2</v>
      </c>
      <c r="HG554" s="19">
        <v>16.8</v>
      </c>
      <c r="HH554" s="19">
        <v>20.8</v>
      </c>
      <c r="HI554" s="19">
        <v>36.3</v>
      </c>
      <c r="HJ554" s="19">
        <v>43.5</v>
      </c>
      <c r="HK554" s="19">
        <v>42.7</v>
      </c>
      <c r="HL554" s="19">
        <v>44.5</v>
      </c>
      <c r="HM554" s="19">
        <v>40.8</v>
      </c>
      <c r="HN554" s="19">
        <v>45.6</v>
      </c>
      <c r="HO554" s="19">
        <v>48.3</v>
      </c>
      <c r="HP554" s="19">
        <v>47.3</v>
      </c>
      <c r="HQ554" s="19">
        <v>61.3</v>
      </c>
      <c r="HR554" s="19">
        <v>60.2</v>
      </c>
      <c r="HS554" s="19">
        <v>59.1</v>
      </c>
      <c r="HT554" s="19">
        <v>65.1</v>
      </c>
      <c r="HU554" s="19">
        <v>64.4</v>
      </c>
      <c r="HV554" s="19">
        <v>63.4</v>
      </c>
      <c r="HW554" s="19">
        <v>82.8</v>
      </c>
      <c r="HX554" s="19">
        <v>81.3</v>
      </c>
      <c r="HY554" s="19">
        <v>96.4</v>
      </c>
      <c r="HZ554" s="19">
        <v>95.2</v>
      </c>
      <c r="IA554" s="19">
        <v>94.2</v>
      </c>
      <c r="IB554" s="19">
        <v>93.2</v>
      </c>
    </row>
    <row r="555">
      <c r="A555" s="2" t="s">
        <v>3243</v>
      </c>
      <c r="B555" s="2" t="s">
        <v>773</v>
      </c>
      <c r="C555" s="2" t="s">
        <v>616</v>
      </c>
      <c r="D555" s="2" t="s">
        <v>985</v>
      </c>
      <c r="E555" s="2" t="s">
        <v>2241</v>
      </c>
      <c r="F555" s="2" t="s">
        <v>3244</v>
      </c>
      <c r="G555" s="2" t="s">
        <v>3244</v>
      </c>
      <c r="H555" s="2" t="s">
        <v>3244</v>
      </c>
      <c r="I555" s="2" t="s">
        <v>1574</v>
      </c>
      <c r="J555" s="2" t="s">
        <v>228</v>
      </c>
      <c r="K555" s="2" t="s">
        <v>434</v>
      </c>
      <c r="L555" s="3">
        <v>47</v>
      </c>
      <c r="M555" s="3">
        <v>49.35</v>
      </c>
      <c r="N555" s="3">
        <v>99.99</v>
      </c>
      <c r="O555" s="2" t="s">
        <v>230</v>
      </c>
      <c r="P555" s="2" t="s">
        <v>597</v>
      </c>
      <c r="Q555" s="2" t="s">
        <v>232</v>
      </c>
      <c r="R555" s="2" t="s">
        <v>233</v>
      </c>
      <c r="S555" s="2" t="s">
        <v>3245</v>
      </c>
      <c r="T555" s="2" t="s">
        <v>1859</v>
      </c>
      <c r="U555" s="2" t="s">
        <v>329</v>
      </c>
      <c r="V555" s="2" t="s">
        <v>236</v>
      </c>
      <c r="W555" s="2" t="s">
        <v>237</v>
      </c>
      <c r="X555" s="2" t="s">
        <v>233</v>
      </c>
      <c r="Y555" s="2" t="s">
        <v>2507</v>
      </c>
      <c r="Z555" s="4">
        <v>179</v>
      </c>
      <c r="AA555" s="4">
        <f>=ROUNDDOWN(7.16,0)</f>
      </c>
      <c r="AB555" s="5">
        <v>25</v>
      </c>
      <c r="AC555" s="2" t="s">
        <v>140</v>
      </c>
      <c r="AD555" s="4">
        <v>100</v>
      </c>
      <c r="AE555" s="4">
        <v>100</v>
      </c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233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 t="s">
        <v>233</v>
      </c>
      <c r="BD555" s="8" t="s">
        <v>233</v>
      </c>
      <c r="BE555" s="4" t="s">
        <v>233</v>
      </c>
      <c r="BF555" s="8" t="s">
        <v>233</v>
      </c>
      <c r="BG555" s="7" t="s">
        <v>233</v>
      </c>
      <c r="BH555" s="7" t="s">
        <v>233</v>
      </c>
      <c r="BI555" s="7"/>
      <c r="BJ555" s="4">
        <v>64</v>
      </c>
      <c r="BK555" s="8">
        <v>3356.38</v>
      </c>
      <c r="BL555" s="2" t="s">
        <v>1352</v>
      </c>
      <c r="BM555" s="7"/>
      <c r="BN555" s="7"/>
      <c r="BO555" s="4"/>
      <c r="BP555" s="8"/>
      <c r="BQ555" s="4"/>
      <c r="BR555" s="8"/>
      <c r="BS555" s="7"/>
      <c r="BT555" s="7"/>
      <c r="BU555" s="2" t="s">
        <v>3246</v>
      </c>
      <c r="BV555" s="2" t="s">
        <v>233</v>
      </c>
      <c r="BW555" s="2" t="s">
        <v>233</v>
      </c>
      <c r="BX555" s="2" t="s">
        <v>293</v>
      </c>
      <c r="BY555" s="2" t="s">
        <v>242</v>
      </c>
      <c r="BZ555" s="2" t="s">
        <v>230</v>
      </c>
      <c r="CA555" s="2" t="s">
        <v>3247</v>
      </c>
      <c r="CB555" s="2" t="s">
        <v>315</v>
      </c>
      <c r="CC555" s="2" t="s">
        <v>245</v>
      </c>
      <c r="CD555" s="2" t="s">
        <v>233</v>
      </c>
      <c r="CE555" s="4">
        <v>32</v>
      </c>
      <c r="CF555" s="4">
        <v>147</v>
      </c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>
        <v>100</v>
      </c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>
        <v>191</v>
      </c>
      <c r="GD555" s="4">
        <v>160</v>
      </c>
      <c r="GE555" s="4">
        <v>242</v>
      </c>
      <c r="GF555" s="4">
        <v>228</v>
      </c>
      <c r="GG555" s="4">
        <v>204</v>
      </c>
      <c r="GH555" s="4">
        <v>188</v>
      </c>
      <c r="GI555" s="4">
        <v>169</v>
      </c>
      <c r="GJ555" s="4">
        <v>152</v>
      </c>
      <c r="GK555" s="4">
        <v>142</v>
      </c>
      <c r="GL555" s="4">
        <v>131</v>
      </c>
      <c r="GM555" s="4">
        <v>111</v>
      </c>
      <c r="GN555" s="4">
        <v>95</v>
      </c>
      <c r="GO555" s="4">
        <v>83</v>
      </c>
      <c r="GP555" s="4">
        <v>75</v>
      </c>
      <c r="GQ555" s="4">
        <v>66</v>
      </c>
      <c r="GR555" s="4">
        <v>58</v>
      </c>
      <c r="GS555" s="4">
        <v>49</v>
      </c>
      <c r="GT555" s="4">
        <v>39</v>
      </c>
      <c r="GU555" s="4">
        <v>33</v>
      </c>
      <c r="GV555" s="4">
        <v>27</v>
      </c>
      <c r="GW555" s="4">
        <v>19</v>
      </c>
      <c r="GX555" s="4">
        <v>12</v>
      </c>
      <c r="GY555" s="4">
        <v>8</v>
      </c>
      <c r="GZ555" s="4">
        <v>58</v>
      </c>
      <c r="HA555" s="4">
        <v>55</v>
      </c>
      <c r="HB555" s="4">
        <v>51</v>
      </c>
      <c r="HC555" s="19">
        <v>8.7</v>
      </c>
      <c r="HD555" s="19">
        <v>8.9</v>
      </c>
      <c r="HE555" s="19">
        <v>13.4</v>
      </c>
      <c r="HF555" s="19">
        <v>12</v>
      </c>
      <c r="HG555" s="19">
        <v>12.8</v>
      </c>
      <c r="HH555" s="19">
        <v>13.4</v>
      </c>
      <c r="HI555" s="19">
        <v>12.1</v>
      </c>
      <c r="HJ555" s="19">
        <v>10.9</v>
      </c>
      <c r="HK555" s="19">
        <v>9.5</v>
      </c>
      <c r="HL555" s="19">
        <v>9.4</v>
      </c>
      <c r="HM555" s="19">
        <v>10.1</v>
      </c>
      <c r="HN555" s="19">
        <v>10.6</v>
      </c>
      <c r="HO555" s="19">
        <v>10.4</v>
      </c>
      <c r="HP555" s="19">
        <v>8.3</v>
      </c>
      <c r="HQ555" s="19">
        <v>8.3</v>
      </c>
      <c r="HR555" s="19">
        <v>7.3</v>
      </c>
      <c r="HS555" s="19">
        <v>6.1</v>
      </c>
      <c r="HT555" s="19">
        <v>5.6</v>
      </c>
      <c r="HU555" s="19">
        <v>5.5</v>
      </c>
      <c r="HV555" s="19">
        <v>4.5</v>
      </c>
      <c r="HW555" s="19">
        <v>4.8</v>
      </c>
      <c r="HX555" s="19">
        <v>3</v>
      </c>
      <c r="HY555" s="19">
        <v>2</v>
      </c>
      <c r="HZ555" s="19">
        <v>14.5</v>
      </c>
      <c r="IA555" s="19">
        <v>11</v>
      </c>
      <c r="IB555" s="19">
        <v>8.5</v>
      </c>
    </row>
    <row r="556">
      <c r="A556" s="2" t="s">
        <v>3248</v>
      </c>
      <c r="B556" s="2" t="s">
        <v>773</v>
      </c>
      <c r="C556" s="2" t="s">
        <v>616</v>
      </c>
      <c r="D556" s="2" t="s">
        <v>985</v>
      </c>
      <c r="E556" s="2" t="s">
        <v>2241</v>
      </c>
      <c r="F556" s="2" t="s">
        <v>3244</v>
      </c>
      <c r="G556" s="2" t="s">
        <v>3244</v>
      </c>
      <c r="H556" s="2" t="s">
        <v>3244</v>
      </c>
      <c r="I556" s="2" t="s">
        <v>1574</v>
      </c>
      <c r="J556" s="2" t="s">
        <v>252</v>
      </c>
      <c r="K556" s="2" t="s">
        <v>1511</v>
      </c>
      <c r="L556" s="3">
        <v>52.8</v>
      </c>
      <c r="M556" s="3">
        <v>55.44</v>
      </c>
      <c r="N556" s="3">
        <v>109.99</v>
      </c>
      <c r="O556" s="2" t="s">
        <v>230</v>
      </c>
      <c r="P556" s="2" t="s">
        <v>586</v>
      </c>
      <c r="Q556" s="2" t="s">
        <v>232</v>
      </c>
      <c r="R556" s="2" t="s">
        <v>233</v>
      </c>
      <c r="S556" s="2" t="s">
        <v>3249</v>
      </c>
      <c r="T556" s="2" t="s">
        <v>1859</v>
      </c>
      <c r="U556" s="2" t="s">
        <v>329</v>
      </c>
      <c r="V556" s="2" t="s">
        <v>236</v>
      </c>
      <c r="W556" s="2" t="s">
        <v>237</v>
      </c>
      <c r="X556" s="2" t="s">
        <v>233</v>
      </c>
      <c r="Y556" s="2" t="s">
        <v>2507</v>
      </c>
      <c r="Z556" s="4">
        <v>338</v>
      </c>
      <c r="AA556" s="4">
        <f>=ROUNDDOWN(18.7777777777778,0)</f>
      </c>
      <c r="AB556" s="5">
        <v>18</v>
      </c>
      <c r="AC556" s="2" t="s">
        <v>140</v>
      </c>
      <c r="AD556" s="4">
        <v>140</v>
      </c>
      <c r="AE556" s="4">
        <v>140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233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 t="s">
        <v>233</v>
      </c>
      <c r="BD556" s="8" t="s">
        <v>233</v>
      </c>
      <c r="BE556" s="4" t="s">
        <v>233</v>
      </c>
      <c r="BF556" s="8" t="s">
        <v>233</v>
      </c>
      <c r="BG556" s="7" t="s">
        <v>233</v>
      </c>
      <c r="BH556" s="7" t="s">
        <v>233</v>
      </c>
      <c r="BI556" s="7"/>
      <c r="BJ556" s="4">
        <v>57</v>
      </c>
      <c r="BK556" s="8">
        <v>3337.8</v>
      </c>
      <c r="BL556" s="2" t="s">
        <v>3250</v>
      </c>
      <c r="BM556" s="7"/>
      <c r="BN556" s="7"/>
      <c r="BO556" s="4"/>
      <c r="BP556" s="8"/>
      <c r="BQ556" s="4"/>
      <c r="BR556" s="8"/>
      <c r="BS556" s="7"/>
      <c r="BT556" s="7"/>
      <c r="BU556" s="2" t="s">
        <v>3246</v>
      </c>
      <c r="BV556" s="2" t="s">
        <v>233</v>
      </c>
      <c r="BW556" s="2" t="s">
        <v>233</v>
      </c>
      <c r="BX556" s="2" t="s">
        <v>293</v>
      </c>
      <c r="BY556" s="2" t="s">
        <v>242</v>
      </c>
      <c r="BZ556" s="2" t="s">
        <v>230</v>
      </c>
      <c r="CA556" s="2" t="s">
        <v>3247</v>
      </c>
      <c r="CB556" s="2" t="s">
        <v>3251</v>
      </c>
      <c r="CC556" s="2" t="s">
        <v>245</v>
      </c>
      <c r="CD556" s="2" t="s">
        <v>233</v>
      </c>
      <c r="CE556" s="4">
        <v>47</v>
      </c>
      <c r="CF556" s="4">
        <v>291</v>
      </c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>
        <v>140</v>
      </c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>
        <v>347</v>
      </c>
      <c r="GD556" s="4">
        <v>318</v>
      </c>
      <c r="GE556" s="4">
        <v>410</v>
      </c>
      <c r="GF556" s="4">
        <v>388</v>
      </c>
      <c r="GG556" s="4">
        <v>347</v>
      </c>
      <c r="GH556" s="4">
        <v>322</v>
      </c>
      <c r="GI556" s="4">
        <v>292</v>
      </c>
      <c r="GJ556" s="4">
        <v>252</v>
      </c>
      <c r="GK556" s="4">
        <v>248</v>
      </c>
      <c r="GL556" s="4">
        <v>240</v>
      </c>
      <c r="GM556" s="4">
        <v>232</v>
      </c>
      <c r="GN556" s="4">
        <v>223</v>
      </c>
      <c r="GO556" s="4">
        <v>216</v>
      </c>
      <c r="GP556" s="4">
        <v>207</v>
      </c>
      <c r="GQ556" s="4">
        <v>196</v>
      </c>
      <c r="GR556" s="4">
        <v>188</v>
      </c>
      <c r="GS556" s="4">
        <v>181</v>
      </c>
      <c r="GT556" s="4">
        <v>172</v>
      </c>
      <c r="GU556" s="4">
        <v>167</v>
      </c>
      <c r="GV556" s="4">
        <v>163</v>
      </c>
      <c r="GW556" s="4">
        <v>158</v>
      </c>
      <c r="GX556" s="4">
        <v>153</v>
      </c>
      <c r="GY556" s="4">
        <v>148</v>
      </c>
      <c r="GZ556" s="4">
        <v>145</v>
      </c>
      <c r="HA556" s="4">
        <v>142</v>
      </c>
      <c r="HB556" s="4">
        <v>139</v>
      </c>
      <c r="HC556" s="19">
        <v>9.9</v>
      </c>
      <c r="HD556" s="19">
        <v>9.4</v>
      </c>
      <c r="HE556" s="19">
        <v>13.7</v>
      </c>
      <c r="HF556" s="19">
        <v>11.4</v>
      </c>
      <c r="HG556" s="19">
        <v>13.9</v>
      </c>
      <c r="HH556" s="19">
        <v>16.1</v>
      </c>
      <c r="HI556" s="19">
        <v>19.5</v>
      </c>
      <c r="HJ556" s="19">
        <v>36</v>
      </c>
      <c r="HK556" s="19">
        <v>31</v>
      </c>
      <c r="HL556" s="19">
        <v>30</v>
      </c>
      <c r="HM556" s="19">
        <v>25.8</v>
      </c>
      <c r="HN556" s="19">
        <v>24.8</v>
      </c>
      <c r="HO556" s="19">
        <v>24</v>
      </c>
      <c r="HP556" s="19">
        <v>23</v>
      </c>
      <c r="HQ556" s="19">
        <v>28</v>
      </c>
      <c r="HR556" s="19">
        <v>31.3</v>
      </c>
      <c r="HS556" s="19">
        <v>30.2</v>
      </c>
      <c r="HT556" s="19">
        <v>34.4</v>
      </c>
      <c r="HU556" s="19">
        <v>33.4</v>
      </c>
      <c r="HV556" s="19">
        <v>40.8</v>
      </c>
      <c r="HW556" s="19">
        <v>39.5</v>
      </c>
      <c r="HX556" s="19">
        <v>38.3</v>
      </c>
      <c r="HY556" s="19">
        <v>49.3</v>
      </c>
      <c r="HZ556" s="19">
        <v>48.3</v>
      </c>
      <c r="IA556" s="19">
        <v>47.3</v>
      </c>
      <c r="IB556" s="19">
        <v>46.3</v>
      </c>
    </row>
    <row r="557">
      <c r="A557" s="2" t="s">
        <v>3252</v>
      </c>
      <c r="B557" s="2" t="s">
        <v>773</v>
      </c>
      <c r="C557" s="2" t="s">
        <v>616</v>
      </c>
      <c r="D557" s="2" t="s">
        <v>985</v>
      </c>
      <c r="E557" s="2" t="s">
        <v>2241</v>
      </c>
      <c r="F557" s="2" t="s">
        <v>3244</v>
      </c>
      <c r="G557" s="2" t="s">
        <v>3244</v>
      </c>
      <c r="H557" s="2" t="s">
        <v>3244</v>
      </c>
      <c r="I557" s="2" t="s">
        <v>1574</v>
      </c>
      <c r="J557" s="2" t="s">
        <v>228</v>
      </c>
      <c r="K557" s="2" t="s">
        <v>300</v>
      </c>
      <c r="L557" s="3">
        <v>47</v>
      </c>
      <c r="M557" s="3">
        <v>49.35</v>
      </c>
      <c r="N557" s="3">
        <v>99.99</v>
      </c>
      <c r="O557" s="2" t="s">
        <v>230</v>
      </c>
      <c r="P557" s="2" t="s">
        <v>1903</v>
      </c>
      <c r="Q557" s="2" t="s">
        <v>232</v>
      </c>
      <c r="R557" s="2" t="s">
        <v>233</v>
      </c>
      <c r="S557" s="2" t="s">
        <v>3253</v>
      </c>
      <c r="T557" s="2" t="s">
        <v>1859</v>
      </c>
      <c r="U557" s="2" t="s">
        <v>233</v>
      </c>
      <c r="V557" s="2" t="s">
        <v>236</v>
      </c>
      <c r="W557" s="2" t="s">
        <v>237</v>
      </c>
      <c r="X557" s="2" t="s">
        <v>233</v>
      </c>
      <c r="Y557" s="2" t="s">
        <v>238</v>
      </c>
      <c r="Z557" s="4">
        <v>393</v>
      </c>
      <c r="AA557" s="4">
        <f>=ROUNDDOWN(14.3430656934307,0)</f>
      </c>
      <c r="AB557" s="5">
        <v>27.4</v>
      </c>
      <c r="AC557" s="2" t="s">
        <v>140</v>
      </c>
      <c r="AD557" s="4">
        <v>170</v>
      </c>
      <c r="AE557" s="4">
        <v>270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233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 t="s">
        <v>233</v>
      </c>
      <c r="BD557" s="8" t="s">
        <v>233</v>
      </c>
      <c r="BE557" s="4" t="s">
        <v>233</v>
      </c>
      <c r="BF557" s="8" t="s">
        <v>233</v>
      </c>
      <c r="BG557" s="7" t="s">
        <v>233</v>
      </c>
      <c r="BH557" s="7" t="s">
        <v>233</v>
      </c>
      <c r="BI557" s="7"/>
      <c r="BJ557" s="4">
        <v>151</v>
      </c>
      <c r="BK557" s="8">
        <v>6989.35</v>
      </c>
      <c r="BL557" s="2" t="s">
        <v>3254</v>
      </c>
      <c r="BM557" s="7"/>
      <c r="BN557" s="7"/>
      <c r="BO557" s="4"/>
      <c r="BP557" s="8"/>
      <c r="BQ557" s="4"/>
      <c r="BR557" s="8"/>
      <c r="BS557" s="7"/>
      <c r="BT557" s="7"/>
      <c r="BU557" s="2" t="s">
        <v>3246</v>
      </c>
      <c r="BV557" s="2" t="s">
        <v>233</v>
      </c>
      <c r="BW557" s="2" t="s">
        <v>233</v>
      </c>
      <c r="BX557" s="2" t="s">
        <v>293</v>
      </c>
      <c r="BY557" s="2" t="s">
        <v>242</v>
      </c>
      <c r="BZ557" s="2" t="s">
        <v>230</v>
      </c>
      <c r="CA557" s="2" t="s">
        <v>2768</v>
      </c>
      <c r="CB557" s="2" t="s">
        <v>3255</v>
      </c>
      <c r="CC557" s="2" t="s">
        <v>245</v>
      </c>
      <c r="CD557" s="2" t="s">
        <v>233</v>
      </c>
      <c r="CE557" s="4"/>
      <c r="CF557" s="4">
        <v>393</v>
      </c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>
        <v>170</v>
      </c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>
        <v>100</v>
      </c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>
        <v>399</v>
      </c>
      <c r="GD557" s="4">
        <v>337</v>
      </c>
      <c r="GE557" s="4">
        <v>478</v>
      </c>
      <c r="GF557" s="4">
        <v>455</v>
      </c>
      <c r="GG557" s="4">
        <v>418</v>
      </c>
      <c r="GH557" s="4">
        <v>492</v>
      </c>
      <c r="GI557" s="4">
        <v>462</v>
      </c>
      <c r="GJ557" s="4">
        <v>444</v>
      </c>
      <c r="GK557" s="4">
        <v>435</v>
      </c>
      <c r="GL557" s="4">
        <v>423</v>
      </c>
      <c r="GM557" s="4">
        <v>403</v>
      </c>
      <c r="GN557" s="4">
        <v>387</v>
      </c>
      <c r="GO557" s="4">
        <v>375</v>
      </c>
      <c r="GP557" s="4">
        <v>366</v>
      </c>
      <c r="GQ557" s="4">
        <v>354</v>
      </c>
      <c r="GR557" s="4">
        <v>343</v>
      </c>
      <c r="GS557" s="4">
        <v>331</v>
      </c>
      <c r="GT557" s="4">
        <v>318</v>
      </c>
      <c r="GU557" s="4">
        <v>311</v>
      </c>
      <c r="GV557" s="4">
        <v>302</v>
      </c>
      <c r="GW557" s="4">
        <v>292</v>
      </c>
      <c r="GX557" s="4">
        <v>283</v>
      </c>
      <c r="GY557" s="4">
        <v>277</v>
      </c>
      <c r="GZ557" s="4">
        <v>272</v>
      </c>
      <c r="HA557" s="4">
        <v>268</v>
      </c>
      <c r="HB557" s="4">
        <v>263</v>
      </c>
      <c r="HC557" s="19">
        <v>10.5</v>
      </c>
      <c r="HD557" s="19">
        <v>11.6</v>
      </c>
      <c r="HE557" s="19">
        <v>16.5</v>
      </c>
      <c r="HF557" s="19">
        <v>16.3</v>
      </c>
      <c r="HG557" s="19">
        <v>19.9</v>
      </c>
      <c r="HH557" s="19">
        <v>28.9</v>
      </c>
      <c r="HI557" s="19">
        <v>30.8</v>
      </c>
      <c r="HJ557" s="19">
        <v>31.7</v>
      </c>
      <c r="HK557" s="19">
        <v>29</v>
      </c>
      <c r="HL557" s="19">
        <v>30.2</v>
      </c>
      <c r="HM557" s="19">
        <v>33.6</v>
      </c>
      <c r="HN557" s="19">
        <v>35.2</v>
      </c>
      <c r="HO557" s="19">
        <v>34.1</v>
      </c>
      <c r="HP557" s="19">
        <v>30.5</v>
      </c>
      <c r="HQ557" s="19">
        <v>32.2</v>
      </c>
      <c r="HR557" s="19">
        <v>34.3</v>
      </c>
      <c r="HS557" s="19">
        <v>33.1</v>
      </c>
      <c r="HT557" s="19">
        <v>35.3</v>
      </c>
      <c r="HU557" s="19">
        <v>38.9</v>
      </c>
      <c r="HV557" s="19">
        <v>37.8</v>
      </c>
      <c r="HW557" s="19">
        <v>48.7</v>
      </c>
      <c r="HX557" s="19">
        <v>56.6</v>
      </c>
      <c r="HY557" s="19">
        <v>69.3</v>
      </c>
      <c r="HZ557" s="19">
        <v>54.4</v>
      </c>
      <c r="IA557" s="19">
        <v>44.7</v>
      </c>
      <c r="IB557" s="19">
        <v>43.8</v>
      </c>
    </row>
    <row r="558">
      <c r="A558" s="2" t="s">
        <v>3256</v>
      </c>
      <c r="B558" s="2" t="s">
        <v>773</v>
      </c>
      <c r="C558" s="2" t="s">
        <v>616</v>
      </c>
      <c r="D558" s="2" t="s">
        <v>985</v>
      </c>
      <c r="E558" s="2" t="s">
        <v>2241</v>
      </c>
      <c r="F558" s="2" t="s">
        <v>3244</v>
      </c>
      <c r="G558" s="2" t="s">
        <v>3244</v>
      </c>
      <c r="H558" s="2" t="s">
        <v>3244</v>
      </c>
      <c r="I558" s="2" t="s">
        <v>1574</v>
      </c>
      <c r="J558" s="2" t="s">
        <v>228</v>
      </c>
      <c r="K558" s="2" t="s">
        <v>452</v>
      </c>
      <c r="L558" s="3">
        <v>47</v>
      </c>
      <c r="M558" s="3">
        <v>49.35</v>
      </c>
      <c r="N558" s="3">
        <v>99.99</v>
      </c>
      <c r="O558" s="2" t="s">
        <v>230</v>
      </c>
      <c r="P558" s="2" t="s">
        <v>1903</v>
      </c>
      <c r="Q558" s="2" t="s">
        <v>232</v>
      </c>
      <c r="R558" s="2" t="s">
        <v>233</v>
      </c>
      <c r="S558" s="2" t="s">
        <v>3257</v>
      </c>
      <c r="T558" s="2" t="s">
        <v>1859</v>
      </c>
      <c r="U558" s="2" t="s">
        <v>233</v>
      </c>
      <c r="V558" s="2" t="s">
        <v>236</v>
      </c>
      <c r="W558" s="2" t="s">
        <v>237</v>
      </c>
      <c r="X558" s="2" t="s">
        <v>233</v>
      </c>
      <c r="Y558" s="2" t="s">
        <v>238</v>
      </c>
      <c r="Z558" s="4">
        <v>301</v>
      </c>
      <c r="AA558" s="4">
        <f>=ROUNDDOWN(10.3793103448276,0)</f>
      </c>
      <c r="AB558" s="5">
        <v>29</v>
      </c>
      <c r="AC558" s="2" t="s">
        <v>140</v>
      </c>
      <c r="AD558" s="4">
        <v>160</v>
      </c>
      <c r="AE558" s="4">
        <v>250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233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233</v>
      </c>
      <c r="BD558" s="8" t="s">
        <v>233</v>
      </c>
      <c r="BE558" s="4" t="s">
        <v>233</v>
      </c>
      <c r="BF558" s="8" t="s">
        <v>233</v>
      </c>
      <c r="BG558" s="7" t="s">
        <v>233</v>
      </c>
      <c r="BH558" s="7" t="s">
        <v>233</v>
      </c>
      <c r="BI558" s="7"/>
      <c r="BJ558" s="4">
        <v>149</v>
      </c>
      <c r="BK558" s="8">
        <v>6860.97</v>
      </c>
      <c r="BL558" s="2" t="s">
        <v>3258</v>
      </c>
      <c r="BM558" s="7"/>
      <c r="BN558" s="7"/>
      <c r="BO558" s="4"/>
      <c r="BP558" s="8"/>
      <c r="BQ558" s="4"/>
      <c r="BR558" s="8"/>
      <c r="BS558" s="7"/>
      <c r="BT558" s="7"/>
      <c r="BU558" s="2" t="s">
        <v>3246</v>
      </c>
      <c r="BV558" s="2" t="s">
        <v>233</v>
      </c>
      <c r="BW558" s="2" t="s">
        <v>233</v>
      </c>
      <c r="BX558" s="2" t="s">
        <v>293</v>
      </c>
      <c r="BY558" s="2" t="s">
        <v>242</v>
      </c>
      <c r="BZ558" s="2" t="s">
        <v>230</v>
      </c>
      <c r="CA558" s="2" t="s">
        <v>2768</v>
      </c>
      <c r="CB558" s="2" t="s">
        <v>3255</v>
      </c>
      <c r="CC558" s="2" t="s">
        <v>245</v>
      </c>
      <c r="CD558" s="2" t="s">
        <v>233</v>
      </c>
      <c r="CE558" s="4"/>
      <c r="CF558" s="4">
        <v>301</v>
      </c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>
        <v>160</v>
      </c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>
        <v>90</v>
      </c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>
        <v>325</v>
      </c>
      <c r="GD558" s="4">
        <v>303</v>
      </c>
      <c r="GE558" s="4">
        <v>436</v>
      </c>
      <c r="GF558" s="4">
        <v>410</v>
      </c>
      <c r="GG558" s="4">
        <v>353</v>
      </c>
      <c r="GH558" s="4">
        <v>405</v>
      </c>
      <c r="GI558" s="4">
        <v>358</v>
      </c>
      <c r="GJ558" s="4">
        <v>332</v>
      </c>
      <c r="GK558" s="4">
        <v>320</v>
      </c>
      <c r="GL558" s="4">
        <v>301</v>
      </c>
      <c r="GM558" s="4">
        <v>276</v>
      </c>
      <c r="GN558" s="4">
        <v>253</v>
      </c>
      <c r="GO558" s="4">
        <v>236</v>
      </c>
      <c r="GP558" s="4">
        <v>222</v>
      </c>
      <c r="GQ558" s="4">
        <v>206</v>
      </c>
      <c r="GR558" s="4">
        <v>192</v>
      </c>
      <c r="GS558" s="4">
        <v>176</v>
      </c>
      <c r="GT558" s="4">
        <v>160</v>
      </c>
      <c r="GU558" s="4">
        <v>151</v>
      </c>
      <c r="GV558" s="4">
        <v>140</v>
      </c>
      <c r="GW558" s="4">
        <v>128</v>
      </c>
      <c r="GX558" s="4">
        <v>117</v>
      </c>
      <c r="GY558" s="4">
        <v>109</v>
      </c>
      <c r="GZ558" s="4">
        <v>103</v>
      </c>
      <c r="HA558" s="4">
        <v>99</v>
      </c>
      <c r="HB558" s="4">
        <v>93</v>
      </c>
      <c r="HC558" s="19">
        <v>9.8</v>
      </c>
      <c r="HD558" s="19">
        <v>8.2</v>
      </c>
      <c r="HE558" s="19">
        <v>10.4</v>
      </c>
      <c r="HF558" s="19">
        <v>9.8</v>
      </c>
      <c r="HG558" s="19">
        <v>11.4</v>
      </c>
      <c r="HH558" s="19">
        <v>15.6</v>
      </c>
      <c r="HI558" s="19">
        <v>17.9</v>
      </c>
      <c r="HJ558" s="19">
        <v>16.6</v>
      </c>
      <c r="HK558" s="19">
        <v>15.2</v>
      </c>
      <c r="HL558" s="19">
        <v>15.1</v>
      </c>
      <c r="HM558" s="19">
        <v>15.3</v>
      </c>
      <c r="HN558" s="19">
        <v>16.9</v>
      </c>
      <c r="HO558" s="19">
        <v>15.7</v>
      </c>
      <c r="HP558" s="19">
        <v>13.9</v>
      </c>
      <c r="HQ558" s="19">
        <v>14.7</v>
      </c>
      <c r="HR558" s="19">
        <v>14.8</v>
      </c>
      <c r="HS558" s="19">
        <v>14.7</v>
      </c>
      <c r="HT558" s="19">
        <v>14.5</v>
      </c>
      <c r="HU558" s="19">
        <v>15.1</v>
      </c>
      <c r="HV558" s="19">
        <v>15.6</v>
      </c>
      <c r="HW558" s="19">
        <v>18.3</v>
      </c>
      <c r="HX558" s="19">
        <v>19.5</v>
      </c>
      <c r="HY558" s="19">
        <v>21.8</v>
      </c>
      <c r="HZ558" s="19">
        <v>17.2</v>
      </c>
      <c r="IA558" s="19">
        <v>14.1</v>
      </c>
      <c r="IB558" s="19">
        <v>11.6</v>
      </c>
    </row>
    <row r="559">
      <c r="A559" s="2" t="s">
        <v>3259</v>
      </c>
      <c r="B559" s="2" t="s">
        <v>773</v>
      </c>
      <c r="C559" s="2" t="s">
        <v>616</v>
      </c>
      <c r="D559" s="2" t="s">
        <v>985</v>
      </c>
      <c r="E559" s="2" t="s">
        <v>2241</v>
      </c>
      <c r="F559" s="2" t="s">
        <v>3244</v>
      </c>
      <c r="G559" s="2" t="s">
        <v>3244</v>
      </c>
      <c r="H559" s="2" t="s">
        <v>3244</v>
      </c>
      <c r="I559" s="2" t="s">
        <v>1574</v>
      </c>
      <c r="J559" s="2" t="s">
        <v>228</v>
      </c>
      <c r="K559" s="2" t="s">
        <v>689</v>
      </c>
      <c r="L559" s="3">
        <v>47</v>
      </c>
      <c r="M559" s="3">
        <v>49.35</v>
      </c>
      <c r="N559" s="3">
        <v>99.99</v>
      </c>
      <c r="O559" s="2" t="s">
        <v>230</v>
      </c>
      <c r="P559" s="2" t="s">
        <v>231</v>
      </c>
      <c r="Q559" s="2" t="s">
        <v>232</v>
      </c>
      <c r="R559" s="2" t="s">
        <v>233</v>
      </c>
      <c r="S559" s="2" t="s">
        <v>3260</v>
      </c>
      <c r="T559" s="2" t="s">
        <v>1859</v>
      </c>
      <c r="U559" s="2" t="s">
        <v>329</v>
      </c>
      <c r="V559" s="2" t="s">
        <v>236</v>
      </c>
      <c r="W559" s="2" t="s">
        <v>237</v>
      </c>
      <c r="X559" s="2" t="s">
        <v>233</v>
      </c>
      <c r="Y559" s="2" t="s">
        <v>2879</v>
      </c>
      <c r="Z559" s="4">
        <v>383</v>
      </c>
      <c r="AA559" s="4">
        <f>=ROUNDDOWN(31.9166666666667,0)</f>
      </c>
      <c r="AB559" s="5">
        <v>12</v>
      </c>
      <c r="AC559" s="2" t="s">
        <v>233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233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233</v>
      </c>
      <c r="AW559" s="8" t="s">
        <v>233</v>
      </c>
      <c r="AX559" s="4" t="s">
        <v>233</v>
      </c>
      <c r="AY559" s="8" t="s">
        <v>233</v>
      </c>
      <c r="AZ559" s="7" t="s">
        <v>233</v>
      </c>
      <c r="BA559" s="7" t="s">
        <v>233</v>
      </c>
      <c r="BB559" s="7"/>
      <c r="BC559" s="4" t="s">
        <v>233</v>
      </c>
      <c r="BD559" s="8" t="s">
        <v>233</v>
      </c>
      <c r="BE559" s="4" t="s">
        <v>233</v>
      </c>
      <c r="BF559" s="8" t="s">
        <v>233</v>
      </c>
      <c r="BG559" s="7" t="s">
        <v>233</v>
      </c>
      <c r="BH559" s="7" t="s">
        <v>233</v>
      </c>
      <c r="BI559" s="7"/>
      <c r="BJ559" s="4">
        <v>30</v>
      </c>
      <c r="BK559" s="8">
        <v>1519.39</v>
      </c>
      <c r="BL559" s="2" t="s">
        <v>3261</v>
      </c>
      <c r="BM559" s="7"/>
      <c r="BN559" s="7"/>
      <c r="BO559" s="4"/>
      <c r="BP559" s="8"/>
      <c r="BQ559" s="4"/>
      <c r="BR559" s="8"/>
      <c r="BS559" s="7"/>
      <c r="BT559" s="7"/>
      <c r="BU559" s="2" t="s">
        <v>3246</v>
      </c>
      <c r="BV559" s="2" t="s">
        <v>233</v>
      </c>
      <c r="BW559" s="2" t="s">
        <v>233</v>
      </c>
      <c r="BX559" s="2" t="s">
        <v>293</v>
      </c>
      <c r="BY559" s="2" t="s">
        <v>242</v>
      </c>
      <c r="BZ559" s="2" t="s">
        <v>230</v>
      </c>
      <c r="CA559" s="2" t="s">
        <v>2879</v>
      </c>
      <c r="CB559" s="2" t="s">
        <v>3262</v>
      </c>
      <c r="CC559" s="2" t="s">
        <v>245</v>
      </c>
      <c r="CD559" s="2" t="s">
        <v>233</v>
      </c>
      <c r="CE559" s="4">
        <v>177</v>
      </c>
      <c r="CF559" s="4">
        <v>206</v>
      </c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>
        <v>384</v>
      </c>
      <c r="GD559" s="4">
        <v>363</v>
      </c>
      <c r="GE559" s="4">
        <v>344</v>
      </c>
      <c r="GF559" s="4">
        <v>326</v>
      </c>
      <c r="GG559" s="4">
        <v>290</v>
      </c>
      <c r="GH559" s="4">
        <v>268</v>
      </c>
      <c r="GI559" s="4">
        <v>241</v>
      </c>
      <c r="GJ559" s="4">
        <v>227</v>
      </c>
      <c r="GK559" s="4">
        <v>223</v>
      </c>
      <c r="GL559" s="4">
        <v>213</v>
      </c>
      <c r="GM559" s="4">
        <v>202</v>
      </c>
      <c r="GN559" s="4">
        <v>190</v>
      </c>
      <c r="GO559" s="4">
        <v>182</v>
      </c>
      <c r="GP559" s="4">
        <v>174</v>
      </c>
      <c r="GQ559" s="4">
        <v>165</v>
      </c>
      <c r="GR559" s="4">
        <v>157</v>
      </c>
      <c r="GS559" s="4">
        <v>148</v>
      </c>
      <c r="GT559" s="4">
        <v>140</v>
      </c>
      <c r="GU559" s="4">
        <v>136</v>
      </c>
      <c r="GV559" s="4">
        <v>129</v>
      </c>
      <c r="GW559" s="4">
        <v>122</v>
      </c>
      <c r="GX559" s="4">
        <v>116</v>
      </c>
      <c r="GY559" s="4">
        <v>112</v>
      </c>
      <c r="GZ559" s="4">
        <v>109</v>
      </c>
      <c r="HA559" s="4">
        <v>107</v>
      </c>
      <c r="HB559" s="4">
        <v>104</v>
      </c>
      <c r="HC559" s="19">
        <v>16</v>
      </c>
      <c r="HD559" s="19">
        <v>15.1</v>
      </c>
      <c r="HE559" s="19">
        <v>13.2</v>
      </c>
      <c r="HF559" s="19">
        <v>13</v>
      </c>
      <c r="HG559" s="19">
        <v>17.1</v>
      </c>
      <c r="HH559" s="19">
        <v>19.1</v>
      </c>
      <c r="HI559" s="19">
        <v>24.1</v>
      </c>
      <c r="HJ559" s="19">
        <v>25.2</v>
      </c>
      <c r="HK559" s="19">
        <v>22.3</v>
      </c>
      <c r="HL559" s="19">
        <v>21.3</v>
      </c>
      <c r="HM559" s="19">
        <v>22.4</v>
      </c>
      <c r="HN559" s="19">
        <v>23.8</v>
      </c>
      <c r="HO559" s="19">
        <v>22.8</v>
      </c>
      <c r="HP559" s="19">
        <v>21.8</v>
      </c>
      <c r="HQ559" s="19">
        <v>23.6</v>
      </c>
      <c r="HR559" s="19">
        <v>22.4</v>
      </c>
      <c r="HS559" s="19">
        <v>24.7</v>
      </c>
      <c r="HT559" s="19">
        <v>23.3</v>
      </c>
      <c r="HU559" s="19">
        <v>22.7</v>
      </c>
      <c r="HV559" s="19">
        <v>25.8</v>
      </c>
      <c r="HW559" s="19">
        <v>30.5</v>
      </c>
      <c r="HX559" s="19">
        <v>38.7</v>
      </c>
      <c r="HY559" s="19">
        <v>56</v>
      </c>
      <c r="HZ559" s="19">
        <v>36.3</v>
      </c>
      <c r="IA559" s="19">
        <v>35.7</v>
      </c>
      <c r="IB559" s="19">
        <v>34.7</v>
      </c>
    </row>
    <row r="560">
      <c r="A560" s="2" t="s">
        <v>3263</v>
      </c>
      <c r="B560" s="2" t="s">
        <v>773</v>
      </c>
      <c r="C560" s="2" t="s">
        <v>616</v>
      </c>
      <c r="D560" s="2" t="s">
        <v>985</v>
      </c>
      <c r="E560" s="2" t="s">
        <v>2241</v>
      </c>
      <c r="F560" s="2" t="s">
        <v>3244</v>
      </c>
      <c r="G560" s="2" t="s">
        <v>3244</v>
      </c>
      <c r="H560" s="2" t="s">
        <v>3244</v>
      </c>
      <c r="I560" s="2" t="s">
        <v>1574</v>
      </c>
      <c r="J560" s="2" t="s">
        <v>256</v>
      </c>
      <c r="K560" s="2" t="s">
        <v>689</v>
      </c>
      <c r="L560" s="3">
        <v>85</v>
      </c>
      <c r="M560" s="3">
        <v>89.25</v>
      </c>
      <c r="N560" s="3">
        <v>169.99</v>
      </c>
      <c r="O560" s="2" t="s">
        <v>230</v>
      </c>
      <c r="P560" s="2" t="s">
        <v>231</v>
      </c>
      <c r="Q560" s="2" t="s">
        <v>232</v>
      </c>
      <c r="R560" s="2" t="s">
        <v>233</v>
      </c>
      <c r="S560" s="2" t="s">
        <v>3260</v>
      </c>
      <c r="T560" s="2" t="s">
        <v>1859</v>
      </c>
      <c r="U560" s="2" t="s">
        <v>329</v>
      </c>
      <c r="V560" s="2" t="s">
        <v>236</v>
      </c>
      <c r="W560" s="2" t="s">
        <v>237</v>
      </c>
      <c r="X560" s="2" t="s">
        <v>233</v>
      </c>
      <c r="Y560" s="2" t="s">
        <v>3264</v>
      </c>
      <c r="Z560" s="4">
        <v>371</v>
      </c>
      <c r="AA560" s="4">
        <f>=ROUNDDOWN(18.0975609756098,0)</f>
      </c>
      <c r="AB560" s="5">
        <v>20.5</v>
      </c>
      <c r="AC560" s="2" t="s">
        <v>140</v>
      </c>
      <c r="AD560" s="4">
        <v>150</v>
      </c>
      <c r="AE560" s="4">
        <v>150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233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233</v>
      </c>
      <c r="AW560" s="8" t="s">
        <v>233</v>
      </c>
      <c r="AX560" s="4" t="s">
        <v>233</v>
      </c>
      <c r="AY560" s="8" t="s">
        <v>233</v>
      </c>
      <c r="AZ560" s="7" t="s">
        <v>233</v>
      </c>
      <c r="BA560" s="7" t="s">
        <v>233</v>
      </c>
      <c r="BB560" s="7"/>
      <c r="BC560" s="4" t="s">
        <v>233</v>
      </c>
      <c r="BD560" s="8" t="s">
        <v>233</v>
      </c>
      <c r="BE560" s="4" t="s">
        <v>233</v>
      </c>
      <c r="BF560" s="8" t="s">
        <v>233</v>
      </c>
      <c r="BG560" s="7" t="s">
        <v>233</v>
      </c>
      <c r="BH560" s="7" t="s">
        <v>233</v>
      </c>
      <c r="BI560" s="7"/>
      <c r="BJ560" s="4">
        <v>65</v>
      </c>
      <c r="BK560" s="8">
        <v>5958.92</v>
      </c>
      <c r="BL560" s="2" t="s">
        <v>3265</v>
      </c>
      <c r="BM560" s="7"/>
      <c r="BN560" s="7"/>
      <c r="BO560" s="4"/>
      <c r="BP560" s="8"/>
      <c r="BQ560" s="4"/>
      <c r="BR560" s="8"/>
      <c r="BS560" s="7"/>
      <c r="BT560" s="7"/>
      <c r="BU560" s="2" t="s">
        <v>3246</v>
      </c>
      <c r="BV560" s="2" t="s">
        <v>233</v>
      </c>
      <c r="BW560" s="2" t="s">
        <v>233</v>
      </c>
      <c r="BX560" s="2" t="s">
        <v>293</v>
      </c>
      <c r="BY560" s="2" t="s">
        <v>242</v>
      </c>
      <c r="BZ560" s="2" t="s">
        <v>230</v>
      </c>
      <c r="CA560" s="2" t="s">
        <v>655</v>
      </c>
      <c r="CB560" s="2" t="s">
        <v>1306</v>
      </c>
      <c r="CC560" s="2" t="s">
        <v>245</v>
      </c>
      <c r="CD560" s="2" t="s">
        <v>233</v>
      </c>
      <c r="CE560" s="4">
        <v>240</v>
      </c>
      <c r="CF560" s="4">
        <v>131</v>
      </c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>
        <v>150</v>
      </c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>
        <v>398</v>
      </c>
      <c r="GD560" s="4">
        <v>346</v>
      </c>
      <c r="GE560" s="4">
        <v>451</v>
      </c>
      <c r="GF560" s="4">
        <v>426</v>
      </c>
      <c r="GG560" s="4">
        <v>378</v>
      </c>
      <c r="GH560" s="4">
        <v>347</v>
      </c>
      <c r="GI560" s="4">
        <v>311</v>
      </c>
      <c r="GJ560" s="4">
        <v>263</v>
      </c>
      <c r="GK560" s="4">
        <v>258</v>
      </c>
      <c r="GL560" s="4">
        <v>250</v>
      </c>
      <c r="GM560" s="4">
        <v>241</v>
      </c>
      <c r="GN560" s="4">
        <v>231</v>
      </c>
      <c r="GO560" s="4">
        <v>223</v>
      </c>
      <c r="GP560" s="4">
        <v>214</v>
      </c>
      <c r="GQ560" s="4">
        <v>201</v>
      </c>
      <c r="GR560" s="4">
        <v>191</v>
      </c>
      <c r="GS560" s="4">
        <v>182</v>
      </c>
      <c r="GT560" s="4">
        <v>171</v>
      </c>
      <c r="GU560" s="4">
        <v>165</v>
      </c>
      <c r="GV560" s="4">
        <v>159</v>
      </c>
      <c r="GW560" s="4">
        <v>152</v>
      </c>
      <c r="GX560" s="4">
        <v>146</v>
      </c>
      <c r="GY560" s="4">
        <v>142</v>
      </c>
      <c r="GZ560" s="4">
        <v>137</v>
      </c>
      <c r="HA560" s="4">
        <v>133</v>
      </c>
      <c r="HB560" s="4">
        <v>129</v>
      </c>
      <c r="HC560" s="19">
        <v>9.5</v>
      </c>
      <c r="HD560" s="19">
        <v>9.4</v>
      </c>
      <c r="HE560" s="19">
        <v>12.9</v>
      </c>
      <c r="HF560" s="19">
        <v>10.4</v>
      </c>
      <c r="HG560" s="19">
        <v>12.6</v>
      </c>
      <c r="HH560" s="19">
        <v>14.5</v>
      </c>
      <c r="HI560" s="19">
        <v>17.3</v>
      </c>
      <c r="HJ560" s="19">
        <v>32.9</v>
      </c>
      <c r="HK560" s="19">
        <v>28.7</v>
      </c>
      <c r="HL560" s="19">
        <v>27.8</v>
      </c>
      <c r="HM560" s="19">
        <v>24.1</v>
      </c>
      <c r="HN560" s="19">
        <v>23.1</v>
      </c>
      <c r="HO560" s="19">
        <v>22.3</v>
      </c>
      <c r="HP560" s="19">
        <v>19.5</v>
      </c>
      <c r="HQ560" s="19">
        <v>22.3</v>
      </c>
      <c r="HR560" s="19">
        <v>23.9</v>
      </c>
      <c r="HS560" s="19">
        <v>22.8</v>
      </c>
      <c r="HT560" s="19">
        <v>28.5</v>
      </c>
      <c r="HU560" s="19">
        <v>27.5</v>
      </c>
      <c r="HV560" s="19">
        <v>26.5</v>
      </c>
      <c r="HW560" s="19">
        <v>30.4</v>
      </c>
      <c r="HX560" s="19">
        <v>36.5</v>
      </c>
      <c r="HY560" s="19">
        <v>35.5</v>
      </c>
      <c r="HZ560" s="19">
        <v>34.3</v>
      </c>
      <c r="IA560" s="19">
        <v>33.3</v>
      </c>
      <c r="IB560" s="19">
        <v>32.3</v>
      </c>
    </row>
    <row r="561">
      <c r="A561" s="2" t="s">
        <v>3266</v>
      </c>
      <c r="B561" s="2" t="s">
        <v>773</v>
      </c>
      <c r="C561" s="2" t="s">
        <v>616</v>
      </c>
      <c r="D561" s="2" t="s">
        <v>985</v>
      </c>
      <c r="E561" s="2" t="s">
        <v>2241</v>
      </c>
      <c r="F561" s="2" t="s">
        <v>3244</v>
      </c>
      <c r="G561" s="2" t="s">
        <v>3244</v>
      </c>
      <c r="H561" s="2" t="s">
        <v>3244</v>
      </c>
      <c r="I561" s="2" t="s">
        <v>1574</v>
      </c>
      <c r="J561" s="2" t="s">
        <v>228</v>
      </c>
      <c r="K561" s="2" t="s">
        <v>651</v>
      </c>
      <c r="L561" s="3">
        <v>47</v>
      </c>
      <c r="M561" s="3">
        <v>49.35</v>
      </c>
      <c r="N561" s="3">
        <v>99.99</v>
      </c>
      <c r="O561" s="2" t="s">
        <v>230</v>
      </c>
      <c r="P561" s="2" t="s">
        <v>231</v>
      </c>
      <c r="Q561" s="2" t="s">
        <v>232</v>
      </c>
      <c r="R561" s="2" t="s">
        <v>233</v>
      </c>
      <c r="S561" s="2" t="s">
        <v>3267</v>
      </c>
      <c r="T561" s="2" t="s">
        <v>1859</v>
      </c>
      <c r="U561" s="2" t="s">
        <v>329</v>
      </c>
      <c r="V561" s="2" t="s">
        <v>236</v>
      </c>
      <c r="W561" s="2" t="s">
        <v>237</v>
      </c>
      <c r="X561" s="2" t="s">
        <v>233</v>
      </c>
      <c r="Y561" s="2" t="s">
        <v>2879</v>
      </c>
      <c r="Z561" s="4">
        <v>189</v>
      </c>
      <c r="AA561" s="4">
        <f>=ROUNDDOWN(11.1176470588235,0)</f>
      </c>
      <c r="AB561" s="5">
        <v>17</v>
      </c>
      <c r="AC561" s="2" t="s">
        <v>140</v>
      </c>
      <c r="AD561" s="4">
        <v>110</v>
      </c>
      <c r="AE561" s="4">
        <v>110</v>
      </c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233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 t="s">
        <v>233</v>
      </c>
      <c r="BD561" s="8" t="s">
        <v>233</v>
      </c>
      <c r="BE561" s="4" t="s">
        <v>233</v>
      </c>
      <c r="BF561" s="8" t="s">
        <v>233</v>
      </c>
      <c r="BG561" s="7" t="s">
        <v>233</v>
      </c>
      <c r="BH561" s="7" t="s">
        <v>233</v>
      </c>
      <c r="BI561" s="7"/>
      <c r="BJ561" s="4">
        <v>59</v>
      </c>
      <c r="BK561" s="8">
        <v>3076.23</v>
      </c>
      <c r="BL561" s="2" t="s">
        <v>3268</v>
      </c>
      <c r="BM561" s="7"/>
      <c r="BN561" s="7"/>
      <c r="BO561" s="4"/>
      <c r="BP561" s="8"/>
      <c r="BQ561" s="4"/>
      <c r="BR561" s="8"/>
      <c r="BS561" s="7"/>
      <c r="BT561" s="7"/>
      <c r="BU561" s="2" t="s">
        <v>3246</v>
      </c>
      <c r="BV561" s="2" t="s">
        <v>233</v>
      </c>
      <c r="BW561" s="2" t="s">
        <v>233</v>
      </c>
      <c r="BX561" s="2" t="s">
        <v>293</v>
      </c>
      <c r="BY561" s="2" t="s">
        <v>242</v>
      </c>
      <c r="BZ561" s="2" t="s">
        <v>230</v>
      </c>
      <c r="CA561" s="2" t="s">
        <v>2879</v>
      </c>
      <c r="CB561" s="2" t="s">
        <v>1306</v>
      </c>
      <c r="CC561" s="2" t="s">
        <v>245</v>
      </c>
      <c r="CD561" s="2" t="s">
        <v>233</v>
      </c>
      <c r="CE561" s="4">
        <v>46</v>
      </c>
      <c r="CF561" s="4">
        <v>143</v>
      </c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>
        <v>110</v>
      </c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>
        <v>201</v>
      </c>
      <c r="GD561" s="4">
        <v>191</v>
      </c>
      <c r="GE561" s="4">
        <v>287</v>
      </c>
      <c r="GF561" s="4">
        <v>273</v>
      </c>
      <c r="GG561" s="4">
        <v>244</v>
      </c>
      <c r="GH561" s="4">
        <v>227</v>
      </c>
      <c r="GI561" s="4">
        <v>205</v>
      </c>
      <c r="GJ561" s="4">
        <v>194</v>
      </c>
      <c r="GK561" s="4">
        <v>189</v>
      </c>
      <c r="GL561" s="4">
        <v>179</v>
      </c>
      <c r="GM561" s="4">
        <v>165</v>
      </c>
      <c r="GN561" s="4">
        <v>152</v>
      </c>
      <c r="GO561" s="4">
        <v>143</v>
      </c>
      <c r="GP561" s="4">
        <v>135</v>
      </c>
      <c r="GQ561" s="4">
        <v>126</v>
      </c>
      <c r="GR561" s="4">
        <v>118</v>
      </c>
      <c r="GS561" s="4">
        <v>109</v>
      </c>
      <c r="GT561" s="4">
        <v>101</v>
      </c>
      <c r="GU561" s="4">
        <v>95</v>
      </c>
      <c r="GV561" s="4">
        <v>89</v>
      </c>
      <c r="GW561" s="4">
        <v>82</v>
      </c>
      <c r="GX561" s="4">
        <v>75</v>
      </c>
      <c r="GY561" s="4">
        <v>70</v>
      </c>
      <c r="GZ561" s="4">
        <v>66</v>
      </c>
      <c r="HA561" s="4">
        <v>63</v>
      </c>
      <c r="HB561" s="4">
        <v>59</v>
      </c>
      <c r="HC561" s="19">
        <v>11.8</v>
      </c>
      <c r="HD561" s="19">
        <v>10.6</v>
      </c>
      <c r="HE561" s="19">
        <v>14.4</v>
      </c>
      <c r="HF561" s="19">
        <v>13.7</v>
      </c>
      <c r="HG561" s="19">
        <v>17.4</v>
      </c>
      <c r="HH561" s="19">
        <v>18.9</v>
      </c>
      <c r="HI561" s="19">
        <v>20.5</v>
      </c>
      <c r="HJ561" s="19">
        <v>19.4</v>
      </c>
      <c r="HK561" s="19">
        <v>15.8</v>
      </c>
      <c r="HL561" s="19">
        <v>16.3</v>
      </c>
      <c r="HM561" s="19">
        <v>16.5</v>
      </c>
      <c r="HN561" s="19">
        <v>19</v>
      </c>
      <c r="HO561" s="19">
        <v>17.9</v>
      </c>
      <c r="HP561" s="19">
        <v>16.9</v>
      </c>
      <c r="HQ561" s="19">
        <v>15.8</v>
      </c>
      <c r="HR561" s="19">
        <v>16.9</v>
      </c>
      <c r="HS561" s="19">
        <v>15.6</v>
      </c>
      <c r="HT561" s="19">
        <v>16.8</v>
      </c>
      <c r="HU561" s="19">
        <v>15.8</v>
      </c>
      <c r="HV561" s="19">
        <v>14.8</v>
      </c>
      <c r="HW561" s="19">
        <v>16.4</v>
      </c>
      <c r="HX561" s="19">
        <v>18.8</v>
      </c>
      <c r="HY561" s="19">
        <v>17.5</v>
      </c>
      <c r="HZ561" s="19">
        <v>16.5</v>
      </c>
      <c r="IA561" s="19">
        <v>15.8</v>
      </c>
      <c r="IB561" s="19">
        <v>14.8</v>
      </c>
    </row>
    <row r="562">
      <c r="A562" s="2" t="s">
        <v>3269</v>
      </c>
      <c r="B562" s="2" t="s">
        <v>773</v>
      </c>
      <c r="C562" s="2" t="s">
        <v>908</v>
      </c>
      <c r="D562" s="2" t="s">
        <v>985</v>
      </c>
      <c r="E562" s="2" t="s">
        <v>2241</v>
      </c>
      <c r="F562" s="2" t="s">
        <v>3270</v>
      </c>
      <c r="G562" s="2" t="s">
        <v>3270</v>
      </c>
      <c r="H562" s="2" t="s">
        <v>233</v>
      </c>
      <c r="I562" s="2" t="s">
        <v>1574</v>
      </c>
      <c r="J562" s="2" t="s">
        <v>252</v>
      </c>
      <c r="K562" s="2" t="s">
        <v>3217</v>
      </c>
      <c r="L562" s="3">
        <v>59.61</v>
      </c>
      <c r="M562" s="3">
        <v>62.59</v>
      </c>
      <c r="N562" s="3">
        <v>119.99</v>
      </c>
      <c r="O562" s="2" t="s">
        <v>230</v>
      </c>
      <c r="P562" s="2" t="s">
        <v>721</v>
      </c>
      <c r="Q562" s="2" t="s">
        <v>232</v>
      </c>
      <c r="R562" s="2" t="s">
        <v>233</v>
      </c>
      <c r="S562" s="2" t="s">
        <v>3271</v>
      </c>
      <c r="T562" s="2" t="s">
        <v>913</v>
      </c>
      <c r="U562" s="2" t="s">
        <v>233</v>
      </c>
      <c r="V562" s="2" t="s">
        <v>236</v>
      </c>
      <c r="W562" s="2" t="s">
        <v>237</v>
      </c>
      <c r="X562" s="2" t="s">
        <v>233</v>
      </c>
      <c r="Y562" s="2" t="s">
        <v>238</v>
      </c>
      <c r="Z562" s="4">
        <v>138</v>
      </c>
      <c r="AA562" s="4">
        <f>=ROUNDDOWN(138,0)</f>
      </c>
      <c r="AB562" s="5">
        <v>1</v>
      </c>
      <c r="AC562" s="2" t="s">
        <v>233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233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233</v>
      </c>
      <c r="AW562" s="8" t="s">
        <v>233</v>
      </c>
      <c r="AX562" s="4" t="s">
        <v>233</v>
      </c>
      <c r="AY562" s="8" t="s">
        <v>233</v>
      </c>
      <c r="AZ562" s="7" t="s">
        <v>233</v>
      </c>
      <c r="BA562" s="7" t="s">
        <v>233</v>
      </c>
      <c r="BB562" s="7"/>
      <c r="BC562" s="4" t="s">
        <v>233</v>
      </c>
      <c r="BD562" s="8" t="s">
        <v>233</v>
      </c>
      <c r="BE562" s="4" t="s">
        <v>233</v>
      </c>
      <c r="BF562" s="8" t="s">
        <v>233</v>
      </c>
      <c r="BG562" s="7" t="s">
        <v>233</v>
      </c>
      <c r="BH562" s="7" t="s">
        <v>233</v>
      </c>
      <c r="BI562" s="7"/>
      <c r="BJ562" s="4">
        <v>8</v>
      </c>
      <c r="BK562" s="8">
        <v>475.34</v>
      </c>
      <c r="BL562" s="2" t="s">
        <v>3272</v>
      </c>
      <c r="BM562" s="7"/>
      <c r="BN562" s="7"/>
      <c r="BO562" s="4"/>
      <c r="BP562" s="8"/>
      <c r="BQ562" s="4"/>
      <c r="BR562" s="8"/>
      <c r="BS562" s="7"/>
      <c r="BT562" s="7"/>
      <c r="BU562" s="2" t="s">
        <v>3273</v>
      </c>
      <c r="BV562" s="2" t="s">
        <v>233</v>
      </c>
      <c r="BW562" s="2" t="s">
        <v>233</v>
      </c>
      <c r="BX562" s="2" t="s">
        <v>241</v>
      </c>
      <c r="BY562" s="2" t="s">
        <v>242</v>
      </c>
      <c r="BZ562" s="2" t="s">
        <v>230</v>
      </c>
      <c r="CA562" s="2" t="s">
        <v>992</v>
      </c>
      <c r="CB562" s="2" t="s">
        <v>3274</v>
      </c>
      <c r="CC562" s="2" t="s">
        <v>245</v>
      </c>
      <c r="CD562" s="2" t="s">
        <v>233</v>
      </c>
      <c r="CE562" s="4">
        <v>138</v>
      </c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>
        <v>140</v>
      </c>
      <c r="GD562" s="4">
        <v>136</v>
      </c>
      <c r="GE562" s="4">
        <v>133</v>
      </c>
      <c r="GF562" s="4">
        <v>130</v>
      </c>
      <c r="GG562" s="4">
        <v>124</v>
      </c>
      <c r="GH562" s="4">
        <v>120</v>
      </c>
      <c r="GI562" s="4">
        <v>115</v>
      </c>
      <c r="GJ562" s="4">
        <v>113</v>
      </c>
      <c r="GK562" s="4">
        <v>112</v>
      </c>
      <c r="GL562" s="4">
        <v>110</v>
      </c>
      <c r="GM562" s="4">
        <v>108</v>
      </c>
      <c r="GN562" s="4">
        <v>106</v>
      </c>
      <c r="GO562" s="4">
        <v>105</v>
      </c>
      <c r="GP562" s="4">
        <v>104</v>
      </c>
      <c r="GQ562" s="4">
        <v>103</v>
      </c>
      <c r="GR562" s="4">
        <v>102</v>
      </c>
      <c r="GS562" s="4">
        <v>101</v>
      </c>
      <c r="GT562" s="4">
        <v>100</v>
      </c>
      <c r="GU562" s="4">
        <v>100</v>
      </c>
      <c r="GV562" s="4">
        <v>99</v>
      </c>
      <c r="GW562" s="4">
        <v>98</v>
      </c>
      <c r="GX562" s="4">
        <v>98</v>
      </c>
      <c r="GY562" s="4">
        <v>98</v>
      </c>
      <c r="GZ562" s="4">
        <v>98</v>
      </c>
      <c r="HA562" s="4">
        <v>98</v>
      </c>
      <c r="HB562" s="4">
        <v>98</v>
      </c>
      <c r="HC562" s="19">
        <v>35</v>
      </c>
      <c r="HD562" s="19">
        <v>34</v>
      </c>
      <c r="HE562" s="19">
        <v>33.3</v>
      </c>
      <c r="HF562" s="19">
        <v>32.5</v>
      </c>
      <c r="HG562" s="19">
        <v>41.3</v>
      </c>
      <c r="HH562" s="19">
        <v>60</v>
      </c>
      <c r="HI562" s="19">
        <v>57.5</v>
      </c>
      <c r="HJ562" s="19">
        <v>56.5</v>
      </c>
      <c r="HK562" s="19">
        <v>56</v>
      </c>
      <c r="HL562" s="19">
        <v>55</v>
      </c>
      <c r="HM562" s="19">
        <v>108</v>
      </c>
      <c r="HN562" s="19">
        <v>106</v>
      </c>
      <c r="HO562" s="19">
        <v>105</v>
      </c>
      <c r="HP562" s="19">
        <v>104</v>
      </c>
      <c r="HQ562" s="19">
        <v>103</v>
      </c>
      <c r="HR562" s="19">
        <v>102</v>
      </c>
      <c r="HS562" s="19">
        <v>101</v>
      </c>
      <c r="HT562" s="9"/>
      <c r="HU562" s="20">
        <v>0</v>
      </c>
      <c r="HV562" s="20">
        <v>0</v>
      </c>
      <c r="HW562" s="9"/>
      <c r="HX562" s="9"/>
      <c r="HY562" s="9"/>
      <c r="HZ562" s="9"/>
      <c r="IA562" s="9"/>
      <c r="IB562" s="9"/>
    </row>
    <row r="563">
      <c r="A563" s="2" t="s">
        <v>3275</v>
      </c>
      <c r="B563" s="2" t="s">
        <v>773</v>
      </c>
      <c r="C563" s="2" t="s">
        <v>908</v>
      </c>
      <c r="D563" s="2" t="s">
        <v>985</v>
      </c>
      <c r="E563" s="2" t="s">
        <v>2241</v>
      </c>
      <c r="F563" s="2" t="s">
        <v>3270</v>
      </c>
      <c r="G563" s="2" t="s">
        <v>3270</v>
      </c>
      <c r="H563" s="2" t="s">
        <v>233</v>
      </c>
      <c r="I563" s="2" t="s">
        <v>1574</v>
      </c>
      <c r="J563" s="2" t="s">
        <v>256</v>
      </c>
      <c r="K563" s="2" t="s">
        <v>3217</v>
      </c>
      <c r="L563" s="3">
        <v>89.42</v>
      </c>
      <c r="M563" s="3">
        <v>93.89</v>
      </c>
      <c r="N563" s="3">
        <v>179.99</v>
      </c>
      <c r="O563" s="2" t="s">
        <v>230</v>
      </c>
      <c r="P563" s="2" t="s">
        <v>721</v>
      </c>
      <c r="Q563" s="2" t="s">
        <v>232</v>
      </c>
      <c r="R563" s="2" t="s">
        <v>233</v>
      </c>
      <c r="S563" s="2" t="s">
        <v>3271</v>
      </c>
      <c r="T563" s="2" t="s">
        <v>913</v>
      </c>
      <c r="U563" s="2" t="s">
        <v>233</v>
      </c>
      <c r="V563" s="2" t="s">
        <v>236</v>
      </c>
      <c r="W563" s="2" t="s">
        <v>237</v>
      </c>
      <c r="X563" s="2" t="s">
        <v>233</v>
      </c>
      <c r="Y563" s="2" t="s">
        <v>238</v>
      </c>
      <c r="Z563" s="4">
        <v>245</v>
      </c>
      <c r="AA563" s="4">
        <f>=ROUNDDOWN(81.6666666666667,0)</f>
      </c>
      <c r="AB563" s="5">
        <v>3</v>
      </c>
      <c r="AC563" s="2" t="s">
        <v>233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233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233</v>
      </c>
      <c r="AW563" s="8" t="s">
        <v>233</v>
      </c>
      <c r="AX563" s="4" t="s">
        <v>233</v>
      </c>
      <c r="AY563" s="8" t="s">
        <v>233</v>
      </c>
      <c r="AZ563" s="7" t="s">
        <v>233</v>
      </c>
      <c r="BA563" s="7" t="s">
        <v>233</v>
      </c>
      <c r="BB563" s="7"/>
      <c r="BC563" s="4" t="s">
        <v>233</v>
      </c>
      <c r="BD563" s="8" t="s">
        <v>233</v>
      </c>
      <c r="BE563" s="4" t="s">
        <v>233</v>
      </c>
      <c r="BF563" s="8" t="s">
        <v>233</v>
      </c>
      <c r="BG563" s="7" t="s">
        <v>233</v>
      </c>
      <c r="BH563" s="7" t="s">
        <v>233</v>
      </c>
      <c r="BI563" s="7"/>
      <c r="BJ563" s="4">
        <v>9</v>
      </c>
      <c r="BK563" s="8">
        <v>859.31</v>
      </c>
      <c r="BL563" s="2" t="s">
        <v>3276</v>
      </c>
      <c r="BM563" s="7"/>
      <c r="BN563" s="7"/>
      <c r="BO563" s="4"/>
      <c r="BP563" s="8"/>
      <c r="BQ563" s="4"/>
      <c r="BR563" s="8"/>
      <c r="BS563" s="7"/>
      <c r="BT563" s="7"/>
      <c r="BU563" s="2" t="s">
        <v>3273</v>
      </c>
      <c r="BV563" s="2" t="s">
        <v>233</v>
      </c>
      <c r="BW563" s="2" t="s">
        <v>233</v>
      </c>
      <c r="BX563" s="2" t="s">
        <v>241</v>
      </c>
      <c r="BY563" s="2" t="s">
        <v>242</v>
      </c>
      <c r="BZ563" s="2" t="s">
        <v>230</v>
      </c>
      <c r="CA563" s="2" t="s">
        <v>992</v>
      </c>
      <c r="CB563" s="2" t="s">
        <v>3277</v>
      </c>
      <c r="CC563" s="2" t="s">
        <v>245</v>
      </c>
      <c r="CD563" s="2" t="s">
        <v>233</v>
      </c>
      <c r="CE563" s="4">
        <v>245</v>
      </c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>
        <v>246</v>
      </c>
      <c r="GD563" s="4">
        <v>234</v>
      </c>
      <c r="GE563" s="4">
        <v>230</v>
      </c>
      <c r="GF563" s="4">
        <v>226</v>
      </c>
      <c r="GG563" s="4">
        <v>219</v>
      </c>
      <c r="GH563" s="4">
        <v>214</v>
      </c>
      <c r="GI563" s="4">
        <v>208</v>
      </c>
      <c r="GJ563" s="4">
        <v>205</v>
      </c>
      <c r="GK563" s="4">
        <v>203</v>
      </c>
      <c r="GL563" s="4">
        <v>201</v>
      </c>
      <c r="GM563" s="4">
        <v>200</v>
      </c>
      <c r="GN563" s="4">
        <v>198</v>
      </c>
      <c r="GO563" s="4">
        <v>197</v>
      </c>
      <c r="GP563" s="4">
        <v>196</v>
      </c>
      <c r="GQ563" s="4">
        <v>195</v>
      </c>
      <c r="GR563" s="4">
        <v>194</v>
      </c>
      <c r="GS563" s="4">
        <v>192</v>
      </c>
      <c r="GT563" s="4">
        <v>191</v>
      </c>
      <c r="GU563" s="4">
        <v>191</v>
      </c>
      <c r="GV563" s="4">
        <v>190</v>
      </c>
      <c r="GW563" s="4">
        <v>189</v>
      </c>
      <c r="GX563" s="4">
        <v>188</v>
      </c>
      <c r="GY563" s="4">
        <v>187</v>
      </c>
      <c r="GZ563" s="4">
        <v>187</v>
      </c>
      <c r="HA563" s="4">
        <v>186</v>
      </c>
      <c r="HB563" s="4">
        <v>186</v>
      </c>
      <c r="HC563" s="19">
        <v>35.1</v>
      </c>
      <c r="HD563" s="19">
        <v>46.8</v>
      </c>
      <c r="HE563" s="19">
        <v>38.3</v>
      </c>
      <c r="HF563" s="19">
        <v>45.2</v>
      </c>
      <c r="HG563" s="19">
        <v>54.8</v>
      </c>
      <c r="HH563" s="19">
        <v>71.3</v>
      </c>
      <c r="HI563" s="19">
        <v>104</v>
      </c>
      <c r="HJ563" s="19">
        <v>102.5</v>
      </c>
      <c r="HK563" s="19">
        <v>101.5</v>
      </c>
      <c r="HL563" s="19">
        <v>201</v>
      </c>
      <c r="HM563" s="19">
        <v>200</v>
      </c>
      <c r="HN563" s="19">
        <v>198</v>
      </c>
      <c r="HO563" s="19">
        <v>197</v>
      </c>
      <c r="HP563" s="19">
        <v>196</v>
      </c>
      <c r="HQ563" s="19">
        <v>195</v>
      </c>
      <c r="HR563" s="19">
        <v>194</v>
      </c>
      <c r="HS563" s="19">
        <v>192</v>
      </c>
      <c r="HT563" s="19">
        <v>191</v>
      </c>
      <c r="HU563" s="19">
        <v>191</v>
      </c>
      <c r="HV563" s="19">
        <v>190</v>
      </c>
      <c r="HW563" s="19">
        <v>189</v>
      </c>
      <c r="HX563" s="20">
        <v>0</v>
      </c>
      <c r="HY563" s="9"/>
      <c r="HZ563" s="20">
        <v>0</v>
      </c>
      <c r="IA563" s="9"/>
      <c r="IB563" s="9"/>
    </row>
    <row r="564">
      <c r="A564" s="2" t="s">
        <v>3278</v>
      </c>
      <c r="B564" s="2" t="s">
        <v>773</v>
      </c>
      <c r="C564" s="2" t="s">
        <v>908</v>
      </c>
      <c r="D564" s="2" t="s">
        <v>985</v>
      </c>
      <c r="E564" s="2" t="s">
        <v>2241</v>
      </c>
      <c r="F564" s="2" t="s">
        <v>3270</v>
      </c>
      <c r="G564" s="2" t="s">
        <v>3270</v>
      </c>
      <c r="H564" s="2" t="s">
        <v>233</v>
      </c>
      <c r="I564" s="2" t="s">
        <v>1574</v>
      </c>
      <c r="J564" s="2" t="s">
        <v>228</v>
      </c>
      <c r="K564" s="2" t="s">
        <v>3279</v>
      </c>
      <c r="L564" s="3">
        <v>54.64</v>
      </c>
      <c r="M564" s="3">
        <v>57.37</v>
      </c>
      <c r="N564" s="3">
        <v>109.99</v>
      </c>
      <c r="O564" s="2" t="s">
        <v>230</v>
      </c>
      <c r="P564" s="2" t="s">
        <v>231</v>
      </c>
      <c r="Q564" s="2" t="s">
        <v>232</v>
      </c>
      <c r="R564" s="2" t="s">
        <v>233</v>
      </c>
      <c r="S564" s="2" t="s">
        <v>3280</v>
      </c>
      <c r="T564" s="2" t="s">
        <v>913</v>
      </c>
      <c r="U564" s="2" t="s">
        <v>233</v>
      </c>
      <c r="V564" s="2" t="s">
        <v>236</v>
      </c>
      <c r="W564" s="2" t="s">
        <v>237</v>
      </c>
      <c r="X564" s="2" t="s">
        <v>233</v>
      </c>
      <c r="Y564" s="2" t="s">
        <v>238</v>
      </c>
      <c r="Z564" s="4">
        <v>82</v>
      </c>
      <c r="AA564" s="4">
        <f>=ROUNDDOWN(20.5,0)</f>
      </c>
      <c r="AB564" s="5">
        <v>4</v>
      </c>
      <c r="AC564" s="2" t="s">
        <v>233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233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233</v>
      </c>
      <c r="AW564" s="8" t="s">
        <v>233</v>
      </c>
      <c r="AX564" s="4" t="s">
        <v>233</v>
      </c>
      <c r="AY564" s="8" t="s">
        <v>233</v>
      </c>
      <c r="AZ564" s="7" t="s">
        <v>233</v>
      </c>
      <c r="BA564" s="7" t="s">
        <v>233</v>
      </c>
      <c r="BB564" s="7"/>
      <c r="BC564" s="4" t="s">
        <v>233</v>
      </c>
      <c r="BD564" s="8" t="s">
        <v>233</v>
      </c>
      <c r="BE564" s="4" t="s">
        <v>233</v>
      </c>
      <c r="BF564" s="8" t="s">
        <v>233</v>
      </c>
      <c r="BG564" s="7" t="s">
        <v>233</v>
      </c>
      <c r="BH564" s="7" t="s">
        <v>233</v>
      </c>
      <c r="BI564" s="7"/>
      <c r="BJ564" s="4">
        <v>12</v>
      </c>
      <c r="BK564" s="8">
        <v>662.96</v>
      </c>
      <c r="BL564" s="2" t="s">
        <v>2180</v>
      </c>
      <c r="BM564" s="7"/>
      <c r="BN564" s="7"/>
      <c r="BO564" s="4"/>
      <c r="BP564" s="8"/>
      <c r="BQ564" s="4"/>
      <c r="BR564" s="8"/>
      <c r="BS564" s="7"/>
      <c r="BT564" s="7"/>
      <c r="BU564" s="2" t="s">
        <v>3273</v>
      </c>
      <c r="BV564" s="2" t="s">
        <v>233</v>
      </c>
      <c r="BW564" s="2" t="s">
        <v>233</v>
      </c>
      <c r="BX564" s="2" t="s">
        <v>241</v>
      </c>
      <c r="BY564" s="2" t="s">
        <v>242</v>
      </c>
      <c r="BZ564" s="2" t="s">
        <v>230</v>
      </c>
      <c r="CA564" s="2" t="s">
        <v>992</v>
      </c>
      <c r="CB564" s="2" t="s">
        <v>341</v>
      </c>
      <c r="CC564" s="2" t="s">
        <v>245</v>
      </c>
      <c r="CD564" s="2" t="s">
        <v>233</v>
      </c>
      <c r="CE564" s="4">
        <v>82</v>
      </c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>
        <v>82</v>
      </c>
      <c r="GD564" s="4">
        <v>69</v>
      </c>
      <c r="GE564" s="4">
        <v>63</v>
      </c>
      <c r="GF564" s="4">
        <v>57</v>
      </c>
      <c r="GG564" s="4">
        <v>46</v>
      </c>
      <c r="GH564" s="4">
        <v>39</v>
      </c>
      <c r="GI564" s="4">
        <v>31</v>
      </c>
      <c r="GJ564" s="4">
        <v>26</v>
      </c>
      <c r="GK564" s="4">
        <v>25</v>
      </c>
      <c r="GL564" s="4">
        <v>23</v>
      </c>
      <c r="GM564" s="4">
        <v>20</v>
      </c>
      <c r="GN564" s="4">
        <v>16</v>
      </c>
      <c r="GO564" s="4">
        <v>14</v>
      </c>
      <c r="GP564" s="4">
        <v>12</v>
      </c>
      <c r="GQ564" s="4">
        <v>10</v>
      </c>
      <c r="GR564" s="4">
        <v>8</v>
      </c>
      <c r="GS564" s="4">
        <v>6</v>
      </c>
      <c r="GT564" s="4">
        <v>4</v>
      </c>
      <c r="GU564" s="4">
        <v>3</v>
      </c>
      <c r="GV564" s="4">
        <v>119</v>
      </c>
      <c r="GW564" s="4">
        <v>117</v>
      </c>
      <c r="GX564" s="4">
        <v>115</v>
      </c>
      <c r="GY564" s="4">
        <v>114</v>
      </c>
      <c r="GZ564" s="4">
        <v>113</v>
      </c>
      <c r="HA564" s="4">
        <v>112</v>
      </c>
      <c r="HB564" s="4">
        <v>111</v>
      </c>
      <c r="HC564" s="19">
        <v>9.1</v>
      </c>
      <c r="HD564" s="19">
        <v>8.6</v>
      </c>
      <c r="HE564" s="19">
        <v>7.9</v>
      </c>
      <c r="HF564" s="19">
        <v>7.1</v>
      </c>
      <c r="HG564" s="19">
        <v>9.2</v>
      </c>
      <c r="HH564" s="19">
        <v>9.8</v>
      </c>
      <c r="HI564" s="19">
        <v>10.3</v>
      </c>
      <c r="HJ564" s="19">
        <v>13</v>
      </c>
      <c r="HK564" s="19">
        <v>8.3</v>
      </c>
      <c r="HL564" s="19">
        <v>7.7</v>
      </c>
      <c r="HM564" s="19">
        <v>10</v>
      </c>
      <c r="HN564" s="19">
        <v>8</v>
      </c>
      <c r="HO564" s="19">
        <v>7</v>
      </c>
      <c r="HP564" s="19">
        <v>6</v>
      </c>
      <c r="HQ564" s="19">
        <v>5</v>
      </c>
      <c r="HR564" s="19">
        <v>4</v>
      </c>
      <c r="HS564" s="19">
        <v>3</v>
      </c>
      <c r="HT564" s="19">
        <v>2</v>
      </c>
      <c r="HU564" s="19">
        <v>1.5</v>
      </c>
      <c r="HV564" s="19">
        <v>59.5</v>
      </c>
      <c r="HW564" s="19">
        <v>117</v>
      </c>
      <c r="HX564" s="19">
        <v>115</v>
      </c>
      <c r="HY564" s="19">
        <v>114</v>
      </c>
      <c r="HZ564" s="19">
        <v>113</v>
      </c>
      <c r="IA564" s="19">
        <v>112</v>
      </c>
      <c r="IB564" s="19">
        <v>111</v>
      </c>
    </row>
    <row r="565">
      <c r="A565" s="2" t="s">
        <v>3281</v>
      </c>
      <c r="B565" s="2" t="s">
        <v>773</v>
      </c>
      <c r="C565" s="2" t="s">
        <v>908</v>
      </c>
      <c r="D565" s="2" t="s">
        <v>985</v>
      </c>
      <c r="E565" s="2" t="s">
        <v>2241</v>
      </c>
      <c r="F565" s="2" t="s">
        <v>3270</v>
      </c>
      <c r="G565" s="2" t="s">
        <v>3270</v>
      </c>
      <c r="H565" s="2" t="s">
        <v>233</v>
      </c>
      <c r="I565" s="2" t="s">
        <v>1574</v>
      </c>
      <c r="J565" s="2" t="s">
        <v>336</v>
      </c>
      <c r="K565" s="2" t="s">
        <v>3279</v>
      </c>
      <c r="L565" s="3">
        <v>79.48</v>
      </c>
      <c r="M565" s="3">
        <v>83.45</v>
      </c>
      <c r="N565" s="3">
        <v>159.99</v>
      </c>
      <c r="O565" s="2" t="s">
        <v>230</v>
      </c>
      <c r="P565" s="2" t="s">
        <v>231</v>
      </c>
      <c r="Q565" s="2" t="s">
        <v>232</v>
      </c>
      <c r="R565" s="2" t="s">
        <v>233</v>
      </c>
      <c r="S565" s="2" t="s">
        <v>3280</v>
      </c>
      <c r="T565" s="2" t="s">
        <v>913</v>
      </c>
      <c r="U565" s="2" t="s">
        <v>233</v>
      </c>
      <c r="V565" s="2" t="s">
        <v>236</v>
      </c>
      <c r="W565" s="2" t="s">
        <v>237</v>
      </c>
      <c r="X565" s="2" t="s">
        <v>233</v>
      </c>
      <c r="Y565" s="2" t="s">
        <v>238</v>
      </c>
      <c r="Z565" s="4">
        <v>228</v>
      </c>
      <c r="AA565" s="4">
        <f>=ROUNDDOWN(38,0)</f>
      </c>
      <c r="AB565" s="5">
        <v>6</v>
      </c>
      <c r="AC565" s="2" t="s">
        <v>233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233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233</v>
      </c>
      <c r="AW565" s="8" t="s">
        <v>233</v>
      </c>
      <c r="AX565" s="4" t="s">
        <v>233</v>
      </c>
      <c r="AY565" s="8" t="s">
        <v>233</v>
      </c>
      <c r="AZ565" s="7" t="s">
        <v>233</v>
      </c>
      <c r="BA565" s="7" t="s">
        <v>233</v>
      </c>
      <c r="BB565" s="7"/>
      <c r="BC565" s="4" t="s">
        <v>233</v>
      </c>
      <c r="BD565" s="8" t="s">
        <v>233</v>
      </c>
      <c r="BE565" s="4" t="s">
        <v>233</v>
      </c>
      <c r="BF565" s="8" t="s">
        <v>233</v>
      </c>
      <c r="BG565" s="7" t="s">
        <v>233</v>
      </c>
      <c r="BH565" s="7" t="s">
        <v>233</v>
      </c>
      <c r="BI565" s="7"/>
      <c r="BJ565" s="4">
        <v>13</v>
      </c>
      <c r="BK565" s="8">
        <v>1056.66</v>
      </c>
      <c r="BL565" s="2" t="s">
        <v>3282</v>
      </c>
      <c r="BM565" s="7"/>
      <c r="BN565" s="7"/>
      <c r="BO565" s="4"/>
      <c r="BP565" s="8"/>
      <c r="BQ565" s="4"/>
      <c r="BR565" s="8"/>
      <c r="BS565" s="7"/>
      <c r="BT565" s="7"/>
      <c r="BU565" s="2" t="s">
        <v>3273</v>
      </c>
      <c r="BV565" s="2" t="s">
        <v>233</v>
      </c>
      <c r="BW565" s="2" t="s">
        <v>233</v>
      </c>
      <c r="BX565" s="2" t="s">
        <v>241</v>
      </c>
      <c r="BY565" s="2" t="s">
        <v>242</v>
      </c>
      <c r="BZ565" s="2" t="s">
        <v>230</v>
      </c>
      <c r="CA565" s="2" t="s">
        <v>992</v>
      </c>
      <c r="CB565" s="2" t="s">
        <v>3283</v>
      </c>
      <c r="CC565" s="2" t="s">
        <v>245</v>
      </c>
      <c r="CD565" s="2" t="s">
        <v>233</v>
      </c>
      <c r="CE565" s="4">
        <v>228</v>
      </c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>
        <v>229</v>
      </c>
      <c r="GD565" s="4">
        <v>214</v>
      </c>
      <c r="GE565" s="4">
        <v>205</v>
      </c>
      <c r="GF565" s="4">
        <v>197</v>
      </c>
      <c r="GG565" s="4">
        <v>180</v>
      </c>
      <c r="GH565" s="4">
        <v>170</v>
      </c>
      <c r="GI565" s="4">
        <v>157</v>
      </c>
      <c r="GJ565" s="4">
        <v>150</v>
      </c>
      <c r="GK565" s="4">
        <v>147</v>
      </c>
      <c r="GL565" s="4">
        <v>142</v>
      </c>
      <c r="GM565" s="4">
        <v>136</v>
      </c>
      <c r="GN565" s="4">
        <v>130</v>
      </c>
      <c r="GO565" s="4">
        <v>127</v>
      </c>
      <c r="GP565" s="4">
        <v>124</v>
      </c>
      <c r="GQ565" s="4">
        <v>122</v>
      </c>
      <c r="GR565" s="4">
        <v>120</v>
      </c>
      <c r="GS565" s="4">
        <v>117</v>
      </c>
      <c r="GT565" s="4">
        <v>115</v>
      </c>
      <c r="GU565" s="4">
        <v>113</v>
      </c>
      <c r="GV565" s="4">
        <v>166</v>
      </c>
      <c r="GW565" s="4">
        <v>164</v>
      </c>
      <c r="GX565" s="4">
        <v>162</v>
      </c>
      <c r="GY565" s="4">
        <v>161</v>
      </c>
      <c r="GZ565" s="4">
        <v>160</v>
      </c>
      <c r="HA565" s="4">
        <v>159</v>
      </c>
      <c r="HB565" s="4">
        <v>158</v>
      </c>
      <c r="HC565" s="19">
        <v>19.1</v>
      </c>
      <c r="HD565" s="19">
        <v>19.5</v>
      </c>
      <c r="HE565" s="19">
        <v>17.1</v>
      </c>
      <c r="HF565" s="19">
        <v>16.4</v>
      </c>
      <c r="HG565" s="19">
        <v>22.5</v>
      </c>
      <c r="HH565" s="19">
        <v>24.3</v>
      </c>
      <c r="HI565" s="19">
        <v>31.4</v>
      </c>
      <c r="HJ565" s="19">
        <v>30</v>
      </c>
      <c r="HK565" s="19">
        <v>29.4</v>
      </c>
      <c r="HL565" s="19">
        <v>35.5</v>
      </c>
      <c r="HM565" s="19">
        <v>34</v>
      </c>
      <c r="HN565" s="19">
        <v>65</v>
      </c>
      <c r="HO565" s="19">
        <v>63.5</v>
      </c>
      <c r="HP565" s="19">
        <v>62</v>
      </c>
      <c r="HQ565" s="19">
        <v>61</v>
      </c>
      <c r="HR565" s="19">
        <v>60</v>
      </c>
      <c r="HS565" s="19">
        <v>58.5</v>
      </c>
      <c r="HT565" s="19">
        <v>57.5</v>
      </c>
      <c r="HU565" s="19">
        <v>56.5</v>
      </c>
      <c r="HV565" s="19">
        <v>83</v>
      </c>
      <c r="HW565" s="19">
        <v>164</v>
      </c>
      <c r="HX565" s="19">
        <v>162</v>
      </c>
      <c r="HY565" s="19">
        <v>161</v>
      </c>
      <c r="HZ565" s="19">
        <v>160</v>
      </c>
      <c r="IA565" s="19">
        <v>159</v>
      </c>
      <c r="IB565" s="19">
        <v>158</v>
      </c>
    </row>
    <row r="566">
      <c r="A566" s="2" t="s">
        <v>3284</v>
      </c>
      <c r="B566" s="2" t="s">
        <v>773</v>
      </c>
      <c r="C566" s="2" t="s">
        <v>908</v>
      </c>
      <c r="D566" s="2" t="s">
        <v>985</v>
      </c>
      <c r="E566" s="2" t="s">
        <v>2241</v>
      </c>
      <c r="F566" s="2" t="s">
        <v>3270</v>
      </c>
      <c r="G566" s="2" t="s">
        <v>3270</v>
      </c>
      <c r="H566" s="2" t="s">
        <v>233</v>
      </c>
      <c r="I566" s="2" t="s">
        <v>1574</v>
      </c>
      <c r="J566" s="2" t="s">
        <v>256</v>
      </c>
      <c r="K566" s="2" t="s">
        <v>3279</v>
      </c>
      <c r="L566" s="3">
        <v>89.42</v>
      </c>
      <c r="M566" s="3">
        <v>93.89</v>
      </c>
      <c r="N566" s="3">
        <v>179.99</v>
      </c>
      <c r="O566" s="2" t="s">
        <v>230</v>
      </c>
      <c r="P566" s="2" t="s">
        <v>231</v>
      </c>
      <c r="Q566" s="2" t="s">
        <v>232</v>
      </c>
      <c r="R566" s="2" t="s">
        <v>233</v>
      </c>
      <c r="S566" s="2" t="s">
        <v>3280</v>
      </c>
      <c r="T566" s="2" t="s">
        <v>913</v>
      </c>
      <c r="U566" s="2" t="s">
        <v>233</v>
      </c>
      <c r="V566" s="2" t="s">
        <v>236</v>
      </c>
      <c r="W566" s="2" t="s">
        <v>237</v>
      </c>
      <c r="X566" s="2" t="s">
        <v>233</v>
      </c>
      <c r="Y566" s="2" t="s">
        <v>238</v>
      </c>
      <c r="Z566" s="4">
        <v>217</v>
      </c>
      <c r="AA566" s="4">
        <f>=ROUNDDOWN(54.25,0)</f>
      </c>
      <c r="AB566" s="5">
        <v>4</v>
      </c>
      <c r="AC566" s="2" t="s">
        <v>233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233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233</v>
      </c>
      <c r="AW566" s="8" t="s">
        <v>233</v>
      </c>
      <c r="AX566" s="4" t="s">
        <v>233</v>
      </c>
      <c r="AY566" s="8" t="s">
        <v>233</v>
      </c>
      <c r="AZ566" s="7" t="s">
        <v>233</v>
      </c>
      <c r="BA566" s="7" t="s">
        <v>233</v>
      </c>
      <c r="BB566" s="7"/>
      <c r="BC566" s="4" t="s">
        <v>233</v>
      </c>
      <c r="BD566" s="8" t="s">
        <v>233</v>
      </c>
      <c r="BE566" s="4" t="s">
        <v>233</v>
      </c>
      <c r="BF566" s="8" t="s">
        <v>233</v>
      </c>
      <c r="BG566" s="7" t="s">
        <v>233</v>
      </c>
      <c r="BH566" s="7" t="s">
        <v>233</v>
      </c>
      <c r="BI566" s="7"/>
      <c r="BJ566" s="4">
        <v>12</v>
      </c>
      <c r="BK566" s="8">
        <v>1117.23</v>
      </c>
      <c r="BL566" s="2" t="s">
        <v>3285</v>
      </c>
      <c r="BM566" s="7"/>
      <c r="BN566" s="7"/>
      <c r="BO566" s="4"/>
      <c r="BP566" s="8"/>
      <c r="BQ566" s="4"/>
      <c r="BR566" s="8"/>
      <c r="BS566" s="7"/>
      <c r="BT566" s="7"/>
      <c r="BU566" s="2" t="s">
        <v>3273</v>
      </c>
      <c r="BV566" s="2" t="s">
        <v>233</v>
      </c>
      <c r="BW566" s="2" t="s">
        <v>233</v>
      </c>
      <c r="BX566" s="2" t="s">
        <v>241</v>
      </c>
      <c r="BY566" s="2" t="s">
        <v>242</v>
      </c>
      <c r="BZ566" s="2" t="s">
        <v>230</v>
      </c>
      <c r="CA566" s="2" t="s">
        <v>992</v>
      </c>
      <c r="CB566" s="2" t="s">
        <v>2991</v>
      </c>
      <c r="CC566" s="2" t="s">
        <v>245</v>
      </c>
      <c r="CD566" s="2" t="s">
        <v>233</v>
      </c>
      <c r="CE566" s="4">
        <v>217</v>
      </c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>
        <v>218</v>
      </c>
      <c r="GD566" s="4">
        <v>205</v>
      </c>
      <c r="GE566" s="4">
        <v>199</v>
      </c>
      <c r="GF566" s="4">
        <v>194</v>
      </c>
      <c r="GG566" s="4">
        <v>183</v>
      </c>
      <c r="GH566" s="4">
        <v>176</v>
      </c>
      <c r="GI566" s="4">
        <v>168</v>
      </c>
      <c r="GJ566" s="4">
        <v>163</v>
      </c>
      <c r="GK566" s="4">
        <v>161</v>
      </c>
      <c r="GL566" s="4">
        <v>158</v>
      </c>
      <c r="GM566" s="4">
        <v>156</v>
      </c>
      <c r="GN566" s="4">
        <v>154</v>
      </c>
      <c r="GO566" s="4">
        <v>152</v>
      </c>
      <c r="GP566" s="4">
        <v>150</v>
      </c>
      <c r="GQ566" s="4">
        <v>148</v>
      </c>
      <c r="GR566" s="4">
        <v>146</v>
      </c>
      <c r="GS566" s="4">
        <v>144</v>
      </c>
      <c r="GT566" s="4">
        <v>142</v>
      </c>
      <c r="GU566" s="4">
        <v>141</v>
      </c>
      <c r="GV566" s="4">
        <v>140</v>
      </c>
      <c r="GW566" s="4">
        <v>138</v>
      </c>
      <c r="GX566" s="4">
        <v>137</v>
      </c>
      <c r="GY566" s="4">
        <v>136</v>
      </c>
      <c r="GZ566" s="4">
        <v>135</v>
      </c>
      <c r="HA566" s="4">
        <v>133</v>
      </c>
      <c r="HB566" s="4">
        <v>132</v>
      </c>
      <c r="HC566" s="19">
        <v>24.2</v>
      </c>
      <c r="HD566" s="19">
        <v>29.3</v>
      </c>
      <c r="HE566" s="19">
        <v>24.9</v>
      </c>
      <c r="HF566" s="19">
        <v>24.3</v>
      </c>
      <c r="HG566" s="19">
        <v>30.5</v>
      </c>
      <c r="HH566" s="19">
        <v>44</v>
      </c>
      <c r="HI566" s="19">
        <v>56</v>
      </c>
      <c r="HJ566" s="19">
        <v>81.5</v>
      </c>
      <c r="HK566" s="19">
        <v>80.5</v>
      </c>
      <c r="HL566" s="19">
        <v>79</v>
      </c>
      <c r="HM566" s="19">
        <v>78</v>
      </c>
      <c r="HN566" s="19">
        <v>77</v>
      </c>
      <c r="HO566" s="19">
        <v>76</v>
      </c>
      <c r="HP566" s="19">
        <v>75</v>
      </c>
      <c r="HQ566" s="19">
        <v>74</v>
      </c>
      <c r="HR566" s="19">
        <v>73</v>
      </c>
      <c r="HS566" s="19">
        <v>72</v>
      </c>
      <c r="HT566" s="19">
        <v>142</v>
      </c>
      <c r="HU566" s="19">
        <v>141</v>
      </c>
      <c r="HV566" s="19">
        <v>140</v>
      </c>
      <c r="HW566" s="19">
        <v>138</v>
      </c>
      <c r="HX566" s="19">
        <v>137</v>
      </c>
      <c r="HY566" s="19">
        <v>136</v>
      </c>
      <c r="HZ566" s="19">
        <v>135</v>
      </c>
      <c r="IA566" s="19">
        <v>133</v>
      </c>
      <c r="IB566" s="19">
        <v>132</v>
      </c>
    </row>
    <row r="567">
      <c r="A567" s="2" t="s">
        <v>3286</v>
      </c>
      <c r="B567" s="2" t="s">
        <v>773</v>
      </c>
      <c r="C567" s="2" t="s">
        <v>908</v>
      </c>
      <c r="D567" s="2" t="s">
        <v>985</v>
      </c>
      <c r="E567" s="2" t="s">
        <v>2241</v>
      </c>
      <c r="F567" s="2" t="s">
        <v>3270</v>
      </c>
      <c r="G567" s="2" t="s">
        <v>3270</v>
      </c>
      <c r="H567" s="2" t="s">
        <v>233</v>
      </c>
      <c r="I567" s="2" t="s">
        <v>1574</v>
      </c>
      <c r="J567" s="2" t="s">
        <v>228</v>
      </c>
      <c r="K567" s="2" t="s">
        <v>300</v>
      </c>
      <c r="L567" s="3">
        <v>54.64</v>
      </c>
      <c r="M567" s="3">
        <v>57.37</v>
      </c>
      <c r="N567" s="3">
        <v>109.99</v>
      </c>
      <c r="O567" s="2" t="s">
        <v>230</v>
      </c>
      <c r="P567" s="2" t="s">
        <v>231</v>
      </c>
      <c r="Q567" s="2" t="s">
        <v>232</v>
      </c>
      <c r="R567" s="2" t="s">
        <v>233</v>
      </c>
      <c r="S567" s="2" t="s">
        <v>3287</v>
      </c>
      <c r="T567" s="2" t="s">
        <v>913</v>
      </c>
      <c r="U567" s="2" t="s">
        <v>233</v>
      </c>
      <c r="V567" s="2" t="s">
        <v>236</v>
      </c>
      <c r="W567" s="2" t="s">
        <v>237</v>
      </c>
      <c r="X567" s="2" t="s">
        <v>233</v>
      </c>
      <c r="Y567" s="2" t="s">
        <v>238</v>
      </c>
      <c r="Z567" s="4">
        <v>260</v>
      </c>
      <c r="AA567" s="4">
        <f>=ROUNDDOWN(43.3333333333333,0)</f>
      </c>
      <c r="AB567" s="5">
        <v>6</v>
      </c>
      <c r="AC567" s="2" t="s">
        <v>233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233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233</v>
      </c>
      <c r="AW567" s="8" t="s">
        <v>233</v>
      </c>
      <c r="AX567" s="4" t="s">
        <v>233</v>
      </c>
      <c r="AY567" s="8" t="s">
        <v>233</v>
      </c>
      <c r="AZ567" s="7" t="s">
        <v>233</v>
      </c>
      <c r="BA567" s="7" t="s">
        <v>233</v>
      </c>
      <c r="BB567" s="7"/>
      <c r="BC567" s="4" t="s">
        <v>233</v>
      </c>
      <c r="BD567" s="8" t="s">
        <v>233</v>
      </c>
      <c r="BE567" s="4" t="s">
        <v>233</v>
      </c>
      <c r="BF567" s="8" t="s">
        <v>233</v>
      </c>
      <c r="BG567" s="7" t="s">
        <v>233</v>
      </c>
      <c r="BH567" s="7" t="s">
        <v>233</v>
      </c>
      <c r="BI567" s="7"/>
      <c r="BJ567" s="4">
        <v>10</v>
      </c>
      <c r="BK567" s="8">
        <v>536.94</v>
      </c>
      <c r="BL567" s="2" t="s">
        <v>1652</v>
      </c>
      <c r="BM567" s="7"/>
      <c r="BN567" s="7"/>
      <c r="BO567" s="4"/>
      <c r="BP567" s="8"/>
      <c r="BQ567" s="4"/>
      <c r="BR567" s="8"/>
      <c r="BS567" s="7"/>
      <c r="BT567" s="7"/>
      <c r="BU567" s="2" t="s">
        <v>3273</v>
      </c>
      <c r="BV567" s="2" t="s">
        <v>233</v>
      </c>
      <c r="BW567" s="2" t="s">
        <v>233</v>
      </c>
      <c r="BX567" s="2" t="s">
        <v>241</v>
      </c>
      <c r="BY567" s="2" t="s">
        <v>242</v>
      </c>
      <c r="BZ567" s="2" t="s">
        <v>230</v>
      </c>
      <c r="CA567" s="2" t="s">
        <v>992</v>
      </c>
      <c r="CB567" s="2" t="s">
        <v>3288</v>
      </c>
      <c r="CC567" s="2" t="s">
        <v>245</v>
      </c>
      <c r="CD567" s="2" t="s">
        <v>233</v>
      </c>
      <c r="CE567" s="4">
        <v>260</v>
      </c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>
        <v>263</v>
      </c>
      <c r="GD567" s="4">
        <v>245</v>
      </c>
      <c r="GE567" s="4">
        <v>237</v>
      </c>
      <c r="GF567" s="4">
        <v>230</v>
      </c>
      <c r="GG567" s="4">
        <v>216</v>
      </c>
      <c r="GH567" s="4">
        <v>207</v>
      </c>
      <c r="GI567" s="4">
        <v>196</v>
      </c>
      <c r="GJ567" s="4">
        <v>190</v>
      </c>
      <c r="GK567" s="4">
        <v>187</v>
      </c>
      <c r="GL567" s="4">
        <v>183</v>
      </c>
      <c r="GM567" s="4">
        <v>178</v>
      </c>
      <c r="GN567" s="4">
        <v>173</v>
      </c>
      <c r="GO567" s="4">
        <v>170</v>
      </c>
      <c r="GP567" s="4">
        <v>168</v>
      </c>
      <c r="GQ567" s="4">
        <v>165</v>
      </c>
      <c r="GR567" s="4">
        <v>162</v>
      </c>
      <c r="GS567" s="4">
        <v>159</v>
      </c>
      <c r="GT567" s="4">
        <v>155</v>
      </c>
      <c r="GU567" s="4">
        <v>153</v>
      </c>
      <c r="GV567" s="4">
        <v>151</v>
      </c>
      <c r="GW567" s="4">
        <v>149</v>
      </c>
      <c r="GX567" s="4">
        <v>147</v>
      </c>
      <c r="GY567" s="4">
        <v>145</v>
      </c>
      <c r="GZ567" s="4">
        <v>144</v>
      </c>
      <c r="HA567" s="4">
        <v>143</v>
      </c>
      <c r="HB567" s="4">
        <v>142</v>
      </c>
      <c r="HC567" s="19">
        <v>21.9</v>
      </c>
      <c r="HD567" s="19">
        <v>24.5</v>
      </c>
      <c r="HE567" s="19">
        <v>23.7</v>
      </c>
      <c r="HF567" s="19">
        <v>23</v>
      </c>
      <c r="HG567" s="19">
        <v>30.9</v>
      </c>
      <c r="HH567" s="19">
        <v>34.5</v>
      </c>
      <c r="HI567" s="19">
        <v>49</v>
      </c>
      <c r="HJ567" s="19">
        <v>47.5</v>
      </c>
      <c r="HK567" s="19">
        <v>46.8</v>
      </c>
      <c r="HL567" s="19">
        <v>45.8</v>
      </c>
      <c r="HM567" s="19">
        <v>59.3</v>
      </c>
      <c r="HN567" s="19">
        <v>57.7</v>
      </c>
      <c r="HO567" s="19">
        <v>56.7</v>
      </c>
      <c r="HP567" s="19">
        <v>56</v>
      </c>
      <c r="HQ567" s="19">
        <v>55</v>
      </c>
      <c r="HR567" s="19">
        <v>54</v>
      </c>
      <c r="HS567" s="19">
        <v>79.5</v>
      </c>
      <c r="HT567" s="19">
        <v>77.5</v>
      </c>
      <c r="HU567" s="19">
        <v>76.5</v>
      </c>
      <c r="HV567" s="19">
        <v>75.5</v>
      </c>
      <c r="HW567" s="19">
        <v>74.5</v>
      </c>
      <c r="HX567" s="19">
        <v>147</v>
      </c>
      <c r="HY567" s="19">
        <v>145</v>
      </c>
      <c r="HZ567" s="19">
        <v>144</v>
      </c>
      <c r="IA567" s="19">
        <v>71.5</v>
      </c>
      <c r="IB567" s="19">
        <v>71</v>
      </c>
    </row>
    <row r="568">
      <c r="A568" s="2" t="s">
        <v>3289</v>
      </c>
      <c r="B568" s="2" t="s">
        <v>773</v>
      </c>
      <c r="C568" s="2" t="s">
        <v>908</v>
      </c>
      <c r="D568" s="2" t="s">
        <v>985</v>
      </c>
      <c r="E568" s="2" t="s">
        <v>2241</v>
      </c>
      <c r="F568" s="2" t="s">
        <v>3270</v>
      </c>
      <c r="G568" s="2" t="s">
        <v>3270</v>
      </c>
      <c r="H568" s="2" t="s">
        <v>233</v>
      </c>
      <c r="I568" s="2" t="s">
        <v>1574</v>
      </c>
      <c r="J568" s="2" t="s">
        <v>336</v>
      </c>
      <c r="K568" s="2" t="s">
        <v>300</v>
      </c>
      <c r="L568" s="3">
        <v>79.48</v>
      </c>
      <c r="M568" s="3">
        <v>83.45</v>
      </c>
      <c r="N568" s="3">
        <v>159.99</v>
      </c>
      <c r="O568" s="2" t="s">
        <v>230</v>
      </c>
      <c r="P568" s="2" t="s">
        <v>231</v>
      </c>
      <c r="Q568" s="2" t="s">
        <v>232</v>
      </c>
      <c r="R568" s="2" t="s">
        <v>233</v>
      </c>
      <c r="S568" s="2" t="s">
        <v>3287</v>
      </c>
      <c r="T568" s="2" t="s">
        <v>913</v>
      </c>
      <c r="U568" s="2" t="s">
        <v>233</v>
      </c>
      <c r="V568" s="2" t="s">
        <v>236</v>
      </c>
      <c r="W568" s="2" t="s">
        <v>237</v>
      </c>
      <c r="X568" s="2" t="s">
        <v>233</v>
      </c>
      <c r="Y568" s="2" t="s">
        <v>238</v>
      </c>
      <c r="Z568" s="4">
        <v>599</v>
      </c>
      <c r="AA568" s="4">
        <f>=ROUNDDOWN(59.9,0)</f>
      </c>
      <c r="AB568" s="5">
        <v>10</v>
      </c>
      <c r="AC568" s="2" t="s">
        <v>233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233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233</v>
      </c>
      <c r="AW568" s="8" t="s">
        <v>233</v>
      </c>
      <c r="AX568" s="4" t="s">
        <v>233</v>
      </c>
      <c r="AY568" s="8" t="s">
        <v>233</v>
      </c>
      <c r="AZ568" s="7" t="s">
        <v>233</v>
      </c>
      <c r="BA568" s="7" t="s">
        <v>233</v>
      </c>
      <c r="BB568" s="7"/>
      <c r="BC568" s="4" t="s">
        <v>233</v>
      </c>
      <c r="BD568" s="8" t="s">
        <v>233</v>
      </c>
      <c r="BE568" s="4" t="s">
        <v>233</v>
      </c>
      <c r="BF568" s="8" t="s">
        <v>233</v>
      </c>
      <c r="BG568" s="7" t="s">
        <v>233</v>
      </c>
      <c r="BH568" s="7" t="s">
        <v>233</v>
      </c>
      <c r="BI568" s="7"/>
      <c r="BJ568" s="4">
        <v>26</v>
      </c>
      <c r="BK568" s="8">
        <v>2151.49</v>
      </c>
      <c r="BL568" s="2" t="s">
        <v>3290</v>
      </c>
      <c r="BM568" s="7"/>
      <c r="BN568" s="7"/>
      <c r="BO568" s="4"/>
      <c r="BP568" s="8"/>
      <c r="BQ568" s="4"/>
      <c r="BR568" s="8"/>
      <c r="BS568" s="7"/>
      <c r="BT568" s="7"/>
      <c r="BU568" s="2" t="s">
        <v>3273</v>
      </c>
      <c r="BV568" s="2" t="s">
        <v>233</v>
      </c>
      <c r="BW568" s="2" t="s">
        <v>233</v>
      </c>
      <c r="BX568" s="2" t="s">
        <v>241</v>
      </c>
      <c r="BY568" s="2" t="s">
        <v>242</v>
      </c>
      <c r="BZ568" s="2" t="s">
        <v>230</v>
      </c>
      <c r="CA568" s="2" t="s">
        <v>992</v>
      </c>
      <c r="CB568" s="2" t="s">
        <v>3291</v>
      </c>
      <c r="CC568" s="2" t="s">
        <v>245</v>
      </c>
      <c r="CD568" s="2" t="s">
        <v>233</v>
      </c>
      <c r="CE568" s="4">
        <v>522</v>
      </c>
      <c r="CF568" s="4">
        <v>77</v>
      </c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>
        <v>602</v>
      </c>
      <c r="GD568" s="4">
        <v>587</v>
      </c>
      <c r="GE568" s="4">
        <v>572</v>
      </c>
      <c r="GF568" s="4">
        <v>558</v>
      </c>
      <c r="GG568" s="4">
        <v>529</v>
      </c>
      <c r="GH568" s="4">
        <v>512</v>
      </c>
      <c r="GI568" s="4">
        <v>490</v>
      </c>
      <c r="GJ568" s="4">
        <v>479</v>
      </c>
      <c r="GK568" s="4">
        <v>474</v>
      </c>
      <c r="GL568" s="4">
        <v>466</v>
      </c>
      <c r="GM568" s="4">
        <v>457</v>
      </c>
      <c r="GN568" s="4">
        <v>447</v>
      </c>
      <c r="GO568" s="4">
        <v>442</v>
      </c>
      <c r="GP568" s="4">
        <v>437</v>
      </c>
      <c r="GQ568" s="4">
        <v>433</v>
      </c>
      <c r="GR568" s="4">
        <v>429</v>
      </c>
      <c r="GS568" s="4">
        <v>424</v>
      </c>
      <c r="GT568" s="4">
        <v>420</v>
      </c>
      <c r="GU568" s="4">
        <v>417</v>
      </c>
      <c r="GV568" s="4">
        <v>413</v>
      </c>
      <c r="GW568" s="4">
        <v>410</v>
      </c>
      <c r="GX568" s="4">
        <v>407</v>
      </c>
      <c r="GY568" s="4">
        <v>405</v>
      </c>
      <c r="GZ568" s="4">
        <v>403</v>
      </c>
      <c r="HA568" s="4">
        <v>401</v>
      </c>
      <c r="HB568" s="4">
        <v>400</v>
      </c>
      <c r="HC568" s="19">
        <v>33.4</v>
      </c>
      <c r="HD568" s="19">
        <v>30.9</v>
      </c>
      <c r="HE568" s="19">
        <v>28.6</v>
      </c>
      <c r="HF568" s="19">
        <v>27.9</v>
      </c>
      <c r="HG568" s="19">
        <v>37.8</v>
      </c>
      <c r="HH568" s="19">
        <v>42.7</v>
      </c>
      <c r="HI568" s="19">
        <v>61.3</v>
      </c>
      <c r="HJ568" s="19">
        <v>59.9</v>
      </c>
      <c r="HK568" s="19">
        <v>59.3</v>
      </c>
      <c r="HL568" s="19">
        <v>66.6</v>
      </c>
      <c r="HM568" s="19">
        <v>76.2</v>
      </c>
      <c r="HN568" s="19">
        <v>111.8</v>
      </c>
      <c r="HO568" s="19">
        <v>110.5</v>
      </c>
      <c r="HP568" s="19">
        <v>109.3</v>
      </c>
      <c r="HQ568" s="19">
        <v>108.3</v>
      </c>
      <c r="HR568" s="19">
        <v>107.3</v>
      </c>
      <c r="HS568" s="19">
        <v>106</v>
      </c>
      <c r="HT568" s="19">
        <v>140</v>
      </c>
      <c r="HU568" s="19">
        <v>139</v>
      </c>
      <c r="HV568" s="19">
        <v>206.5</v>
      </c>
      <c r="HW568" s="19">
        <v>205</v>
      </c>
      <c r="HX568" s="19">
        <v>203.5</v>
      </c>
      <c r="HY568" s="19">
        <v>202.5</v>
      </c>
      <c r="HZ568" s="19">
        <v>201.5</v>
      </c>
      <c r="IA568" s="19">
        <v>200.5</v>
      </c>
      <c r="IB568" s="19">
        <v>200</v>
      </c>
    </row>
    <row r="569">
      <c r="A569" s="2" t="s">
        <v>3292</v>
      </c>
      <c r="B569" s="2" t="s">
        <v>773</v>
      </c>
      <c r="C569" s="2" t="s">
        <v>908</v>
      </c>
      <c r="D569" s="2" t="s">
        <v>985</v>
      </c>
      <c r="E569" s="2" t="s">
        <v>2241</v>
      </c>
      <c r="F569" s="2" t="s">
        <v>3270</v>
      </c>
      <c r="G569" s="2" t="s">
        <v>3270</v>
      </c>
      <c r="H569" s="2" t="s">
        <v>233</v>
      </c>
      <c r="I569" s="2" t="s">
        <v>1574</v>
      </c>
      <c r="J569" s="2" t="s">
        <v>252</v>
      </c>
      <c r="K569" s="2" t="s">
        <v>3293</v>
      </c>
      <c r="L569" s="3">
        <v>59.61</v>
      </c>
      <c r="M569" s="3">
        <v>62.59</v>
      </c>
      <c r="N569" s="3">
        <v>119.99</v>
      </c>
      <c r="O569" s="2" t="s">
        <v>230</v>
      </c>
      <c r="P569" s="2" t="s">
        <v>231</v>
      </c>
      <c r="Q569" s="2" t="s">
        <v>232</v>
      </c>
      <c r="R569" s="2" t="s">
        <v>233</v>
      </c>
      <c r="S569" s="2" t="s">
        <v>3294</v>
      </c>
      <c r="T569" s="2" t="s">
        <v>913</v>
      </c>
      <c r="U569" s="2" t="s">
        <v>233</v>
      </c>
      <c r="V569" s="2" t="s">
        <v>236</v>
      </c>
      <c r="W569" s="2" t="s">
        <v>237</v>
      </c>
      <c r="X569" s="2" t="s">
        <v>233</v>
      </c>
      <c r="Y569" s="2" t="s">
        <v>238</v>
      </c>
      <c r="Z569" s="4">
        <v>322</v>
      </c>
      <c r="AA569" s="4">
        <f>=ROUNDDOWN(80.5,0)</f>
      </c>
      <c r="AB569" s="5">
        <v>4</v>
      </c>
      <c r="AC569" s="2" t="s">
        <v>233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233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233</v>
      </c>
      <c r="AW569" s="8" t="s">
        <v>233</v>
      </c>
      <c r="AX569" s="4" t="s">
        <v>233</v>
      </c>
      <c r="AY569" s="8" t="s">
        <v>233</v>
      </c>
      <c r="AZ569" s="7" t="s">
        <v>233</v>
      </c>
      <c r="BA569" s="7" t="s">
        <v>233</v>
      </c>
      <c r="BB569" s="7"/>
      <c r="BC569" s="4" t="s">
        <v>233</v>
      </c>
      <c r="BD569" s="8" t="s">
        <v>233</v>
      </c>
      <c r="BE569" s="4" t="s">
        <v>233</v>
      </c>
      <c r="BF569" s="8" t="s">
        <v>233</v>
      </c>
      <c r="BG569" s="7" t="s">
        <v>233</v>
      </c>
      <c r="BH569" s="7" t="s">
        <v>233</v>
      </c>
      <c r="BI569" s="7"/>
      <c r="BJ569" s="4">
        <v>14</v>
      </c>
      <c r="BK569" s="8">
        <v>878.7</v>
      </c>
      <c r="BL569" s="2" t="s">
        <v>3295</v>
      </c>
      <c r="BM569" s="7"/>
      <c r="BN569" s="7"/>
      <c r="BO569" s="4"/>
      <c r="BP569" s="8"/>
      <c r="BQ569" s="4"/>
      <c r="BR569" s="8"/>
      <c r="BS569" s="7"/>
      <c r="BT569" s="7"/>
      <c r="BU569" s="2" t="s">
        <v>3273</v>
      </c>
      <c r="BV569" s="2" t="s">
        <v>233</v>
      </c>
      <c r="BW569" s="2" t="s">
        <v>233</v>
      </c>
      <c r="BX569" s="2" t="s">
        <v>241</v>
      </c>
      <c r="BY569" s="2" t="s">
        <v>242</v>
      </c>
      <c r="BZ569" s="2" t="s">
        <v>230</v>
      </c>
      <c r="CA569" s="2" t="s">
        <v>992</v>
      </c>
      <c r="CB569" s="2" t="s">
        <v>3296</v>
      </c>
      <c r="CC569" s="2" t="s">
        <v>245</v>
      </c>
      <c r="CD569" s="2" t="s">
        <v>233</v>
      </c>
      <c r="CE569" s="4">
        <v>322</v>
      </c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>
        <v>324</v>
      </c>
      <c r="GD569" s="4">
        <v>316</v>
      </c>
      <c r="GE569" s="4">
        <v>310</v>
      </c>
      <c r="GF569" s="4">
        <v>304</v>
      </c>
      <c r="GG569" s="4">
        <v>293</v>
      </c>
      <c r="GH569" s="4">
        <v>286</v>
      </c>
      <c r="GI569" s="4">
        <v>278</v>
      </c>
      <c r="GJ569" s="4">
        <v>273</v>
      </c>
      <c r="GK569" s="4">
        <v>271</v>
      </c>
      <c r="GL569" s="4">
        <v>267</v>
      </c>
      <c r="GM569" s="4">
        <v>263</v>
      </c>
      <c r="GN569" s="4">
        <v>258</v>
      </c>
      <c r="GO569" s="4">
        <v>255</v>
      </c>
      <c r="GP569" s="4">
        <v>253</v>
      </c>
      <c r="GQ569" s="4">
        <v>250</v>
      </c>
      <c r="GR569" s="4">
        <v>248</v>
      </c>
      <c r="GS569" s="4">
        <v>246</v>
      </c>
      <c r="GT569" s="4">
        <v>242</v>
      </c>
      <c r="GU569" s="4">
        <v>241</v>
      </c>
      <c r="GV569" s="4">
        <v>239</v>
      </c>
      <c r="GW569" s="4">
        <v>237</v>
      </c>
      <c r="GX569" s="4">
        <v>236</v>
      </c>
      <c r="GY569" s="4">
        <v>235</v>
      </c>
      <c r="GZ569" s="4">
        <v>234</v>
      </c>
      <c r="HA569" s="4">
        <v>233</v>
      </c>
      <c r="HB569" s="4">
        <v>232</v>
      </c>
      <c r="HC569" s="19">
        <v>40.5</v>
      </c>
      <c r="HD569" s="19">
        <v>39.5</v>
      </c>
      <c r="HE569" s="19">
        <v>38.8</v>
      </c>
      <c r="HF569" s="19">
        <v>38</v>
      </c>
      <c r="HG569" s="19">
        <v>48.8</v>
      </c>
      <c r="HH569" s="19">
        <v>57.2</v>
      </c>
      <c r="HI569" s="19">
        <v>69.5</v>
      </c>
      <c r="HJ569" s="19">
        <v>68.3</v>
      </c>
      <c r="HK569" s="19">
        <v>67.8</v>
      </c>
      <c r="HL569" s="19">
        <v>66.8</v>
      </c>
      <c r="HM569" s="19">
        <v>87.7</v>
      </c>
      <c r="HN569" s="19">
        <v>129</v>
      </c>
      <c r="HO569" s="19">
        <v>127.5</v>
      </c>
      <c r="HP569" s="19">
        <v>84.3</v>
      </c>
      <c r="HQ569" s="19">
        <v>125</v>
      </c>
      <c r="HR569" s="19">
        <v>124</v>
      </c>
      <c r="HS569" s="19">
        <v>123</v>
      </c>
      <c r="HT569" s="19">
        <v>121</v>
      </c>
      <c r="HU569" s="19">
        <v>120.5</v>
      </c>
      <c r="HV569" s="19">
        <v>239</v>
      </c>
      <c r="HW569" s="19">
        <v>237</v>
      </c>
      <c r="HX569" s="19">
        <v>236</v>
      </c>
      <c r="HY569" s="19">
        <v>235</v>
      </c>
      <c r="HZ569" s="19">
        <v>234</v>
      </c>
      <c r="IA569" s="19">
        <v>233</v>
      </c>
      <c r="IB569" s="19">
        <v>232</v>
      </c>
    </row>
    <row r="570">
      <c r="A570" s="2" t="s">
        <v>3297</v>
      </c>
      <c r="B570" s="2" t="s">
        <v>773</v>
      </c>
      <c r="C570" s="2" t="s">
        <v>908</v>
      </c>
      <c r="D570" s="2" t="s">
        <v>985</v>
      </c>
      <c r="E570" s="2" t="s">
        <v>2241</v>
      </c>
      <c r="F570" s="2" t="s">
        <v>3270</v>
      </c>
      <c r="G570" s="2" t="s">
        <v>3270</v>
      </c>
      <c r="H570" s="2" t="s">
        <v>233</v>
      </c>
      <c r="I570" s="2" t="s">
        <v>1574</v>
      </c>
      <c r="J570" s="2" t="s">
        <v>336</v>
      </c>
      <c r="K570" s="2" t="s">
        <v>3293</v>
      </c>
      <c r="L570" s="3">
        <v>79.48</v>
      </c>
      <c r="M570" s="3">
        <v>83.45</v>
      </c>
      <c r="N570" s="3">
        <v>159.99</v>
      </c>
      <c r="O570" s="2" t="s">
        <v>230</v>
      </c>
      <c r="P570" s="2" t="s">
        <v>231</v>
      </c>
      <c r="Q570" s="2" t="s">
        <v>232</v>
      </c>
      <c r="R570" s="2" t="s">
        <v>233</v>
      </c>
      <c r="S570" s="2" t="s">
        <v>3294</v>
      </c>
      <c r="T570" s="2" t="s">
        <v>913</v>
      </c>
      <c r="U570" s="2" t="s">
        <v>233</v>
      </c>
      <c r="V570" s="2" t="s">
        <v>236</v>
      </c>
      <c r="W570" s="2" t="s">
        <v>237</v>
      </c>
      <c r="X570" s="2" t="s">
        <v>233</v>
      </c>
      <c r="Y570" s="2" t="s">
        <v>238</v>
      </c>
      <c r="Z570" s="4">
        <v>347</v>
      </c>
      <c r="AA570" s="4">
        <f>=ROUNDDOWN(57.8333333333333,0)</f>
      </c>
      <c r="AB570" s="5">
        <v>6</v>
      </c>
      <c r="AC570" s="2" t="s">
        <v>233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233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233</v>
      </c>
      <c r="AW570" s="8" t="s">
        <v>233</v>
      </c>
      <c r="AX570" s="4" t="s">
        <v>233</v>
      </c>
      <c r="AY570" s="8" t="s">
        <v>233</v>
      </c>
      <c r="AZ570" s="7" t="s">
        <v>233</v>
      </c>
      <c r="BA570" s="7" t="s">
        <v>233</v>
      </c>
      <c r="BB570" s="7"/>
      <c r="BC570" s="4" t="s">
        <v>233</v>
      </c>
      <c r="BD570" s="8" t="s">
        <v>233</v>
      </c>
      <c r="BE570" s="4" t="s">
        <v>233</v>
      </c>
      <c r="BF570" s="8" t="s">
        <v>233</v>
      </c>
      <c r="BG570" s="7" t="s">
        <v>233</v>
      </c>
      <c r="BH570" s="7" t="s">
        <v>233</v>
      </c>
      <c r="BI570" s="7"/>
      <c r="BJ570" s="4">
        <v>7</v>
      </c>
      <c r="BK570" s="8">
        <v>599.41</v>
      </c>
      <c r="BL570" s="2" t="s">
        <v>3276</v>
      </c>
      <c r="BM570" s="7"/>
      <c r="BN570" s="7"/>
      <c r="BO570" s="4"/>
      <c r="BP570" s="8"/>
      <c r="BQ570" s="4"/>
      <c r="BR570" s="8"/>
      <c r="BS570" s="7"/>
      <c r="BT570" s="7"/>
      <c r="BU570" s="2" t="s">
        <v>3273</v>
      </c>
      <c r="BV570" s="2" t="s">
        <v>233</v>
      </c>
      <c r="BW570" s="2" t="s">
        <v>233</v>
      </c>
      <c r="BX570" s="2" t="s">
        <v>241</v>
      </c>
      <c r="BY570" s="2" t="s">
        <v>242</v>
      </c>
      <c r="BZ570" s="2" t="s">
        <v>230</v>
      </c>
      <c r="CA570" s="2" t="s">
        <v>992</v>
      </c>
      <c r="CB570" s="2" t="s">
        <v>3298</v>
      </c>
      <c r="CC570" s="2" t="s">
        <v>245</v>
      </c>
      <c r="CD570" s="2" t="s">
        <v>233</v>
      </c>
      <c r="CE570" s="4">
        <v>347</v>
      </c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>
        <v>351</v>
      </c>
      <c r="GD570" s="4">
        <v>341</v>
      </c>
      <c r="GE570" s="4">
        <v>332</v>
      </c>
      <c r="GF570" s="4">
        <v>324</v>
      </c>
      <c r="GG570" s="4">
        <v>307</v>
      </c>
      <c r="GH570" s="4">
        <v>297</v>
      </c>
      <c r="GI570" s="4">
        <v>284</v>
      </c>
      <c r="GJ570" s="4">
        <v>277</v>
      </c>
      <c r="GK570" s="4">
        <v>274</v>
      </c>
      <c r="GL570" s="4">
        <v>269</v>
      </c>
      <c r="GM570" s="4">
        <v>263</v>
      </c>
      <c r="GN570" s="4">
        <v>257</v>
      </c>
      <c r="GO570" s="4">
        <v>254</v>
      </c>
      <c r="GP570" s="4">
        <v>251</v>
      </c>
      <c r="GQ570" s="4">
        <v>249</v>
      </c>
      <c r="GR570" s="4">
        <v>247</v>
      </c>
      <c r="GS570" s="4">
        <v>244</v>
      </c>
      <c r="GT570" s="4">
        <v>242</v>
      </c>
      <c r="GU570" s="4">
        <v>240</v>
      </c>
      <c r="GV570" s="4">
        <v>238</v>
      </c>
      <c r="GW570" s="4">
        <v>236</v>
      </c>
      <c r="GX570" s="4">
        <v>234</v>
      </c>
      <c r="GY570" s="4">
        <v>233</v>
      </c>
      <c r="GZ570" s="4">
        <v>232</v>
      </c>
      <c r="HA570" s="4">
        <v>231</v>
      </c>
      <c r="HB570" s="4">
        <v>230</v>
      </c>
      <c r="HC570" s="19">
        <v>31.9</v>
      </c>
      <c r="HD570" s="19">
        <v>31</v>
      </c>
      <c r="HE570" s="19">
        <v>27.7</v>
      </c>
      <c r="HF570" s="19">
        <v>27</v>
      </c>
      <c r="HG570" s="19">
        <v>38.4</v>
      </c>
      <c r="HH570" s="19">
        <v>42.4</v>
      </c>
      <c r="HI570" s="19">
        <v>56.8</v>
      </c>
      <c r="HJ570" s="19">
        <v>55.4</v>
      </c>
      <c r="HK570" s="19">
        <v>54.8</v>
      </c>
      <c r="HL570" s="19">
        <v>67.3</v>
      </c>
      <c r="HM570" s="19">
        <v>65.8</v>
      </c>
      <c r="HN570" s="19">
        <v>128.5</v>
      </c>
      <c r="HO570" s="19">
        <v>127</v>
      </c>
      <c r="HP570" s="19">
        <v>125.5</v>
      </c>
      <c r="HQ570" s="19">
        <v>124.5</v>
      </c>
      <c r="HR570" s="19">
        <v>123.5</v>
      </c>
      <c r="HS570" s="19">
        <v>122</v>
      </c>
      <c r="HT570" s="19">
        <v>121</v>
      </c>
      <c r="HU570" s="19">
        <v>120</v>
      </c>
      <c r="HV570" s="19">
        <v>119</v>
      </c>
      <c r="HW570" s="19">
        <v>236</v>
      </c>
      <c r="HX570" s="19">
        <v>234</v>
      </c>
      <c r="HY570" s="19">
        <v>233</v>
      </c>
      <c r="HZ570" s="19">
        <v>232</v>
      </c>
      <c r="IA570" s="19">
        <v>231</v>
      </c>
      <c r="IB570" s="19">
        <v>230</v>
      </c>
    </row>
    <row r="571">
      <c r="A571" s="2" t="s">
        <v>3299</v>
      </c>
      <c r="B571" s="2" t="s">
        <v>773</v>
      </c>
      <c r="C571" s="2" t="s">
        <v>908</v>
      </c>
      <c r="D571" s="2" t="s">
        <v>985</v>
      </c>
      <c r="E571" s="2" t="s">
        <v>2241</v>
      </c>
      <c r="F571" s="2" t="s">
        <v>3270</v>
      </c>
      <c r="G571" s="2" t="s">
        <v>3270</v>
      </c>
      <c r="H571" s="2" t="s">
        <v>233</v>
      </c>
      <c r="I571" s="2" t="s">
        <v>1574</v>
      </c>
      <c r="J571" s="2" t="s">
        <v>228</v>
      </c>
      <c r="K571" s="2" t="s">
        <v>452</v>
      </c>
      <c r="L571" s="3">
        <v>54.64</v>
      </c>
      <c r="M571" s="3">
        <v>57.37</v>
      </c>
      <c r="N571" s="3">
        <v>109.99</v>
      </c>
      <c r="O571" s="2" t="s">
        <v>230</v>
      </c>
      <c r="P571" s="2" t="s">
        <v>231</v>
      </c>
      <c r="Q571" s="2" t="s">
        <v>232</v>
      </c>
      <c r="R571" s="2" t="s">
        <v>233</v>
      </c>
      <c r="S571" s="2" t="s">
        <v>3300</v>
      </c>
      <c r="T571" s="2" t="s">
        <v>913</v>
      </c>
      <c r="U571" s="2" t="s">
        <v>233</v>
      </c>
      <c r="V571" s="2" t="s">
        <v>236</v>
      </c>
      <c r="W571" s="2" t="s">
        <v>237</v>
      </c>
      <c r="X571" s="2" t="s">
        <v>233</v>
      </c>
      <c r="Y571" s="2" t="s">
        <v>238</v>
      </c>
      <c r="Z571" s="4">
        <v>139</v>
      </c>
      <c r="AA571" s="4">
        <f>=ROUNDDOWN(34.75,0)</f>
      </c>
      <c r="AB571" s="5">
        <v>4</v>
      </c>
      <c r="AC571" s="2" t="s">
        <v>233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233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233</v>
      </c>
      <c r="AW571" s="8" t="s">
        <v>233</v>
      </c>
      <c r="AX571" s="4" t="s">
        <v>233</v>
      </c>
      <c r="AY571" s="8" t="s">
        <v>233</v>
      </c>
      <c r="AZ571" s="7" t="s">
        <v>233</v>
      </c>
      <c r="BA571" s="7" t="s">
        <v>233</v>
      </c>
      <c r="BB571" s="7"/>
      <c r="BC571" s="4" t="s">
        <v>233</v>
      </c>
      <c r="BD571" s="8" t="s">
        <v>233</v>
      </c>
      <c r="BE571" s="4" t="s">
        <v>233</v>
      </c>
      <c r="BF571" s="8" t="s">
        <v>233</v>
      </c>
      <c r="BG571" s="7" t="s">
        <v>233</v>
      </c>
      <c r="BH571" s="7" t="s">
        <v>233</v>
      </c>
      <c r="BI571" s="7"/>
      <c r="BJ571" s="4">
        <v>4</v>
      </c>
      <c r="BK571" s="8">
        <v>219</v>
      </c>
      <c r="BL571" s="2" t="s">
        <v>1660</v>
      </c>
      <c r="BM571" s="7"/>
      <c r="BN571" s="7"/>
      <c r="BO571" s="4"/>
      <c r="BP571" s="8"/>
      <c r="BQ571" s="4"/>
      <c r="BR571" s="8"/>
      <c r="BS571" s="7"/>
      <c r="BT571" s="7"/>
      <c r="BU571" s="2" t="s">
        <v>3273</v>
      </c>
      <c r="BV571" s="2" t="s">
        <v>233</v>
      </c>
      <c r="BW571" s="2" t="s">
        <v>233</v>
      </c>
      <c r="BX571" s="2" t="s">
        <v>241</v>
      </c>
      <c r="BY571" s="2" t="s">
        <v>242</v>
      </c>
      <c r="BZ571" s="2" t="s">
        <v>230</v>
      </c>
      <c r="CA571" s="2" t="s">
        <v>992</v>
      </c>
      <c r="CB571" s="2" t="s">
        <v>402</v>
      </c>
      <c r="CC571" s="2" t="s">
        <v>245</v>
      </c>
      <c r="CD571" s="2" t="s">
        <v>233</v>
      </c>
      <c r="CE571" s="4">
        <v>139</v>
      </c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>
        <v>140</v>
      </c>
      <c r="GD571" s="4">
        <v>135</v>
      </c>
      <c r="GE571" s="4">
        <v>129</v>
      </c>
      <c r="GF571" s="4">
        <v>123</v>
      </c>
      <c r="GG571" s="4">
        <v>112</v>
      </c>
      <c r="GH571" s="4">
        <v>105</v>
      </c>
      <c r="GI571" s="4">
        <v>97</v>
      </c>
      <c r="GJ571" s="4">
        <v>92</v>
      </c>
      <c r="GK571" s="4">
        <v>91</v>
      </c>
      <c r="GL571" s="4">
        <v>89</v>
      </c>
      <c r="GM571" s="4">
        <v>86</v>
      </c>
      <c r="GN571" s="4">
        <v>82</v>
      </c>
      <c r="GO571" s="4">
        <v>80</v>
      </c>
      <c r="GP571" s="4">
        <v>78</v>
      </c>
      <c r="GQ571" s="4">
        <v>76</v>
      </c>
      <c r="GR571" s="4">
        <v>74</v>
      </c>
      <c r="GS571" s="4">
        <v>72</v>
      </c>
      <c r="GT571" s="4">
        <v>70</v>
      </c>
      <c r="GU571" s="4">
        <v>69</v>
      </c>
      <c r="GV571" s="4">
        <v>67</v>
      </c>
      <c r="GW571" s="4">
        <v>65</v>
      </c>
      <c r="GX571" s="4">
        <v>63</v>
      </c>
      <c r="GY571" s="4">
        <v>62</v>
      </c>
      <c r="GZ571" s="4">
        <v>61</v>
      </c>
      <c r="HA571" s="4">
        <v>60</v>
      </c>
      <c r="HB571" s="4">
        <v>59</v>
      </c>
      <c r="HC571" s="19">
        <v>20</v>
      </c>
      <c r="HD571" s="19">
        <v>16.9</v>
      </c>
      <c r="HE571" s="19">
        <v>16.1</v>
      </c>
      <c r="HF571" s="19">
        <v>15.4</v>
      </c>
      <c r="HG571" s="19">
        <v>22.4</v>
      </c>
      <c r="HH571" s="19">
        <v>26.3</v>
      </c>
      <c r="HI571" s="19">
        <v>32.3</v>
      </c>
      <c r="HJ571" s="19">
        <v>46</v>
      </c>
      <c r="HK571" s="19">
        <v>30.3</v>
      </c>
      <c r="HL571" s="19">
        <v>29.7</v>
      </c>
      <c r="HM571" s="19">
        <v>43</v>
      </c>
      <c r="HN571" s="19">
        <v>41</v>
      </c>
      <c r="HO571" s="19">
        <v>40</v>
      </c>
      <c r="HP571" s="19">
        <v>39</v>
      </c>
      <c r="HQ571" s="19">
        <v>38</v>
      </c>
      <c r="HR571" s="19">
        <v>37</v>
      </c>
      <c r="HS571" s="19">
        <v>36</v>
      </c>
      <c r="HT571" s="19">
        <v>35</v>
      </c>
      <c r="HU571" s="19">
        <v>34.5</v>
      </c>
      <c r="HV571" s="19">
        <v>33.5</v>
      </c>
      <c r="HW571" s="19">
        <v>65</v>
      </c>
      <c r="HX571" s="19">
        <v>63</v>
      </c>
      <c r="HY571" s="19">
        <v>62</v>
      </c>
      <c r="HZ571" s="19">
        <v>61</v>
      </c>
      <c r="IA571" s="19">
        <v>60</v>
      </c>
      <c r="IB571" s="19">
        <v>59</v>
      </c>
    </row>
    <row r="572">
      <c r="A572" s="2" t="s">
        <v>3301</v>
      </c>
      <c r="B572" s="2" t="s">
        <v>773</v>
      </c>
      <c r="C572" s="2" t="s">
        <v>908</v>
      </c>
      <c r="D572" s="2" t="s">
        <v>985</v>
      </c>
      <c r="E572" s="2" t="s">
        <v>2241</v>
      </c>
      <c r="F572" s="2" t="s">
        <v>3270</v>
      </c>
      <c r="G572" s="2" t="s">
        <v>3270</v>
      </c>
      <c r="H572" s="2" t="s">
        <v>233</v>
      </c>
      <c r="I572" s="2" t="s">
        <v>1574</v>
      </c>
      <c r="J572" s="2" t="s">
        <v>252</v>
      </c>
      <c r="K572" s="2" t="s">
        <v>452</v>
      </c>
      <c r="L572" s="3">
        <v>59.61</v>
      </c>
      <c r="M572" s="3">
        <v>62.59</v>
      </c>
      <c r="N572" s="3">
        <v>119.99</v>
      </c>
      <c r="O572" s="2" t="s">
        <v>230</v>
      </c>
      <c r="P572" s="2" t="s">
        <v>231</v>
      </c>
      <c r="Q572" s="2" t="s">
        <v>232</v>
      </c>
      <c r="R572" s="2" t="s">
        <v>233</v>
      </c>
      <c r="S572" s="2" t="s">
        <v>3300</v>
      </c>
      <c r="T572" s="2" t="s">
        <v>913</v>
      </c>
      <c r="U572" s="2" t="s">
        <v>233</v>
      </c>
      <c r="V572" s="2" t="s">
        <v>236</v>
      </c>
      <c r="W572" s="2" t="s">
        <v>237</v>
      </c>
      <c r="X572" s="2" t="s">
        <v>233</v>
      </c>
      <c r="Y572" s="2" t="s">
        <v>238</v>
      </c>
      <c r="Z572" s="4">
        <v>328</v>
      </c>
      <c r="AA572" s="4">
        <f>=ROUNDDOWN(82,0)</f>
      </c>
      <c r="AB572" s="5">
        <v>4</v>
      </c>
      <c r="AC572" s="2" t="s">
        <v>233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233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233</v>
      </c>
      <c r="AW572" s="8" t="s">
        <v>233</v>
      </c>
      <c r="AX572" s="4" t="s">
        <v>233</v>
      </c>
      <c r="AY572" s="8" t="s">
        <v>233</v>
      </c>
      <c r="AZ572" s="7" t="s">
        <v>233</v>
      </c>
      <c r="BA572" s="7" t="s">
        <v>233</v>
      </c>
      <c r="BB572" s="7"/>
      <c r="BC572" s="4" t="s">
        <v>233</v>
      </c>
      <c r="BD572" s="8" t="s">
        <v>233</v>
      </c>
      <c r="BE572" s="4" t="s">
        <v>233</v>
      </c>
      <c r="BF572" s="8" t="s">
        <v>233</v>
      </c>
      <c r="BG572" s="7" t="s">
        <v>233</v>
      </c>
      <c r="BH572" s="7" t="s">
        <v>233</v>
      </c>
      <c r="BI572" s="7"/>
      <c r="BJ572" s="4">
        <v>8</v>
      </c>
      <c r="BK572" s="8">
        <v>495.64</v>
      </c>
      <c r="BL572" s="2" t="s">
        <v>3302</v>
      </c>
      <c r="BM572" s="7"/>
      <c r="BN572" s="7"/>
      <c r="BO572" s="4"/>
      <c r="BP572" s="8"/>
      <c r="BQ572" s="4"/>
      <c r="BR572" s="8"/>
      <c r="BS572" s="7"/>
      <c r="BT572" s="7"/>
      <c r="BU572" s="2" t="s">
        <v>3273</v>
      </c>
      <c r="BV572" s="2" t="s">
        <v>233</v>
      </c>
      <c r="BW572" s="2" t="s">
        <v>233</v>
      </c>
      <c r="BX572" s="2" t="s">
        <v>241</v>
      </c>
      <c r="BY572" s="2" t="s">
        <v>242</v>
      </c>
      <c r="BZ572" s="2" t="s">
        <v>230</v>
      </c>
      <c r="CA572" s="2" t="s">
        <v>992</v>
      </c>
      <c r="CB572" s="2" t="s">
        <v>3303</v>
      </c>
      <c r="CC572" s="2" t="s">
        <v>245</v>
      </c>
      <c r="CD572" s="2" t="s">
        <v>233</v>
      </c>
      <c r="CE572" s="4">
        <v>328</v>
      </c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>
        <v>328</v>
      </c>
      <c r="GD572" s="4">
        <v>315</v>
      </c>
      <c r="GE572" s="4">
        <v>309</v>
      </c>
      <c r="GF572" s="4">
        <v>303</v>
      </c>
      <c r="GG572" s="4">
        <v>292</v>
      </c>
      <c r="GH572" s="4">
        <v>285</v>
      </c>
      <c r="GI572" s="4">
        <v>277</v>
      </c>
      <c r="GJ572" s="4">
        <v>272</v>
      </c>
      <c r="GK572" s="4">
        <v>270</v>
      </c>
      <c r="GL572" s="4">
        <v>266</v>
      </c>
      <c r="GM572" s="4">
        <v>262</v>
      </c>
      <c r="GN572" s="4">
        <v>257</v>
      </c>
      <c r="GO572" s="4">
        <v>254</v>
      </c>
      <c r="GP572" s="4">
        <v>252</v>
      </c>
      <c r="GQ572" s="4">
        <v>249</v>
      </c>
      <c r="GR572" s="4">
        <v>247</v>
      </c>
      <c r="GS572" s="4">
        <v>245</v>
      </c>
      <c r="GT572" s="4">
        <v>241</v>
      </c>
      <c r="GU572" s="4">
        <v>240</v>
      </c>
      <c r="GV572" s="4">
        <v>238</v>
      </c>
      <c r="GW572" s="4">
        <v>236</v>
      </c>
      <c r="GX572" s="4">
        <v>235</v>
      </c>
      <c r="GY572" s="4">
        <v>234</v>
      </c>
      <c r="GZ572" s="4">
        <v>233</v>
      </c>
      <c r="HA572" s="4">
        <v>232</v>
      </c>
      <c r="HB572" s="4">
        <v>231</v>
      </c>
      <c r="HC572" s="19">
        <v>36.4</v>
      </c>
      <c r="HD572" s="19">
        <v>39.4</v>
      </c>
      <c r="HE572" s="19">
        <v>38.6</v>
      </c>
      <c r="HF572" s="19">
        <v>37.9</v>
      </c>
      <c r="HG572" s="19">
        <v>48.7</v>
      </c>
      <c r="HH572" s="19">
        <v>57</v>
      </c>
      <c r="HI572" s="19">
        <v>69.3</v>
      </c>
      <c r="HJ572" s="19">
        <v>68</v>
      </c>
      <c r="HK572" s="19">
        <v>67.5</v>
      </c>
      <c r="HL572" s="19">
        <v>66.5</v>
      </c>
      <c r="HM572" s="19">
        <v>87.3</v>
      </c>
      <c r="HN572" s="19">
        <v>128.5</v>
      </c>
      <c r="HO572" s="19">
        <v>127</v>
      </c>
      <c r="HP572" s="19">
        <v>84</v>
      </c>
      <c r="HQ572" s="19">
        <v>124.5</v>
      </c>
      <c r="HR572" s="19">
        <v>123.5</v>
      </c>
      <c r="HS572" s="19">
        <v>122.5</v>
      </c>
      <c r="HT572" s="19">
        <v>120.5</v>
      </c>
      <c r="HU572" s="19">
        <v>120</v>
      </c>
      <c r="HV572" s="19">
        <v>238</v>
      </c>
      <c r="HW572" s="19">
        <v>236</v>
      </c>
      <c r="HX572" s="19">
        <v>235</v>
      </c>
      <c r="HY572" s="19">
        <v>234</v>
      </c>
      <c r="HZ572" s="19">
        <v>233</v>
      </c>
      <c r="IA572" s="19">
        <v>232</v>
      </c>
      <c r="IB572" s="19">
        <v>231</v>
      </c>
    </row>
    <row r="573">
      <c r="A573" s="2" t="s">
        <v>3304</v>
      </c>
      <c r="B573" s="2" t="s">
        <v>773</v>
      </c>
      <c r="C573" s="2" t="s">
        <v>908</v>
      </c>
      <c r="D573" s="2" t="s">
        <v>985</v>
      </c>
      <c r="E573" s="2" t="s">
        <v>986</v>
      </c>
      <c r="F573" s="2" t="s">
        <v>3270</v>
      </c>
      <c r="G573" s="2" t="s">
        <v>3270</v>
      </c>
      <c r="H573" s="2" t="s">
        <v>233</v>
      </c>
      <c r="I573" s="2" t="s">
        <v>1443</v>
      </c>
      <c r="J573" s="2" t="s">
        <v>989</v>
      </c>
      <c r="K573" s="2" t="s">
        <v>1121</v>
      </c>
      <c r="L573" s="3">
        <v>37.72</v>
      </c>
      <c r="M573" s="3">
        <v>39.61</v>
      </c>
      <c r="N573" s="3">
        <v>81.99</v>
      </c>
      <c r="O573" s="2" t="s">
        <v>230</v>
      </c>
      <c r="P573" s="2" t="s">
        <v>231</v>
      </c>
      <c r="Q573" s="2" t="s">
        <v>232</v>
      </c>
      <c r="R573" s="2" t="s">
        <v>233</v>
      </c>
      <c r="S573" s="2" t="s">
        <v>3305</v>
      </c>
      <c r="T573" s="2" t="s">
        <v>913</v>
      </c>
      <c r="U573" s="2" t="s">
        <v>233</v>
      </c>
      <c r="V573" s="2" t="s">
        <v>236</v>
      </c>
      <c r="W573" s="2" t="s">
        <v>237</v>
      </c>
      <c r="X573" s="2" t="s">
        <v>233</v>
      </c>
      <c r="Y573" s="2" t="s">
        <v>238</v>
      </c>
      <c r="Z573" s="4">
        <v>560</v>
      </c>
      <c r="AA573" s="4">
        <f>=ROUNDDOWN(28,0)</f>
      </c>
      <c r="AB573" s="5">
        <v>20</v>
      </c>
      <c r="AC573" s="2" t="s">
        <v>140</v>
      </c>
      <c r="AD573" s="4">
        <v>150</v>
      </c>
      <c r="AE573" s="4">
        <v>360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233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 t="s">
        <v>233</v>
      </c>
      <c r="BD573" s="8" t="s">
        <v>233</v>
      </c>
      <c r="BE573" s="4" t="s">
        <v>233</v>
      </c>
      <c r="BF573" s="8" t="s">
        <v>233</v>
      </c>
      <c r="BG573" s="7" t="s">
        <v>233</v>
      </c>
      <c r="BH573" s="7" t="s">
        <v>233</v>
      </c>
      <c r="BI573" s="7"/>
      <c r="BJ573" s="4">
        <v>43</v>
      </c>
      <c r="BK573" s="8">
        <v>1747.14</v>
      </c>
      <c r="BL573" s="2" t="s">
        <v>3306</v>
      </c>
      <c r="BM573" s="7"/>
      <c r="BN573" s="7"/>
      <c r="BO573" s="4"/>
      <c r="BP573" s="8"/>
      <c r="BQ573" s="4"/>
      <c r="BR573" s="8"/>
      <c r="BS573" s="7"/>
      <c r="BT573" s="7"/>
      <c r="BU573" s="2" t="s">
        <v>3307</v>
      </c>
      <c r="BV573" s="2" t="s">
        <v>233</v>
      </c>
      <c r="BW573" s="2" t="s">
        <v>233</v>
      </c>
      <c r="BX573" s="2" t="s">
        <v>241</v>
      </c>
      <c r="BY573" s="2" t="s">
        <v>242</v>
      </c>
      <c r="BZ573" s="2" t="s">
        <v>230</v>
      </c>
      <c r="CA573" s="2" t="s">
        <v>992</v>
      </c>
      <c r="CB573" s="2" t="s">
        <v>3308</v>
      </c>
      <c r="CC573" s="2" t="s">
        <v>245</v>
      </c>
      <c r="CD573" s="2" t="s">
        <v>233</v>
      </c>
      <c r="CE573" s="4">
        <v>345</v>
      </c>
      <c r="CF573" s="4">
        <v>215</v>
      </c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>
        <v>150</v>
      </c>
      <c r="DC573" s="4"/>
      <c r="DD573" s="4"/>
      <c r="DE573" s="4"/>
      <c r="DF573" s="4"/>
      <c r="DG573" s="4">
        <v>110</v>
      </c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>
        <v>100</v>
      </c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>
        <v>569</v>
      </c>
      <c r="GD573" s="4">
        <v>531</v>
      </c>
      <c r="GE573" s="4">
        <v>650</v>
      </c>
      <c r="GF573" s="4">
        <v>723</v>
      </c>
      <c r="GG573" s="4">
        <v>640</v>
      </c>
      <c r="GH573" s="4">
        <v>661</v>
      </c>
      <c r="GI573" s="4">
        <v>563</v>
      </c>
      <c r="GJ573" s="4">
        <v>518</v>
      </c>
      <c r="GK573" s="4">
        <v>506</v>
      </c>
      <c r="GL573" s="4">
        <v>484</v>
      </c>
      <c r="GM573" s="4">
        <v>472</v>
      </c>
      <c r="GN573" s="4">
        <v>446</v>
      </c>
      <c r="GO573" s="4">
        <v>429</v>
      </c>
      <c r="GP573" s="4">
        <v>412</v>
      </c>
      <c r="GQ573" s="4">
        <v>401</v>
      </c>
      <c r="GR573" s="4">
        <v>384</v>
      </c>
      <c r="GS573" s="4">
        <v>369</v>
      </c>
      <c r="GT573" s="4">
        <v>356</v>
      </c>
      <c r="GU573" s="4">
        <v>343</v>
      </c>
      <c r="GV573" s="4">
        <v>332</v>
      </c>
      <c r="GW573" s="4">
        <v>318</v>
      </c>
      <c r="GX573" s="4">
        <v>310</v>
      </c>
      <c r="GY573" s="4">
        <v>302</v>
      </c>
      <c r="GZ573" s="4">
        <v>298</v>
      </c>
      <c r="HA573" s="4">
        <v>294</v>
      </c>
      <c r="HB573" s="4">
        <v>292</v>
      </c>
      <c r="HC573" s="19">
        <v>12.1</v>
      </c>
      <c r="HD573" s="19">
        <v>9.2</v>
      </c>
      <c r="HE573" s="19">
        <v>8.8</v>
      </c>
      <c r="HF573" s="19">
        <v>9.5</v>
      </c>
      <c r="HG573" s="19">
        <v>11</v>
      </c>
      <c r="HH573" s="19">
        <v>15</v>
      </c>
      <c r="HI573" s="19">
        <v>24.5</v>
      </c>
      <c r="HJ573" s="19">
        <v>28.8</v>
      </c>
      <c r="HK573" s="19">
        <v>26.6</v>
      </c>
      <c r="HL573" s="19">
        <v>26.9</v>
      </c>
      <c r="HM573" s="19">
        <v>26.2</v>
      </c>
      <c r="HN573" s="19">
        <v>27.9</v>
      </c>
      <c r="HO573" s="19">
        <v>28.6</v>
      </c>
      <c r="HP573" s="19">
        <v>29.4</v>
      </c>
      <c r="HQ573" s="19">
        <v>28.6</v>
      </c>
      <c r="HR573" s="19">
        <v>29.5</v>
      </c>
      <c r="HS573" s="19">
        <v>28.4</v>
      </c>
      <c r="HT573" s="19">
        <v>29.7</v>
      </c>
      <c r="HU573" s="19">
        <v>34.3</v>
      </c>
      <c r="HV573" s="19">
        <v>41.5</v>
      </c>
      <c r="HW573" s="19">
        <v>53</v>
      </c>
      <c r="HX573" s="19">
        <v>77.5</v>
      </c>
      <c r="HY573" s="19">
        <v>75.5</v>
      </c>
      <c r="HZ573" s="19">
        <v>74.5</v>
      </c>
      <c r="IA573" s="19">
        <v>73.5</v>
      </c>
      <c r="IB573" s="19">
        <v>73</v>
      </c>
    </row>
    <row r="574">
      <c r="A574" s="2" t="s">
        <v>3309</v>
      </c>
      <c r="B574" s="2" t="s">
        <v>773</v>
      </c>
      <c r="C574" s="2" t="s">
        <v>908</v>
      </c>
      <c r="D574" s="2" t="s">
        <v>985</v>
      </c>
      <c r="E574" s="2" t="s">
        <v>2241</v>
      </c>
      <c r="F574" s="2" t="s">
        <v>3270</v>
      </c>
      <c r="G574" s="2" t="s">
        <v>3270</v>
      </c>
      <c r="H574" s="2" t="s">
        <v>233</v>
      </c>
      <c r="I574" s="2" t="s">
        <v>1574</v>
      </c>
      <c r="J574" s="2" t="s">
        <v>228</v>
      </c>
      <c r="K574" s="2" t="s">
        <v>3310</v>
      </c>
      <c r="L574" s="3">
        <v>54.64</v>
      </c>
      <c r="M574" s="3">
        <v>57.37</v>
      </c>
      <c r="N574" s="3">
        <v>109.99</v>
      </c>
      <c r="O574" s="2" t="s">
        <v>230</v>
      </c>
      <c r="P574" s="2" t="s">
        <v>231</v>
      </c>
      <c r="Q574" s="2" t="s">
        <v>232</v>
      </c>
      <c r="R574" s="2" t="s">
        <v>233</v>
      </c>
      <c r="S574" s="2" t="s">
        <v>3311</v>
      </c>
      <c r="T574" s="2" t="s">
        <v>913</v>
      </c>
      <c r="U574" s="2" t="s">
        <v>233</v>
      </c>
      <c r="V574" s="2" t="s">
        <v>236</v>
      </c>
      <c r="W574" s="2" t="s">
        <v>237</v>
      </c>
      <c r="X574" s="2" t="s">
        <v>233</v>
      </c>
      <c r="Y574" s="2" t="s">
        <v>238</v>
      </c>
      <c r="Z574" s="4">
        <v>293</v>
      </c>
      <c r="AA574" s="4">
        <f>=ROUNDDOWN(97.6666666666667,0)</f>
      </c>
      <c r="AB574" s="5">
        <v>3</v>
      </c>
      <c r="AC574" s="2" t="s">
        <v>233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233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233</v>
      </c>
      <c r="AW574" s="8" t="s">
        <v>233</v>
      </c>
      <c r="AX574" s="4" t="s">
        <v>233</v>
      </c>
      <c r="AY574" s="8" t="s">
        <v>233</v>
      </c>
      <c r="AZ574" s="7" t="s">
        <v>233</v>
      </c>
      <c r="BA574" s="7" t="s">
        <v>233</v>
      </c>
      <c r="BB574" s="7"/>
      <c r="BC574" s="4" t="s">
        <v>233</v>
      </c>
      <c r="BD574" s="8" t="s">
        <v>233</v>
      </c>
      <c r="BE574" s="4" t="s">
        <v>233</v>
      </c>
      <c r="BF574" s="8" t="s">
        <v>233</v>
      </c>
      <c r="BG574" s="7" t="s">
        <v>233</v>
      </c>
      <c r="BH574" s="7" t="s">
        <v>233</v>
      </c>
      <c r="BI574" s="7"/>
      <c r="BJ574" s="4">
        <v>13</v>
      </c>
      <c r="BK574" s="8">
        <v>723.77</v>
      </c>
      <c r="BL574" s="2" t="s">
        <v>3312</v>
      </c>
      <c r="BM574" s="7"/>
      <c r="BN574" s="7"/>
      <c r="BO574" s="4"/>
      <c r="BP574" s="8"/>
      <c r="BQ574" s="4"/>
      <c r="BR574" s="8"/>
      <c r="BS574" s="7"/>
      <c r="BT574" s="7"/>
      <c r="BU574" s="2" t="s">
        <v>3273</v>
      </c>
      <c r="BV574" s="2" t="s">
        <v>233</v>
      </c>
      <c r="BW574" s="2" t="s">
        <v>233</v>
      </c>
      <c r="BX574" s="2" t="s">
        <v>241</v>
      </c>
      <c r="BY574" s="2" t="s">
        <v>242</v>
      </c>
      <c r="BZ574" s="2" t="s">
        <v>230</v>
      </c>
      <c r="CA574" s="2" t="s">
        <v>992</v>
      </c>
      <c r="CB574" s="2" t="s">
        <v>3313</v>
      </c>
      <c r="CC574" s="2" t="s">
        <v>245</v>
      </c>
      <c r="CD574" s="2" t="s">
        <v>233</v>
      </c>
      <c r="CE574" s="4">
        <v>293</v>
      </c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>
        <v>294</v>
      </c>
      <c r="GD574" s="4">
        <v>285</v>
      </c>
      <c r="GE574" s="4">
        <v>281</v>
      </c>
      <c r="GF574" s="4">
        <v>277</v>
      </c>
      <c r="GG574" s="4">
        <v>270</v>
      </c>
      <c r="GH574" s="4">
        <v>265</v>
      </c>
      <c r="GI574" s="4">
        <v>259</v>
      </c>
      <c r="GJ574" s="4">
        <v>256</v>
      </c>
      <c r="GK574" s="4">
        <v>255</v>
      </c>
      <c r="GL574" s="4">
        <v>254</v>
      </c>
      <c r="GM574" s="4">
        <v>251</v>
      </c>
      <c r="GN574" s="4">
        <v>248</v>
      </c>
      <c r="GO574" s="4">
        <v>247</v>
      </c>
      <c r="GP574" s="4">
        <v>246</v>
      </c>
      <c r="GQ574" s="4">
        <v>244</v>
      </c>
      <c r="GR574" s="4">
        <v>243</v>
      </c>
      <c r="GS574" s="4">
        <v>241</v>
      </c>
      <c r="GT574" s="4">
        <v>240</v>
      </c>
      <c r="GU574" s="4">
        <v>239</v>
      </c>
      <c r="GV574" s="4">
        <v>238</v>
      </c>
      <c r="GW574" s="4">
        <v>237</v>
      </c>
      <c r="GX574" s="4">
        <v>236</v>
      </c>
      <c r="GY574" s="4">
        <v>235</v>
      </c>
      <c r="GZ574" s="4">
        <v>234</v>
      </c>
      <c r="HA574" s="4">
        <v>234</v>
      </c>
      <c r="HB574" s="4">
        <v>233</v>
      </c>
      <c r="HC574" s="19">
        <v>49</v>
      </c>
      <c r="HD574" s="19">
        <v>57</v>
      </c>
      <c r="HE574" s="19">
        <v>46.8</v>
      </c>
      <c r="HF574" s="19">
        <v>55.4</v>
      </c>
      <c r="HG574" s="19">
        <v>67.5</v>
      </c>
      <c r="HH574" s="19">
        <v>88.3</v>
      </c>
      <c r="HI574" s="19">
        <v>129.5</v>
      </c>
      <c r="HJ574" s="19">
        <v>128</v>
      </c>
      <c r="HK574" s="19">
        <v>127.5</v>
      </c>
      <c r="HL574" s="19">
        <v>127</v>
      </c>
      <c r="HM574" s="19">
        <v>125.5</v>
      </c>
      <c r="HN574" s="19">
        <v>248</v>
      </c>
      <c r="HO574" s="19">
        <v>123.5</v>
      </c>
      <c r="HP574" s="19">
        <v>123</v>
      </c>
      <c r="HQ574" s="19">
        <v>244</v>
      </c>
      <c r="HR574" s="19">
        <v>243</v>
      </c>
      <c r="HS574" s="19">
        <v>241</v>
      </c>
      <c r="HT574" s="19">
        <v>240</v>
      </c>
      <c r="HU574" s="19">
        <v>239</v>
      </c>
      <c r="HV574" s="19">
        <v>238</v>
      </c>
      <c r="HW574" s="19">
        <v>237</v>
      </c>
      <c r="HX574" s="19">
        <v>236</v>
      </c>
      <c r="HY574" s="20">
        <v>0</v>
      </c>
      <c r="HZ574" s="9"/>
      <c r="IA574" s="19">
        <v>234</v>
      </c>
      <c r="IB574" s="9"/>
    </row>
    <row r="575">
      <c r="A575" s="2" t="s">
        <v>3314</v>
      </c>
      <c r="B575" s="2" t="s">
        <v>773</v>
      </c>
      <c r="C575" s="2" t="s">
        <v>908</v>
      </c>
      <c r="D575" s="2" t="s">
        <v>985</v>
      </c>
      <c r="E575" s="2" t="s">
        <v>2241</v>
      </c>
      <c r="F575" s="2" t="s">
        <v>3270</v>
      </c>
      <c r="G575" s="2" t="s">
        <v>3270</v>
      </c>
      <c r="H575" s="2" t="s">
        <v>233</v>
      </c>
      <c r="I575" s="2" t="s">
        <v>1574</v>
      </c>
      <c r="J575" s="2" t="s">
        <v>256</v>
      </c>
      <c r="K575" s="2" t="s">
        <v>3310</v>
      </c>
      <c r="L575" s="3">
        <v>89.42</v>
      </c>
      <c r="M575" s="3">
        <v>93.89</v>
      </c>
      <c r="N575" s="3">
        <v>179.99</v>
      </c>
      <c r="O575" s="2" t="s">
        <v>230</v>
      </c>
      <c r="P575" s="2" t="s">
        <v>231</v>
      </c>
      <c r="Q575" s="2" t="s">
        <v>232</v>
      </c>
      <c r="R575" s="2" t="s">
        <v>233</v>
      </c>
      <c r="S575" s="2" t="s">
        <v>3311</v>
      </c>
      <c r="T575" s="2" t="s">
        <v>913</v>
      </c>
      <c r="U575" s="2" t="s">
        <v>233</v>
      </c>
      <c r="V575" s="2" t="s">
        <v>236</v>
      </c>
      <c r="W575" s="2" t="s">
        <v>237</v>
      </c>
      <c r="X575" s="2" t="s">
        <v>233</v>
      </c>
      <c r="Y575" s="2" t="s">
        <v>238</v>
      </c>
      <c r="Z575" s="4">
        <v>603</v>
      </c>
      <c r="AA575" s="4">
        <f>=ROUNDDOWN(120.6,0)</f>
      </c>
      <c r="AB575" s="5">
        <v>5</v>
      </c>
      <c r="AC575" s="2" t="s">
        <v>233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233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233</v>
      </c>
      <c r="AW575" s="8" t="s">
        <v>233</v>
      </c>
      <c r="AX575" s="4" t="s">
        <v>233</v>
      </c>
      <c r="AY575" s="8" t="s">
        <v>233</v>
      </c>
      <c r="AZ575" s="7" t="s">
        <v>233</v>
      </c>
      <c r="BA575" s="7" t="s">
        <v>233</v>
      </c>
      <c r="BB575" s="7"/>
      <c r="BC575" s="4" t="s">
        <v>233</v>
      </c>
      <c r="BD575" s="8" t="s">
        <v>233</v>
      </c>
      <c r="BE575" s="4" t="s">
        <v>233</v>
      </c>
      <c r="BF575" s="8" t="s">
        <v>233</v>
      </c>
      <c r="BG575" s="7" t="s">
        <v>233</v>
      </c>
      <c r="BH575" s="7" t="s">
        <v>233</v>
      </c>
      <c r="BI575" s="7"/>
      <c r="BJ575" s="4">
        <v>8</v>
      </c>
      <c r="BK575" s="8">
        <v>741.49</v>
      </c>
      <c r="BL575" s="2" t="s">
        <v>507</v>
      </c>
      <c r="BM575" s="7"/>
      <c r="BN575" s="7"/>
      <c r="BO575" s="4"/>
      <c r="BP575" s="8"/>
      <c r="BQ575" s="4"/>
      <c r="BR575" s="8"/>
      <c r="BS575" s="7"/>
      <c r="BT575" s="7"/>
      <c r="BU575" s="2" t="s">
        <v>3273</v>
      </c>
      <c r="BV575" s="2" t="s">
        <v>233</v>
      </c>
      <c r="BW575" s="2" t="s">
        <v>233</v>
      </c>
      <c r="BX575" s="2" t="s">
        <v>241</v>
      </c>
      <c r="BY575" s="2" t="s">
        <v>242</v>
      </c>
      <c r="BZ575" s="2" t="s">
        <v>230</v>
      </c>
      <c r="CA575" s="2" t="s">
        <v>992</v>
      </c>
      <c r="CB575" s="2" t="s">
        <v>3315</v>
      </c>
      <c r="CC575" s="2" t="s">
        <v>245</v>
      </c>
      <c r="CD575" s="2" t="s">
        <v>233</v>
      </c>
      <c r="CE575" s="4">
        <v>380</v>
      </c>
      <c r="CF575" s="4">
        <v>223</v>
      </c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>
        <v>605</v>
      </c>
      <c r="GD575" s="4">
        <v>594</v>
      </c>
      <c r="GE575" s="4">
        <v>587</v>
      </c>
      <c r="GF575" s="4">
        <v>580</v>
      </c>
      <c r="GG575" s="4">
        <v>566</v>
      </c>
      <c r="GH575" s="4">
        <v>557</v>
      </c>
      <c r="GI575" s="4">
        <v>547</v>
      </c>
      <c r="GJ575" s="4">
        <v>541</v>
      </c>
      <c r="GK575" s="4">
        <v>538</v>
      </c>
      <c r="GL575" s="4">
        <v>535</v>
      </c>
      <c r="GM575" s="4">
        <v>532</v>
      </c>
      <c r="GN575" s="4">
        <v>529</v>
      </c>
      <c r="GO575" s="4">
        <v>527</v>
      </c>
      <c r="GP575" s="4">
        <v>525</v>
      </c>
      <c r="GQ575" s="4">
        <v>523</v>
      </c>
      <c r="GR575" s="4">
        <v>521</v>
      </c>
      <c r="GS575" s="4">
        <v>518</v>
      </c>
      <c r="GT575" s="4">
        <v>515</v>
      </c>
      <c r="GU575" s="4">
        <v>514</v>
      </c>
      <c r="GV575" s="4">
        <v>513</v>
      </c>
      <c r="GW575" s="4">
        <v>511</v>
      </c>
      <c r="GX575" s="4">
        <v>509</v>
      </c>
      <c r="GY575" s="4">
        <v>508</v>
      </c>
      <c r="GZ575" s="4">
        <v>507</v>
      </c>
      <c r="HA575" s="4">
        <v>505</v>
      </c>
      <c r="HB575" s="4">
        <v>504</v>
      </c>
      <c r="HC575" s="19">
        <v>60.5</v>
      </c>
      <c r="HD575" s="19">
        <v>66</v>
      </c>
      <c r="HE575" s="19">
        <v>58.7</v>
      </c>
      <c r="HF575" s="19">
        <v>58</v>
      </c>
      <c r="HG575" s="19">
        <v>80.9</v>
      </c>
      <c r="HH575" s="19">
        <v>92.8</v>
      </c>
      <c r="HI575" s="19">
        <v>136.8</v>
      </c>
      <c r="HJ575" s="19">
        <v>180.3</v>
      </c>
      <c r="HK575" s="19">
        <v>179.3</v>
      </c>
      <c r="HL575" s="19">
        <v>267.5</v>
      </c>
      <c r="HM575" s="19">
        <v>266</v>
      </c>
      <c r="HN575" s="19">
        <v>264.5</v>
      </c>
      <c r="HO575" s="19">
        <v>263.5</v>
      </c>
      <c r="HP575" s="19">
        <v>262.5</v>
      </c>
      <c r="HQ575" s="19">
        <v>261.5</v>
      </c>
      <c r="HR575" s="19">
        <v>260.5</v>
      </c>
      <c r="HS575" s="19">
        <v>259</v>
      </c>
      <c r="HT575" s="19">
        <v>257.5</v>
      </c>
      <c r="HU575" s="19">
        <v>257</v>
      </c>
      <c r="HV575" s="19">
        <v>256.5</v>
      </c>
      <c r="HW575" s="19">
        <v>255.5</v>
      </c>
      <c r="HX575" s="19">
        <v>509</v>
      </c>
      <c r="HY575" s="19">
        <v>508</v>
      </c>
      <c r="HZ575" s="19">
        <v>507</v>
      </c>
      <c r="IA575" s="19">
        <v>505</v>
      </c>
      <c r="IB575" s="19">
        <v>504</v>
      </c>
    </row>
    <row r="576">
      <c r="A576" s="2" t="s">
        <v>3316</v>
      </c>
      <c r="B576" s="2" t="s">
        <v>773</v>
      </c>
      <c r="C576" s="2" t="s">
        <v>908</v>
      </c>
      <c r="D576" s="2" t="s">
        <v>985</v>
      </c>
      <c r="E576" s="2" t="s">
        <v>986</v>
      </c>
      <c r="F576" s="2" t="s">
        <v>3270</v>
      </c>
      <c r="G576" s="2" t="s">
        <v>3270</v>
      </c>
      <c r="H576" s="2" t="s">
        <v>233</v>
      </c>
      <c r="I576" s="2" t="s">
        <v>1443</v>
      </c>
      <c r="J576" s="2" t="s">
        <v>989</v>
      </c>
      <c r="K576" s="2" t="s">
        <v>3310</v>
      </c>
      <c r="L576" s="3">
        <v>37.72</v>
      </c>
      <c r="M576" s="3">
        <v>39.61</v>
      </c>
      <c r="N576" s="3">
        <v>81.99</v>
      </c>
      <c r="O576" s="2" t="s">
        <v>230</v>
      </c>
      <c r="P576" s="2" t="s">
        <v>231</v>
      </c>
      <c r="Q576" s="2" t="s">
        <v>232</v>
      </c>
      <c r="R576" s="2" t="s">
        <v>233</v>
      </c>
      <c r="S576" s="2" t="s">
        <v>3317</v>
      </c>
      <c r="T576" s="2" t="s">
        <v>913</v>
      </c>
      <c r="U576" s="2" t="s">
        <v>233</v>
      </c>
      <c r="V576" s="2" t="s">
        <v>236</v>
      </c>
      <c r="W576" s="2" t="s">
        <v>237</v>
      </c>
      <c r="X576" s="2" t="s">
        <v>233</v>
      </c>
      <c r="Y576" s="2" t="s">
        <v>238</v>
      </c>
      <c r="Z576" s="4">
        <v>666</v>
      </c>
      <c r="AA576" s="4">
        <f>=ROUNDDOWN(20.8125,0)</f>
      </c>
      <c r="AB576" s="5">
        <v>32</v>
      </c>
      <c r="AC576" s="2" t="s">
        <v>140</v>
      </c>
      <c r="AD576" s="4">
        <v>210</v>
      </c>
      <c r="AE576" s="4">
        <v>340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233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233</v>
      </c>
      <c r="AW576" s="8" t="s">
        <v>233</v>
      </c>
      <c r="AX576" s="4" t="s">
        <v>233</v>
      </c>
      <c r="AY576" s="8" t="s">
        <v>233</v>
      </c>
      <c r="AZ576" s="7" t="s">
        <v>233</v>
      </c>
      <c r="BA576" s="7" t="s">
        <v>233</v>
      </c>
      <c r="BB576" s="7"/>
      <c r="BC576" s="4" t="s">
        <v>233</v>
      </c>
      <c r="BD576" s="8" t="s">
        <v>233</v>
      </c>
      <c r="BE576" s="4" t="s">
        <v>233</v>
      </c>
      <c r="BF576" s="8" t="s">
        <v>233</v>
      </c>
      <c r="BG576" s="7" t="s">
        <v>233</v>
      </c>
      <c r="BH576" s="7" t="s">
        <v>233</v>
      </c>
      <c r="BI576" s="7"/>
      <c r="BJ576" s="4">
        <v>97</v>
      </c>
      <c r="BK576" s="8">
        <v>3966.82</v>
      </c>
      <c r="BL576" s="2" t="s">
        <v>3318</v>
      </c>
      <c r="BM576" s="7"/>
      <c r="BN576" s="7"/>
      <c r="BO576" s="4"/>
      <c r="BP576" s="8"/>
      <c r="BQ576" s="4"/>
      <c r="BR576" s="8"/>
      <c r="BS576" s="7"/>
      <c r="BT576" s="7"/>
      <c r="BU576" s="2" t="s">
        <v>3307</v>
      </c>
      <c r="BV576" s="2" t="s">
        <v>233</v>
      </c>
      <c r="BW576" s="2" t="s">
        <v>233</v>
      </c>
      <c r="BX576" s="2" t="s">
        <v>241</v>
      </c>
      <c r="BY576" s="2" t="s">
        <v>242</v>
      </c>
      <c r="BZ576" s="2" t="s">
        <v>230</v>
      </c>
      <c r="CA576" s="2" t="s">
        <v>992</v>
      </c>
      <c r="CB576" s="2" t="s">
        <v>3303</v>
      </c>
      <c r="CC576" s="2" t="s">
        <v>245</v>
      </c>
      <c r="CD576" s="2" t="s">
        <v>233</v>
      </c>
      <c r="CE576" s="4">
        <v>217</v>
      </c>
      <c r="CF576" s="4">
        <v>449</v>
      </c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>
        <v>210</v>
      </c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>
        <v>130</v>
      </c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>
        <v>836</v>
      </c>
      <c r="GD576" s="4">
        <v>779</v>
      </c>
      <c r="GE576" s="4">
        <v>939</v>
      </c>
      <c r="GF576" s="4">
        <v>880</v>
      </c>
      <c r="GG576" s="4">
        <v>747</v>
      </c>
      <c r="GH576" s="4">
        <v>749</v>
      </c>
      <c r="GI576" s="4">
        <v>590</v>
      </c>
      <c r="GJ576" s="4">
        <v>518</v>
      </c>
      <c r="GK576" s="4">
        <v>498</v>
      </c>
      <c r="GL576" s="4">
        <v>463</v>
      </c>
      <c r="GM576" s="4">
        <v>443</v>
      </c>
      <c r="GN576" s="4">
        <v>402</v>
      </c>
      <c r="GO576" s="4">
        <v>374</v>
      </c>
      <c r="GP576" s="4">
        <v>346</v>
      </c>
      <c r="GQ576" s="4">
        <v>329</v>
      </c>
      <c r="GR576" s="4">
        <v>301</v>
      </c>
      <c r="GS576" s="4">
        <v>276</v>
      </c>
      <c r="GT576" s="4">
        <v>254</v>
      </c>
      <c r="GU576" s="4">
        <v>232</v>
      </c>
      <c r="GV576" s="4">
        <v>213</v>
      </c>
      <c r="GW576" s="4">
        <v>190</v>
      </c>
      <c r="GX576" s="4">
        <v>178</v>
      </c>
      <c r="GY576" s="4">
        <v>166</v>
      </c>
      <c r="GZ576" s="4">
        <v>160</v>
      </c>
      <c r="HA576" s="4">
        <v>154</v>
      </c>
      <c r="HB576" s="4">
        <v>151</v>
      </c>
      <c r="HC576" s="19">
        <v>11.1</v>
      </c>
      <c r="HD576" s="19">
        <v>8.5</v>
      </c>
      <c r="HE576" s="19">
        <v>7.8</v>
      </c>
      <c r="HF576" s="19">
        <v>7.2</v>
      </c>
      <c r="HG576" s="19">
        <v>7.9</v>
      </c>
      <c r="HH576" s="19">
        <v>10.4</v>
      </c>
      <c r="HI576" s="19">
        <v>15.9</v>
      </c>
      <c r="HJ576" s="19">
        <v>17.9</v>
      </c>
      <c r="HK576" s="19">
        <v>16.1</v>
      </c>
      <c r="HL576" s="19">
        <v>16</v>
      </c>
      <c r="HM576" s="19">
        <v>15.8</v>
      </c>
      <c r="HN576" s="19">
        <v>16.1</v>
      </c>
      <c r="HO576" s="19">
        <v>15.6</v>
      </c>
      <c r="HP576" s="19">
        <v>15</v>
      </c>
      <c r="HQ576" s="19">
        <v>13.7</v>
      </c>
      <c r="HR576" s="19">
        <v>13.7</v>
      </c>
      <c r="HS576" s="19">
        <v>12.5</v>
      </c>
      <c r="HT576" s="19">
        <v>13.4</v>
      </c>
      <c r="HU576" s="19">
        <v>14.5</v>
      </c>
      <c r="HV576" s="19">
        <v>16.4</v>
      </c>
      <c r="HW576" s="19">
        <v>21.1</v>
      </c>
      <c r="HX576" s="19">
        <v>25.4</v>
      </c>
      <c r="HY576" s="19">
        <v>27.7</v>
      </c>
      <c r="HZ576" s="19">
        <v>26.7</v>
      </c>
      <c r="IA576" s="19">
        <v>25.7</v>
      </c>
      <c r="IB576" s="19">
        <v>21.6</v>
      </c>
    </row>
    <row r="577">
      <c r="A577" s="2" t="s">
        <v>3319</v>
      </c>
      <c r="B577" s="2" t="s">
        <v>773</v>
      </c>
      <c r="C577" s="2" t="s">
        <v>908</v>
      </c>
      <c r="D577" s="2" t="s">
        <v>985</v>
      </c>
      <c r="E577" s="2" t="s">
        <v>2241</v>
      </c>
      <c r="F577" s="2" t="s">
        <v>3270</v>
      </c>
      <c r="G577" s="2" t="s">
        <v>3270</v>
      </c>
      <c r="H577" s="2" t="s">
        <v>233</v>
      </c>
      <c r="I577" s="2" t="s">
        <v>1574</v>
      </c>
      <c r="J577" s="2" t="s">
        <v>228</v>
      </c>
      <c r="K577" s="2" t="s">
        <v>1014</v>
      </c>
      <c r="L577" s="3">
        <v>54.64</v>
      </c>
      <c r="M577" s="3">
        <v>57.37</v>
      </c>
      <c r="N577" s="3">
        <v>109.99</v>
      </c>
      <c r="O577" s="2" t="s">
        <v>230</v>
      </c>
      <c r="P577" s="2" t="s">
        <v>231</v>
      </c>
      <c r="Q577" s="2" t="s">
        <v>232</v>
      </c>
      <c r="R577" s="2" t="s">
        <v>233</v>
      </c>
      <c r="S577" s="2" t="s">
        <v>3320</v>
      </c>
      <c r="T577" s="2" t="s">
        <v>913</v>
      </c>
      <c r="U577" s="2" t="s">
        <v>233</v>
      </c>
      <c r="V577" s="2" t="s">
        <v>236</v>
      </c>
      <c r="W577" s="2" t="s">
        <v>237</v>
      </c>
      <c r="X577" s="2" t="s">
        <v>233</v>
      </c>
      <c r="Y577" s="2" t="s">
        <v>238</v>
      </c>
      <c r="Z577" s="4">
        <v>206</v>
      </c>
      <c r="AA577" s="4">
        <f>=ROUNDDOWN(68.6666666666667,0)</f>
      </c>
      <c r="AB577" s="5">
        <v>3</v>
      </c>
      <c r="AC577" s="2" t="s">
        <v>233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233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233</v>
      </c>
      <c r="AW577" s="8" t="s">
        <v>233</v>
      </c>
      <c r="AX577" s="4" t="s">
        <v>233</v>
      </c>
      <c r="AY577" s="8" t="s">
        <v>233</v>
      </c>
      <c r="AZ577" s="7" t="s">
        <v>233</v>
      </c>
      <c r="BA577" s="7" t="s">
        <v>233</v>
      </c>
      <c r="BB577" s="7"/>
      <c r="BC577" s="4" t="s">
        <v>233</v>
      </c>
      <c r="BD577" s="8" t="s">
        <v>233</v>
      </c>
      <c r="BE577" s="4" t="s">
        <v>233</v>
      </c>
      <c r="BF577" s="8" t="s">
        <v>233</v>
      </c>
      <c r="BG577" s="7" t="s">
        <v>233</v>
      </c>
      <c r="BH577" s="7" t="s">
        <v>233</v>
      </c>
      <c r="BI577" s="7"/>
      <c r="BJ577" s="4">
        <v>14</v>
      </c>
      <c r="BK577" s="8">
        <v>797.5</v>
      </c>
      <c r="BL577" s="2" t="s">
        <v>3312</v>
      </c>
      <c r="BM577" s="7"/>
      <c r="BN577" s="7"/>
      <c r="BO577" s="4"/>
      <c r="BP577" s="8"/>
      <c r="BQ577" s="4"/>
      <c r="BR577" s="8"/>
      <c r="BS577" s="7"/>
      <c r="BT577" s="7"/>
      <c r="BU577" s="2" t="s">
        <v>3273</v>
      </c>
      <c r="BV577" s="2" t="s">
        <v>233</v>
      </c>
      <c r="BW577" s="2" t="s">
        <v>233</v>
      </c>
      <c r="BX577" s="2" t="s">
        <v>241</v>
      </c>
      <c r="BY577" s="2" t="s">
        <v>242</v>
      </c>
      <c r="BZ577" s="2" t="s">
        <v>230</v>
      </c>
      <c r="CA577" s="2" t="s">
        <v>992</v>
      </c>
      <c r="CB577" s="2" t="s">
        <v>1355</v>
      </c>
      <c r="CC577" s="2" t="s">
        <v>245</v>
      </c>
      <c r="CD577" s="2" t="s">
        <v>233</v>
      </c>
      <c r="CE577" s="4">
        <v>206</v>
      </c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>
        <v>208</v>
      </c>
      <c r="GD577" s="4">
        <v>198</v>
      </c>
      <c r="GE577" s="4">
        <v>194</v>
      </c>
      <c r="GF577" s="4">
        <v>190</v>
      </c>
      <c r="GG577" s="4">
        <v>183</v>
      </c>
      <c r="GH577" s="4">
        <v>178</v>
      </c>
      <c r="GI577" s="4">
        <v>172</v>
      </c>
      <c r="GJ577" s="4">
        <v>169</v>
      </c>
      <c r="GK577" s="4">
        <v>168</v>
      </c>
      <c r="GL577" s="4">
        <v>167</v>
      </c>
      <c r="GM577" s="4">
        <v>164</v>
      </c>
      <c r="GN577" s="4">
        <v>161</v>
      </c>
      <c r="GO577" s="4">
        <v>160</v>
      </c>
      <c r="GP577" s="4">
        <v>159</v>
      </c>
      <c r="GQ577" s="4">
        <v>157</v>
      </c>
      <c r="GR577" s="4">
        <v>156</v>
      </c>
      <c r="GS577" s="4">
        <v>154</v>
      </c>
      <c r="GT577" s="4">
        <v>153</v>
      </c>
      <c r="GU577" s="4">
        <v>152</v>
      </c>
      <c r="GV577" s="4">
        <v>151</v>
      </c>
      <c r="GW577" s="4">
        <v>150</v>
      </c>
      <c r="GX577" s="4">
        <v>149</v>
      </c>
      <c r="GY577" s="4">
        <v>148</v>
      </c>
      <c r="GZ577" s="4">
        <v>147</v>
      </c>
      <c r="HA577" s="4">
        <v>147</v>
      </c>
      <c r="HB577" s="4">
        <v>146</v>
      </c>
      <c r="HC577" s="19">
        <v>34.7</v>
      </c>
      <c r="HD577" s="19">
        <v>39.6</v>
      </c>
      <c r="HE577" s="19">
        <v>32.3</v>
      </c>
      <c r="HF577" s="19">
        <v>38</v>
      </c>
      <c r="HG577" s="19">
        <v>45.8</v>
      </c>
      <c r="HH577" s="19">
        <v>59.3</v>
      </c>
      <c r="HI577" s="19">
        <v>86</v>
      </c>
      <c r="HJ577" s="19">
        <v>84.5</v>
      </c>
      <c r="HK577" s="19">
        <v>84</v>
      </c>
      <c r="HL577" s="19">
        <v>83.5</v>
      </c>
      <c r="HM577" s="19">
        <v>82</v>
      </c>
      <c r="HN577" s="19">
        <v>161</v>
      </c>
      <c r="HO577" s="19">
        <v>80</v>
      </c>
      <c r="HP577" s="19">
        <v>79.5</v>
      </c>
      <c r="HQ577" s="19">
        <v>157</v>
      </c>
      <c r="HR577" s="19">
        <v>156</v>
      </c>
      <c r="HS577" s="19">
        <v>154</v>
      </c>
      <c r="HT577" s="19">
        <v>153</v>
      </c>
      <c r="HU577" s="19">
        <v>152</v>
      </c>
      <c r="HV577" s="19">
        <v>151</v>
      </c>
      <c r="HW577" s="19">
        <v>150</v>
      </c>
      <c r="HX577" s="19">
        <v>149</v>
      </c>
      <c r="HY577" s="20">
        <v>0</v>
      </c>
      <c r="HZ577" s="9"/>
      <c r="IA577" s="19">
        <v>147</v>
      </c>
      <c r="IB577" s="9"/>
    </row>
    <row r="578">
      <c r="A578" s="2" t="s">
        <v>3321</v>
      </c>
      <c r="B578" s="2" t="s">
        <v>773</v>
      </c>
      <c r="C578" s="2" t="s">
        <v>908</v>
      </c>
      <c r="D578" s="2" t="s">
        <v>985</v>
      </c>
      <c r="E578" s="2" t="s">
        <v>2241</v>
      </c>
      <c r="F578" s="2" t="s">
        <v>3270</v>
      </c>
      <c r="G578" s="2" t="s">
        <v>3270</v>
      </c>
      <c r="H578" s="2" t="s">
        <v>233</v>
      </c>
      <c r="I578" s="2" t="s">
        <v>1574</v>
      </c>
      <c r="J578" s="2" t="s">
        <v>336</v>
      </c>
      <c r="K578" s="2" t="s">
        <v>1014</v>
      </c>
      <c r="L578" s="3">
        <v>79.48</v>
      </c>
      <c r="M578" s="3">
        <v>83.45</v>
      </c>
      <c r="N578" s="3">
        <v>159.99</v>
      </c>
      <c r="O578" s="2" t="s">
        <v>230</v>
      </c>
      <c r="P578" s="2" t="s">
        <v>231</v>
      </c>
      <c r="Q578" s="2" t="s">
        <v>232</v>
      </c>
      <c r="R578" s="2" t="s">
        <v>233</v>
      </c>
      <c r="S578" s="2" t="s">
        <v>3320</v>
      </c>
      <c r="T578" s="2" t="s">
        <v>913</v>
      </c>
      <c r="U578" s="2" t="s">
        <v>233</v>
      </c>
      <c r="V578" s="2" t="s">
        <v>236</v>
      </c>
      <c r="W578" s="2" t="s">
        <v>237</v>
      </c>
      <c r="X578" s="2" t="s">
        <v>233</v>
      </c>
      <c r="Y578" s="2" t="s">
        <v>238</v>
      </c>
      <c r="Z578" s="4">
        <v>461</v>
      </c>
      <c r="AA578" s="4">
        <f>=ROUNDDOWN(65.8571428571429,0)</f>
      </c>
      <c r="AB578" s="5">
        <v>7</v>
      </c>
      <c r="AC578" s="2" t="s">
        <v>233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233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233</v>
      </c>
      <c r="AW578" s="8" t="s">
        <v>233</v>
      </c>
      <c r="AX578" s="4" t="s">
        <v>233</v>
      </c>
      <c r="AY578" s="8" t="s">
        <v>233</v>
      </c>
      <c r="AZ578" s="7" t="s">
        <v>233</v>
      </c>
      <c r="BA578" s="7" t="s">
        <v>233</v>
      </c>
      <c r="BB578" s="7"/>
      <c r="BC578" s="4" t="s">
        <v>233</v>
      </c>
      <c r="BD578" s="8" t="s">
        <v>233</v>
      </c>
      <c r="BE578" s="4" t="s">
        <v>233</v>
      </c>
      <c r="BF578" s="8" t="s">
        <v>233</v>
      </c>
      <c r="BG578" s="7" t="s">
        <v>233</v>
      </c>
      <c r="BH578" s="7" t="s">
        <v>233</v>
      </c>
      <c r="BI578" s="7"/>
      <c r="BJ578" s="4">
        <v>14</v>
      </c>
      <c r="BK578" s="8">
        <v>1167.62</v>
      </c>
      <c r="BL578" s="2" t="s">
        <v>3322</v>
      </c>
      <c r="BM578" s="7"/>
      <c r="BN578" s="7"/>
      <c r="BO578" s="4"/>
      <c r="BP578" s="8"/>
      <c r="BQ578" s="4"/>
      <c r="BR578" s="8"/>
      <c r="BS578" s="7"/>
      <c r="BT578" s="7"/>
      <c r="BU578" s="2" t="s">
        <v>3273</v>
      </c>
      <c r="BV578" s="2" t="s">
        <v>233</v>
      </c>
      <c r="BW578" s="2" t="s">
        <v>233</v>
      </c>
      <c r="BX578" s="2" t="s">
        <v>241</v>
      </c>
      <c r="BY578" s="2" t="s">
        <v>242</v>
      </c>
      <c r="BZ578" s="2" t="s">
        <v>230</v>
      </c>
      <c r="CA578" s="2" t="s">
        <v>992</v>
      </c>
      <c r="CB578" s="2" t="s">
        <v>3323</v>
      </c>
      <c r="CC578" s="2" t="s">
        <v>245</v>
      </c>
      <c r="CD578" s="2" t="s">
        <v>233</v>
      </c>
      <c r="CE578" s="4">
        <v>415</v>
      </c>
      <c r="CF578" s="4">
        <v>46</v>
      </c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>
        <v>464</v>
      </c>
      <c r="GD578" s="4">
        <v>446</v>
      </c>
      <c r="GE578" s="4">
        <v>436</v>
      </c>
      <c r="GF578" s="4">
        <v>427</v>
      </c>
      <c r="GG578" s="4">
        <v>407</v>
      </c>
      <c r="GH578" s="4">
        <v>395</v>
      </c>
      <c r="GI578" s="4">
        <v>380</v>
      </c>
      <c r="GJ578" s="4">
        <v>372</v>
      </c>
      <c r="GK578" s="4">
        <v>369</v>
      </c>
      <c r="GL578" s="4">
        <v>363</v>
      </c>
      <c r="GM578" s="4">
        <v>357</v>
      </c>
      <c r="GN578" s="4">
        <v>350</v>
      </c>
      <c r="GO578" s="4">
        <v>346</v>
      </c>
      <c r="GP578" s="4">
        <v>342</v>
      </c>
      <c r="GQ578" s="4">
        <v>340</v>
      </c>
      <c r="GR578" s="4">
        <v>338</v>
      </c>
      <c r="GS578" s="4">
        <v>335</v>
      </c>
      <c r="GT578" s="4">
        <v>333</v>
      </c>
      <c r="GU578" s="4">
        <v>331</v>
      </c>
      <c r="GV578" s="4">
        <v>329</v>
      </c>
      <c r="GW578" s="4">
        <v>327</v>
      </c>
      <c r="GX578" s="4">
        <v>325</v>
      </c>
      <c r="GY578" s="4">
        <v>324</v>
      </c>
      <c r="GZ578" s="4">
        <v>323</v>
      </c>
      <c r="HA578" s="4">
        <v>322</v>
      </c>
      <c r="HB578" s="4">
        <v>321</v>
      </c>
      <c r="HC578" s="19">
        <v>33.1</v>
      </c>
      <c r="HD578" s="19">
        <v>34.3</v>
      </c>
      <c r="HE578" s="19">
        <v>31.1</v>
      </c>
      <c r="HF578" s="19">
        <v>30.5</v>
      </c>
      <c r="HG578" s="19">
        <v>40.7</v>
      </c>
      <c r="HH578" s="19">
        <v>49.4</v>
      </c>
      <c r="HI578" s="19">
        <v>63.3</v>
      </c>
      <c r="HJ578" s="19">
        <v>62</v>
      </c>
      <c r="HK578" s="19">
        <v>61.5</v>
      </c>
      <c r="HL578" s="19">
        <v>72.6</v>
      </c>
      <c r="HM578" s="19">
        <v>89.3</v>
      </c>
      <c r="HN578" s="19">
        <v>116.7</v>
      </c>
      <c r="HO578" s="19">
        <v>115.3</v>
      </c>
      <c r="HP578" s="19">
        <v>171</v>
      </c>
      <c r="HQ578" s="19">
        <v>170</v>
      </c>
      <c r="HR578" s="19">
        <v>169</v>
      </c>
      <c r="HS578" s="19">
        <v>167.5</v>
      </c>
      <c r="HT578" s="19">
        <v>166.5</v>
      </c>
      <c r="HU578" s="19">
        <v>165.5</v>
      </c>
      <c r="HV578" s="19">
        <v>164.5</v>
      </c>
      <c r="HW578" s="19">
        <v>327</v>
      </c>
      <c r="HX578" s="19">
        <v>325</v>
      </c>
      <c r="HY578" s="19">
        <v>324</v>
      </c>
      <c r="HZ578" s="19">
        <v>323</v>
      </c>
      <c r="IA578" s="19">
        <v>322</v>
      </c>
      <c r="IB578" s="19">
        <v>321</v>
      </c>
    </row>
    <row r="579">
      <c r="A579" s="2" t="s">
        <v>3324</v>
      </c>
      <c r="B579" s="2" t="s">
        <v>222</v>
      </c>
      <c r="C579" s="2" t="s">
        <v>2381</v>
      </c>
      <c r="D579" s="2" t="s">
        <v>261</v>
      </c>
      <c r="E579" s="2" t="s">
        <v>3325</v>
      </c>
      <c r="F579" s="2" t="s">
        <v>3326</v>
      </c>
      <c r="G579" s="2" t="s">
        <v>3326</v>
      </c>
      <c r="H579" s="2" t="s">
        <v>3326</v>
      </c>
      <c r="I579" s="2" t="s">
        <v>3327</v>
      </c>
      <c r="J579" s="2" t="s">
        <v>1052</v>
      </c>
      <c r="K579" s="2" t="s">
        <v>1157</v>
      </c>
      <c r="L579" s="3">
        <v>35.71</v>
      </c>
      <c r="M579" s="3">
        <v>37.5</v>
      </c>
      <c r="N579" s="3">
        <v>74.99</v>
      </c>
      <c r="O579" s="2" t="s">
        <v>230</v>
      </c>
      <c r="P579" s="2" t="s">
        <v>231</v>
      </c>
      <c r="Q579" s="2" t="s">
        <v>232</v>
      </c>
      <c r="R579" s="2" t="s">
        <v>233</v>
      </c>
      <c r="S579" s="2" t="s">
        <v>3328</v>
      </c>
      <c r="T579" s="2" t="s">
        <v>469</v>
      </c>
      <c r="U579" s="2" t="s">
        <v>329</v>
      </c>
      <c r="V579" s="2" t="s">
        <v>236</v>
      </c>
      <c r="W579" s="2" t="s">
        <v>237</v>
      </c>
      <c r="X579" s="2" t="s">
        <v>233</v>
      </c>
      <c r="Y579" s="2" t="s">
        <v>1561</v>
      </c>
      <c r="Z579" s="4">
        <v>280</v>
      </c>
      <c r="AA579" s="4">
        <f>=ROUNDDOWN(70,0)</f>
      </c>
      <c r="AB579" s="5">
        <v>4</v>
      </c>
      <c r="AC579" s="2" t="s">
        <v>233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233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233</v>
      </c>
      <c r="AW579" s="8" t="s">
        <v>233</v>
      </c>
      <c r="AX579" s="4" t="s">
        <v>233</v>
      </c>
      <c r="AY579" s="8" t="s">
        <v>233</v>
      </c>
      <c r="AZ579" s="7" t="s">
        <v>233</v>
      </c>
      <c r="BA579" s="7" t="s">
        <v>233</v>
      </c>
      <c r="BB579" s="7"/>
      <c r="BC579" s="4" t="s">
        <v>233</v>
      </c>
      <c r="BD579" s="8" t="s">
        <v>233</v>
      </c>
      <c r="BE579" s="4" t="s">
        <v>233</v>
      </c>
      <c r="BF579" s="8" t="s">
        <v>233</v>
      </c>
      <c r="BG579" s="7" t="s">
        <v>233</v>
      </c>
      <c r="BH579" s="7" t="s">
        <v>233</v>
      </c>
      <c r="BI579" s="7"/>
      <c r="BJ579" s="4">
        <v>13</v>
      </c>
      <c r="BK579" s="8">
        <v>538.23</v>
      </c>
      <c r="BL579" s="2" t="s">
        <v>3329</v>
      </c>
      <c r="BM579" s="7"/>
      <c r="BN579" s="7"/>
      <c r="BO579" s="4"/>
      <c r="BP579" s="8"/>
      <c r="BQ579" s="4"/>
      <c r="BR579" s="8"/>
      <c r="BS579" s="7"/>
      <c r="BT579" s="7"/>
      <c r="BU579" s="2" t="s">
        <v>3330</v>
      </c>
      <c r="BV579" s="2" t="s">
        <v>233</v>
      </c>
      <c r="BW579" s="2" t="s">
        <v>233</v>
      </c>
      <c r="BX579" s="2" t="s">
        <v>241</v>
      </c>
      <c r="BY579" s="2" t="s">
        <v>242</v>
      </c>
      <c r="BZ579" s="2" t="s">
        <v>230</v>
      </c>
      <c r="CA579" s="2" t="s">
        <v>461</v>
      </c>
      <c r="CB579" s="2" t="s">
        <v>1569</v>
      </c>
      <c r="CC579" s="2" t="s">
        <v>245</v>
      </c>
      <c r="CD579" s="2" t="s">
        <v>233</v>
      </c>
      <c r="CE579" s="4">
        <v>280</v>
      </c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>
        <v>283</v>
      </c>
      <c r="GD579" s="4">
        <v>274</v>
      </c>
      <c r="GE579" s="4">
        <v>263</v>
      </c>
      <c r="GF579" s="4">
        <v>253</v>
      </c>
      <c r="GG579" s="4">
        <v>232</v>
      </c>
      <c r="GH579" s="4">
        <v>221</v>
      </c>
      <c r="GI579" s="4">
        <v>211</v>
      </c>
      <c r="GJ579" s="4">
        <v>204</v>
      </c>
      <c r="GK579" s="4">
        <v>200</v>
      </c>
      <c r="GL579" s="4">
        <v>197</v>
      </c>
      <c r="GM579" s="4">
        <v>195</v>
      </c>
      <c r="GN579" s="4">
        <v>193</v>
      </c>
      <c r="GO579" s="4">
        <v>191</v>
      </c>
      <c r="GP579" s="4">
        <v>189</v>
      </c>
      <c r="GQ579" s="4">
        <v>187</v>
      </c>
      <c r="GR579" s="4">
        <v>183</v>
      </c>
      <c r="GS579" s="4">
        <v>179</v>
      </c>
      <c r="GT579" s="4">
        <v>175</v>
      </c>
      <c r="GU579" s="4">
        <v>171</v>
      </c>
      <c r="GV579" s="4">
        <v>166</v>
      </c>
      <c r="GW579" s="4">
        <v>161</v>
      </c>
      <c r="GX579" s="4">
        <v>156</v>
      </c>
      <c r="GY579" s="4">
        <v>151</v>
      </c>
      <c r="GZ579" s="4">
        <v>147</v>
      </c>
      <c r="HA579" s="4">
        <v>143</v>
      </c>
      <c r="HB579" s="4">
        <v>139</v>
      </c>
      <c r="HC579" s="19">
        <v>21.8</v>
      </c>
      <c r="HD579" s="19">
        <v>21.1</v>
      </c>
      <c r="HE579" s="19">
        <v>20.2</v>
      </c>
      <c r="HF579" s="19">
        <v>21.1</v>
      </c>
      <c r="HG579" s="19">
        <v>29</v>
      </c>
      <c r="HH579" s="19">
        <v>36.8</v>
      </c>
      <c r="HI579" s="19">
        <v>52.8</v>
      </c>
      <c r="HJ579" s="19">
        <v>68</v>
      </c>
      <c r="HK579" s="19">
        <v>100</v>
      </c>
      <c r="HL579" s="19">
        <v>98.5</v>
      </c>
      <c r="HM579" s="19">
        <v>97.5</v>
      </c>
      <c r="HN579" s="19">
        <v>96.5</v>
      </c>
      <c r="HO579" s="19">
        <v>63.7</v>
      </c>
      <c r="HP579" s="19">
        <v>47.3</v>
      </c>
      <c r="HQ579" s="19">
        <v>46.8</v>
      </c>
      <c r="HR579" s="19">
        <v>45.8</v>
      </c>
      <c r="HS579" s="19">
        <v>44.8</v>
      </c>
      <c r="HT579" s="19">
        <v>35</v>
      </c>
      <c r="HU579" s="19">
        <v>34.2</v>
      </c>
      <c r="HV579" s="19">
        <v>33.2</v>
      </c>
      <c r="HW579" s="19">
        <v>40.3</v>
      </c>
      <c r="HX579" s="19">
        <v>39</v>
      </c>
      <c r="HY579" s="19">
        <v>37.8</v>
      </c>
      <c r="HZ579" s="19">
        <v>36.8</v>
      </c>
      <c r="IA579" s="19">
        <v>35.8</v>
      </c>
      <c r="IB579" s="19">
        <v>46.3</v>
      </c>
    </row>
    <row r="580">
      <c r="A580" s="2" t="s">
        <v>3331</v>
      </c>
      <c r="B580" s="2" t="s">
        <v>222</v>
      </c>
      <c r="C580" s="2" t="s">
        <v>2381</v>
      </c>
      <c r="D580" s="2" t="s">
        <v>261</v>
      </c>
      <c r="E580" s="2" t="s">
        <v>3325</v>
      </c>
      <c r="F580" s="2" t="s">
        <v>3326</v>
      </c>
      <c r="G580" s="2" t="s">
        <v>3326</v>
      </c>
      <c r="H580" s="2" t="s">
        <v>3326</v>
      </c>
      <c r="I580" s="2" t="s">
        <v>3327</v>
      </c>
      <c r="J580" s="2" t="s">
        <v>265</v>
      </c>
      <c r="K580" s="2" t="s">
        <v>1157</v>
      </c>
      <c r="L580" s="3">
        <v>45.23</v>
      </c>
      <c r="M580" s="3">
        <v>47.49</v>
      </c>
      <c r="N580" s="3">
        <v>94.99</v>
      </c>
      <c r="O580" s="2" t="s">
        <v>230</v>
      </c>
      <c r="P580" s="2" t="s">
        <v>231</v>
      </c>
      <c r="Q580" s="2" t="s">
        <v>232</v>
      </c>
      <c r="R580" s="2" t="s">
        <v>233</v>
      </c>
      <c r="S580" s="2" t="s">
        <v>3328</v>
      </c>
      <c r="T580" s="2" t="s">
        <v>469</v>
      </c>
      <c r="U580" s="2" t="s">
        <v>329</v>
      </c>
      <c r="V580" s="2" t="s">
        <v>236</v>
      </c>
      <c r="W580" s="2" t="s">
        <v>237</v>
      </c>
      <c r="X580" s="2" t="s">
        <v>233</v>
      </c>
      <c r="Y580" s="2" t="s">
        <v>1561</v>
      </c>
      <c r="Z580" s="4">
        <v>299</v>
      </c>
      <c r="AA580" s="4">
        <f>=ROUNDDOWN(27.1818181818182,0)</f>
      </c>
      <c r="AB580" s="5">
        <v>11</v>
      </c>
      <c r="AC580" s="2" t="s">
        <v>1043</v>
      </c>
      <c r="AD580" s="4">
        <v>320</v>
      </c>
      <c r="AE580" s="4">
        <v>320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233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233</v>
      </c>
      <c r="AW580" s="8" t="s">
        <v>233</v>
      </c>
      <c r="AX580" s="4" t="s">
        <v>233</v>
      </c>
      <c r="AY580" s="8" t="s">
        <v>233</v>
      </c>
      <c r="AZ580" s="7" t="s">
        <v>233</v>
      </c>
      <c r="BA580" s="7" t="s">
        <v>233</v>
      </c>
      <c r="BB580" s="7"/>
      <c r="BC580" s="4" t="s">
        <v>233</v>
      </c>
      <c r="BD580" s="8" t="s">
        <v>233</v>
      </c>
      <c r="BE580" s="4" t="s">
        <v>233</v>
      </c>
      <c r="BF580" s="8" t="s">
        <v>233</v>
      </c>
      <c r="BG580" s="7" t="s">
        <v>233</v>
      </c>
      <c r="BH580" s="7" t="s">
        <v>233</v>
      </c>
      <c r="BI580" s="7"/>
      <c r="BJ580" s="4">
        <v>50</v>
      </c>
      <c r="BK580" s="8">
        <v>2663.78</v>
      </c>
      <c r="BL580" s="2" t="s">
        <v>478</v>
      </c>
      <c r="BM580" s="7"/>
      <c r="BN580" s="7"/>
      <c r="BO580" s="4"/>
      <c r="BP580" s="8"/>
      <c r="BQ580" s="4"/>
      <c r="BR580" s="8"/>
      <c r="BS580" s="7"/>
      <c r="BT580" s="7"/>
      <c r="BU580" s="2" t="s">
        <v>3330</v>
      </c>
      <c r="BV580" s="2" t="s">
        <v>233</v>
      </c>
      <c r="BW580" s="2" t="s">
        <v>233</v>
      </c>
      <c r="BX580" s="2" t="s">
        <v>241</v>
      </c>
      <c r="BY580" s="2" t="s">
        <v>242</v>
      </c>
      <c r="BZ580" s="2" t="s">
        <v>230</v>
      </c>
      <c r="CA580" s="2" t="s">
        <v>461</v>
      </c>
      <c r="CB580" s="2" t="s">
        <v>3332</v>
      </c>
      <c r="CC580" s="2" t="s">
        <v>245</v>
      </c>
      <c r="CD580" s="2" t="s">
        <v>233</v>
      </c>
      <c r="CE580" s="4">
        <v>299</v>
      </c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>
        <v>320</v>
      </c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>
        <v>301</v>
      </c>
      <c r="GD580" s="4">
        <v>279</v>
      </c>
      <c r="GE580" s="4">
        <v>245</v>
      </c>
      <c r="GF580" s="4">
        <v>214</v>
      </c>
      <c r="GG580" s="4">
        <v>148</v>
      </c>
      <c r="GH580" s="4">
        <v>118</v>
      </c>
      <c r="GI580" s="4">
        <v>90</v>
      </c>
      <c r="GJ580" s="4">
        <v>72</v>
      </c>
      <c r="GK580" s="4">
        <v>62</v>
      </c>
      <c r="GL580" s="4">
        <v>52</v>
      </c>
      <c r="GM580" s="4">
        <v>45</v>
      </c>
      <c r="GN580" s="4">
        <v>38</v>
      </c>
      <c r="GO580" s="4">
        <v>31</v>
      </c>
      <c r="GP580" s="4">
        <v>24</v>
      </c>
      <c r="GQ580" s="4">
        <v>338</v>
      </c>
      <c r="GR580" s="4">
        <v>327</v>
      </c>
      <c r="GS580" s="4">
        <v>316</v>
      </c>
      <c r="GT580" s="4">
        <v>304</v>
      </c>
      <c r="GU580" s="4">
        <v>293</v>
      </c>
      <c r="GV580" s="4">
        <v>279</v>
      </c>
      <c r="GW580" s="4">
        <v>265</v>
      </c>
      <c r="GX580" s="4">
        <v>251</v>
      </c>
      <c r="GY580" s="4">
        <v>237</v>
      </c>
      <c r="GZ580" s="4">
        <v>225</v>
      </c>
      <c r="HA580" s="4">
        <v>213</v>
      </c>
      <c r="HB580" s="4">
        <v>201</v>
      </c>
      <c r="HC580" s="19">
        <v>7.9</v>
      </c>
      <c r="HD580" s="19">
        <v>7</v>
      </c>
      <c r="HE580" s="19">
        <v>6.3</v>
      </c>
      <c r="HF580" s="19">
        <v>5.9</v>
      </c>
      <c r="HG580" s="19">
        <v>6.7</v>
      </c>
      <c r="HH580" s="19">
        <v>7.4</v>
      </c>
      <c r="HI580" s="19">
        <v>8.2</v>
      </c>
      <c r="HJ580" s="19">
        <v>9</v>
      </c>
      <c r="HK580" s="19">
        <v>7.8</v>
      </c>
      <c r="HL580" s="19">
        <v>7.4</v>
      </c>
      <c r="HM580" s="19">
        <v>6.4</v>
      </c>
      <c r="HN580" s="19">
        <v>4.8</v>
      </c>
      <c r="HO580" s="19">
        <v>3.4</v>
      </c>
      <c r="HP580" s="19">
        <v>2.4</v>
      </c>
      <c r="HQ580" s="19">
        <v>30.7</v>
      </c>
      <c r="HR580" s="19">
        <v>27.3</v>
      </c>
      <c r="HS580" s="19">
        <v>24.3</v>
      </c>
      <c r="HT580" s="19">
        <v>23.4</v>
      </c>
      <c r="HU580" s="19">
        <v>20.9</v>
      </c>
      <c r="HV580" s="19">
        <v>19.9</v>
      </c>
      <c r="HW580" s="19">
        <v>20.4</v>
      </c>
      <c r="HX580" s="19">
        <v>20.9</v>
      </c>
      <c r="HY580" s="19">
        <v>19.8</v>
      </c>
      <c r="HZ580" s="19">
        <v>18.8</v>
      </c>
      <c r="IA580" s="19">
        <v>19.4</v>
      </c>
      <c r="IB580" s="19">
        <v>20.1</v>
      </c>
    </row>
    <row r="581">
      <c r="A581" s="2" t="s">
        <v>3333</v>
      </c>
      <c r="B581" s="2" t="s">
        <v>222</v>
      </c>
      <c r="C581" s="2" t="s">
        <v>2381</v>
      </c>
      <c r="D581" s="2" t="s">
        <v>261</v>
      </c>
      <c r="E581" s="2" t="s">
        <v>3325</v>
      </c>
      <c r="F581" s="2" t="s">
        <v>3326</v>
      </c>
      <c r="G581" s="2" t="s">
        <v>3326</v>
      </c>
      <c r="H581" s="2" t="s">
        <v>3326</v>
      </c>
      <c r="I581" s="2" t="s">
        <v>3327</v>
      </c>
      <c r="J581" s="2" t="s">
        <v>275</v>
      </c>
      <c r="K581" s="2" t="s">
        <v>1157</v>
      </c>
      <c r="L581" s="3">
        <v>52.38</v>
      </c>
      <c r="M581" s="3">
        <v>55</v>
      </c>
      <c r="N581" s="3">
        <v>109.99</v>
      </c>
      <c r="O581" s="2" t="s">
        <v>230</v>
      </c>
      <c r="P581" s="2" t="s">
        <v>231</v>
      </c>
      <c r="Q581" s="2" t="s">
        <v>232</v>
      </c>
      <c r="R581" s="2" t="s">
        <v>233</v>
      </c>
      <c r="S581" s="2" t="s">
        <v>3328</v>
      </c>
      <c r="T581" s="2" t="s">
        <v>469</v>
      </c>
      <c r="U581" s="2" t="s">
        <v>329</v>
      </c>
      <c r="V581" s="2" t="s">
        <v>236</v>
      </c>
      <c r="W581" s="2" t="s">
        <v>237</v>
      </c>
      <c r="X581" s="2" t="s">
        <v>233</v>
      </c>
      <c r="Y581" s="2" t="s">
        <v>1561</v>
      </c>
      <c r="Z581" s="4">
        <v>257</v>
      </c>
      <c r="AA581" s="4">
        <f>=ROUNDDOWN(23.3636363636364,0)</f>
      </c>
      <c r="AB581" s="5">
        <v>11</v>
      </c>
      <c r="AC581" s="2" t="s">
        <v>1043</v>
      </c>
      <c r="AD581" s="4">
        <v>270</v>
      </c>
      <c r="AE581" s="4">
        <v>270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233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233</v>
      </c>
      <c r="AW581" s="8" t="s">
        <v>233</v>
      </c>
      <c r="AX581" s="4" t="s">
        <v>233</v>
      </c>
      <c r="AY581" s="8" t="s">
        <v>233</v>
      </c>
      <c r="AZ581" s="7" t="s">
        <v>233</v>
      </c>
      <c r="BA581" s="7" t="s">
        <v>233</v>
      </c>
      <c r="BB581" s="7"/>
      <c r="BC581" s="4" t="s">
        <v>233</v>
      </c>
      <c r="BD581" s="8" t="s">
        <v>233</v>
      </c>
      <c r="BE581" s="4" t="s">
        <v>233</v>
      </c>
      <c r="BF581" s="8" t="s">
        <v>233</v>
      </c>
      <c r="BG581" s="7" t="s">
        <v>233</v>
      </c>
      <c r="BH581" s="7" t="s">
        <v>233</v>
      </c>
      <c r="BI581" s="7"/>
      <c r="BJ581" s="4">
        <v>42</v>
      </c>
      <c r="BK581" s="8">
        <v>2578.71</v>
      </c>
      <c r="BL581" s="2" t="s">
        <v>1395</v>
      </c>
      <c r="BM581" s="7"/>
      <c r="BN581" s="7"/>
      <c r="BO581" s="4"/>
      <c r="BP581" s="8"/>
      <c r="BQ581" s="4"/>
      <c r="BR581" s="8"/>
      <c r="BS581" s="7"/>
      <c r="BT581" s="7"/>
      <c r="BU581" s="2" t="s">
        <v>3330</v>
      </c>
      <c r="BV581" s="2" t="s">
        <v>233</v>
      </c>
      <c r="BW581" s="2" t="s">
        <v>233</v>
      </c>
      <c r="BX581" s="2" t="s">
        <v>241</v>
      </c>
      <c r="BY581" s="2" t="s">
        <v>242</v>
      </c>
      <c r="BZ581" s="2" t="s">
        <v>230</v>
      </c>
      <c r="CA581" s="2" t="s">
        <v>461</v>
      </c>
      <c r="CB581" s="2" t="s">
        <v>2453</v>
      </c>
      <c r="CC581" s="2" t="s">
        <v>245</v>
      </c>
      <c r="CD581" s="2" t="s">
        <v>233</v>
      </c>
      <c r="CE581" s="4">
        <v>257</v>
      </c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>
        <v>270</v>
      </c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>
        <v>259</v>
      </c>
      <c r="GD581" s="4">
        <v>238</v>
      </c>
      <c r="GE581" s="4">
        <v>208</v>
      </c>
      <c r="GF581" s="4">
        <v>180</v>
      </c>
      <c r="GG581" s="4">
        <v>122</v>
      </c>
      <c r="GH581" s="4">
        <v>98</v>
      </c>
      <c r="GI581" s="4">
        <v>76</v>
      </c>
      <c r="GJ581" s="4">
        <v>62</v>
      </c>
      <c r="GK581" s="4">
        <v>54</v>
      </c>
      <c r="GL581" s="4">
        <v>44</v>
      </c>
      <c r="GM581" s="4">
        <v>37</v>
      </c>
      <c r="GN581" s="4">
        <v>30</v>
      </c>
      <c r="GO581" s="4">
        <v>23</v>
      </c>
      <c r="GP581" s="4">
        <v>16</v>
      </c>
      <c r="GQ581" s="4">
        <v>280</v>
      </c>
      <c r="GR581" s="4">
        <v>268</v>
      </c>
      <c r="GS581" s="4">
        <v>256</v>
      </c>
      <c r="GT581" s="4">
        <v>243</v>
      </c>
      <c r="GU581" s="4">
        <v>231</v>
      </c>
      <c r="GV581" s="4">
        <v>217</v>
      </c>
      <c r="GW581" s="4">
        <v>203</v>
      </c>
      <c r="GX581" s="4">
        <v>189</v>
      </c>
      <c r="GY581" s="4">
        <v>175</v>
      </c>
      <c r="GZ581" s="4">
        <v>161</v>
      </c>
      <c r="HA581" s="4">
        <v>147</v>
      </c>
      <c r="HB581" s="4">
        <v>133</v>
      </c>
      <c r="HC581" s="19">
        <v>7.6</v>
      </c>
      <c r="HD581" s="19">
        <v>6.8</v>
      </c>
      <c r="HE581" s="19">
        <v>6.3</v>
      </c>
      <c r="HF581" s="19">
        <v>6</v>
      </c>
      <c r="HG581" s="19">
        <v>7.2</v>
      </c>
      <c r="HH581" s="19">
        <v>7</v>
      </c>
      <c r="HI581" s="19">
        <v>7.6</v>
      </c>
      <c r="HJ581" s="19">
        <v>7.8</v>
      </c>
      <c r="HK581" s="19">
        <v>6.8</v>
      </c>
      <c r="HL581" s="19">
        <v>6.3</v>
      </c>
      <c r="HM581" s="19">
        <v>5.3</v>
      </c>
      <c r="HN581" s="19">
        <v>3.8</v>
      </c>
      <c r="HO581" s="19">
        <v>2.6</v>
      </c>
      <c r="HP581" s="19">
        <v>1.5</v>
      </c>
      <c r="HQ581" s="19">
        <v>23.3</v>
      </c>
      <c r="HR581" s="19">
        <v>20.6</v>
      </c>
      <c r="HS581" s="19">
        <v>19.7</v>
      </c>
      <c r="HT581" s="19">
        <v>17.4</v>
      </c>
      <c r="HU581" s="19">
        <v>16.5</v>
      </c>
      <c r="HV581" s="19">
        <v>15.5</v>
      </c>
      <c r="HW581" s="19">
        <v>14.5</v>
      </c>
      <c r="HX581" s="19">
        <v>13.5</v>
      </c>
      <c r="HY581" s="19">
        <v>12.5</v>
      </c>
      <c r="HZ581" s="19">
        <v>11.5</v>
      </c>
      <c r="IA581" s="19">
        <v>12.3</v>
      </c>
      <c r="IB581" s="19">
        <v>12.1</v>
      </c>
    </row>
    <row r="582">
      <c r="A582" s="2" t="s">
        <v>3334</v>
      </c>
      <c r="B582" s="2" t="s">
        <v>222</v>
      </c>
      <c r="C582" s="2" t="s">
        <v>2381</v>
      </c>
      <c r="D582" s="2" t="s">
        <v>261</v>
      </c>
      <c r="E582" s="2" t="s">
        <v>3325</v>
      </c>
      <c r="F582" s="2" t="s">
        <v>3326</v>
      </c>
      <c r="G582" s="2" t="s">
        <v>3326</v>
      </c>
      <c r="H582" s="2" t="s">
        <v>3326</v>
      </c>
      <c r="I582" s="2" t="s">
        <v>3327</v>
      </c>
      <c r="J582" s="2" t="s">
        <v>275</v>
      </c>
      <c r="K582" s="2" t="s">
        <v>266</v>
      </c>
      <c r="L582" s="3">
        <v>52.38</v>
      </c>
      <c r="M582" s="3">
        <v>55</v>
      </c>
      <c r="N582" s="3">
        <v>109.99</v>
      </c>
      <c r="O582" s="2" t="s">
        <v>230</v>
      </c>
      <c r="P582" s="2" t="s">
        <v>586</v>
      </c>
      <c r="Q582" s="2" t="s">
        <v>232</v>
      </c>
      <c r="R582" s="2" t="s">
        <v>233</v>
      </c>
      <c r="S582" s="2" t="s">
        <v>3335</v>
      </c>
      <c r="T582" s="2" t="s">
        <v>233</v>
      </c>
      <c r="U582" s="2" t="s">
        <v>233</v>
      </c>
      <c r="V582" s="2" t="s">
        <v>236</v>
      </c>
      <c r="W582" s="2" t="s">
        <v>237</v>
      </c>
      <c r="X582" s="2" t="s">
        <v>233</v>
      </c>
      <c r="Y582" s="2" t="s">
        <v>3127</v>
      </c>
      <c r="Z582" s="4">
        <v>779</v>
      </c>
      <c r="AA582" s="4">
        <f>=ROUNDDOWN(33.8695652173913,0)</f>
      </c>
      <c r="AB582" s="5">
        <v>23</v>
      </c>
      <c r="AC582" s="2" t="s">
        <v>2230</v>
      </c>
      <c r="AD582" s="4">
        <v>160</v>
      </c>
      <c r="AE582" s="4">
        <v>310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233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233</v>
      </c>
      <c r="BD582" s="8" t="s">
        <v>233</v>
      </c>
      <c r="BE582" s="4" t="s">
        <v>233</v>
      </c>
      <c r="BF582" s="8" t="s">
        <v>233</v>
      </c>
      <c r="BG582" s="7" t="s">
        <v>233</v>
      </c>
      <c r="BH582" s="7" t="s">
        <v>233</v>
      </c>
      <c r="BI582" s="7"/>
      <c r="BJ582" s="4">
        <v>104</v>
      </c>
      <c r="BK582" s="8">
        <v>6287.22</v>
      </c>
      <c r="BL582" s="2" t="s">
        <v>3336</v>
      </c>
      <c r="BM582" s="7"/>
      <c r="BN582" s="7"/>
      <c r="BO582" s="4"/>
      <c r="BP582" s="8"/>
      <c r="BQ582" s="4"/>
      <c r="BR582" s="8"/>
      <c r="BS582" s="7"/>
      <c r="BT582" s="7"/>
      <c r="BU582" s="2" t="s">
        <v>3330</v>
      </c>
      <c r="BV582" s="2" t="s">
        <v>233</v>
      </c>
      <c r="BW582" s="2" t="s">
        <v>233</v>
      </c>
      <c r="BX582" s="2" t="s">
        <v>241</v>
      </c>
      <c r="BY582" s="2" t="s">
        <v>242</v>
      </c>
      <c r="BZ582" s="2" t="s">
        <v>230</v>
      </c>
      <c r="CA582" s="2" t="s">
        <v>844</v>
      </c>
      <c r="CB582" s="2" t="s">
        <v>3337</v>
      </c>
      <c r="CC582" s="2" t="s">
        <v>245</v>
      </c>
      <c r="CD582" s="2" t="s">
        <v>233</v>
      </c>
      <c r="CE582" s="4">
        <v>779</v>
      </c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>
        <v>160</v>
      </c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>
        <v>150</v>
      </c>
      <c r="FZ582" s="4"/>
      <c r="GA582" s="4"/>
      <c r="GB582" s="4"/>
      <c r="GC582" s="4">
        <v>790</v>
      </c>
      <c r="GD582" s="4">
        <v>729</v>
      </c>
      <c r="GE582" s="4">
        <v>669</v>
      </c>
      <c r="GF582" s="4">
        <v>613</v>
      </c>
      <c r="GG582" s="4">
        <v>495</v>
      </c>
      <c r="GH582" s="4">
        <v>446</v>
      </c>
      <c r="GI582" s="4">
        <v>401</v>
      </c>
      <c r="GJ582" s="4">
        <v>371</v>
      </c>
      <c r="GK582" s="4">
        <v>355</v>
      </c>
      <c r="GL582" s="4">
        <v>334</v>
      </c>
      <c r="GM582" s="4">
        <v>320</v>
      </c>
      <c r="GN582" s="4">
        <v>306</v>
      </c>
      <c r="GO582" s="4">
        <v>292</v>
      </c>
      <c r="GP582" s="4">
        <v>278</v>
      </c>
      <c r="GQ582" s="4">
        <v>266</v>
      </c>
      <c r="GR582" s="4">
        <v>401</v>
      </c>
      <c r="GS582" s="4">
        <v>376</v>
      </c>
      <c r="GT582" s="4">
        <v>349</v>
      </c>
      <c r="GU582" s="4">
        <v>324</v>
      </c>
      <c r="GV582" s="4">
        <v>444</v>
      </c>
      <c r="GW582" s="4">
        <v>414</v>
      </c>
      <c r="GX582" s="4">
        <v>384</v>
      </c>
      <c r="GY582" s="4">
        <v>354</v>
      </c>
      <c r="GZ582" s="4">
        <v>324</v>
      </c>
      <c r="HA582" s="4">
        <v>294</v>
      </c>
      <c r="HB582" s="4">
        <v>264</v>
      </c>
      <c r="HC582" s="19">
        <v>10.7</v>
      </c>
      <c r="HD582" s="19">
        <v>10.3</v>
      </c>
      <c r="HE582" s="19">
        <v>10</v>
      </c>
      <c r="HF582" s="19">
        <v>10.2</v>
      </c>
      <c r="HG582" s="19">
        <v>14.1</v>
      </c>
      <c r="HH582" s="19">
        <v>15.9</v>
      </c>
      <c r="HI582" s="19">
        <v>20.1</v>
      </c>
      <c r="HJ582" s="19">
        <v>23.2</v>
      </c>
      <c r="HK582" s="19">
        <v>22.2</v>
      </c>
      <c r="HL582" s="19">
        <v>23.9</v>
      </c>
      <c r="HM582" s="19">
        <v>22.9</v>
      </c>
      <c r="HN582" s="19">
        <v>19.1</v>
      </c>
      <c r="HO582" s="19">
        <v>15.4</v>
      </c>
      <c r="HP582" s="19">
        <v>12.6</v>
      </c>
      <c r="HQ582" s="19">
        <v>10.2</v>
      </c>
      <c r="HR582" s="19">
        <v>14.9</v>
      </c>
      <c r="HS582" s="19">
        <v>13.4</v>
      </c>
      <c r="HT582" s="19">
        <v>12</v>
      </c>
      <c r="HU582" s="19">
        <v>10.8</v>
      </c>
      <c r="HV582" s="19">
        <v>14.8</v>
      </c>
      <c r="HW582" s="19">
        <v>13.8</v>
      </c>
      <c r="HX582" s="19">
        <v>12.8</v>
      </c>
      <c r="HY582" s="19">
        <v>11.8</v>
      </c>
      <c r="HZ582" s="19">
        <v>10.8</v>
      </c>
      <c r="IA582" s="19">
        <v>11.3</v>
      </c>
      <c r="IB582" s="19">
        <v>11.5</v>
      </c>
    </row>
    <row r="583">
      <c r="A583" s="2" t="s">
        <v>3338</v>
      </c>
      <c r="B583" s="2" t="s">
        <v>811</v>
      </c>
      <c r="C583" s="2" t="s">
        <v>762</v>
      </c>
      <c r="D583" s="2" t="s">
        <v>1763</v>
      </c>
      <c r="E583" s="2" t="s">
        <v>1764</v>
      </c>
      <c r="F583" s="2" t="s">
        <v>3339</v>
      </c>
      <c r="G583" s="2" t="s">
        <v>3339</v>
      </c>
      <c r="H583" s="2" t="s">
        <v>3339</v>
      </c>
      <c r="I583" s="2" t="s">
        <v>3340</v>
      </c>
      <c r="J583" s="2" t="s">
        <v>741</v>
      </c>
      <c r="K583" s="2" t="s">
        <v>3341</v>
      </c>
      <c r="L583" s="3">
        <v>116.24</v>
      </c>
      <c r="M583" s="3">
        <v>122.05</v>
      </c>
      <c r="N583" s="3">
        <v>264.99</v>
      </c>
      <c r="O583" s="2" t="s">
        <v>230</v>
      </c>
      <c r="P583" s="2" t="s">
        <v>721</v>
      </c>
      <c r="Q583" s="2" t="s">
        <v>232</v>
      </c>
      <c r="R583" s="2" t="s">
        <v>233</v>
      </c>
      <c r="S583" s="2" t="s">
        <v>233</v>
      </c>
      <c r="T583" s="2" t="s">
        <v>233</v>
      </c>
      <c r="U583" s="2" t="s">
        <v>329</v>
      </c>
      <c r="V583" s="2" t="s">
        <v>609</v>
      </c>
      <c r="W583" s="2" t="s">
        <v>3342</v>
      </c>
      <c r="X583" s="2" t="s">
        <v>233</v>
      </c>
      <c r="Y583" s="2" t="s">
        <v>3343</v>
      </c>
      <c r="Z583" s="4">
        <v>105</v>
      </c>
      <c r="AA583" s="4">
        <f>=ROUNDDOWN(47.7272727272727,0)</f>
      </c>
      <c r="AB583" s="5">
        <v>2.2</v>
      </c>
      <c r="AC583" s="2" t="s">
        <v>233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233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 t="s">
        <v>233</v>
      </c>
      <c r="BD583" s="8" t="s">
        <v>233</v>
      </c>
      <c r="BE583" s="4" t="s">
        <v>233</v>
      </c>
      <c r="BF583" s="8" t="s">
        <v>233</v>
      </c>
      <c r="BG583" s="7" t="s">
        <v>233</v>
      </c>
      <c r="BH583" s="7" t="s">
        <v>233</v>
      </c>
      <c r="BI583" s="7"/>
      <c r="BJ583" s="4">
        <v>5</v>
      </c>
      <c r="BK583" s="8">
        <v>699.22</v>
      </c>
      <c r="BL583" s="2" t="s">
        <v>3344</v>
      </c>
      <c r="BM583" s="7"/>
      <c r="BN583" s="7"/>
      <c r="BO583" s="4"/>
      <c r="BP583" s="8"/>
      <c r="BQ583" s="4"/>
      <c r="BR583" s="8"/>
      <c r="BS583" s="7"/>
      <c r="BT583" s="7"/>
      <c r="BU583" s="2" t="s">
        <v>3345</v>
      </c>
      <c r="BV583" s="2" t="s">
        <v>233</v>
      </c>
      <c r="BW583" s="2" t="s">
        <v>233</v>
      </c>
      <c r="BX583" s="2" t="s">
        <v>241</v>
      </c>
      <c r="BY583" s="2" t="s">
        <v>242</v>
      </c>
      <c r="BZ583" s="2" t="s">
        <v>230</v>
      </c>
      <c r="CA583" s="2" t="s">
        <v>3346</v>
      </c>
      <c r="CB583" s="2" t="s">
        <v>3347</v>
      </c>
      <c r="CC583" s="2" t="s">
        <v>245</v>
      </c>
      <c r="CD583" s="2" t="s">
        <v>233</v>
      </c>
      <c r="CE583" s="4"/>
      <c r="CF583" s="4">
        <v>105</v>
      </c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>
        <v>107</v>
      </c>
      <c r="GD583" s="4">
        <v>97</v>
      </c>
      <c r="GE583" s="4">
        <v>94</v>
      </c>
      <c r="GF583" s="4">
        <v>91</v>
      </c>
      <c r="GG583" s="4">
        <v>87</v>
      </c>
      <c r="GH583" s="4">
        <v>84</v>
      </c>
      <c r="GI583" s="4">
        <v>81</v>
      </c>
      <c r="GJ583" s="4">
        <v>78</v>
      </c>
      <c r="GK583" s="4">
        <v>75</v>
      </c>
      <c r="GL583" s="4">
        <v>72</v>
      </c>
      <c r="GM583" s="4">
        <v>69</v>
      </c>
      <c r="GN583" s="4">
        <v>66</v>
      </c>
      <c r="GO583" s="4">
        <v>63</v>
      </c>
      <c r="GP583" s="4">
        <v>60</v>
      </c>
      <c r="GQ583" s="4">
        <v>57</v>
      </c>
      <c r="GR583" s="4">
        <v>54</v>
      </c>
      <c r="GS583" s="4">
        <v>51</v>
      </c>
      <c r="GT583" s="4">
        <v>48</v>
      </c>
      <c r="GU583" s="4">
        <v>45</v>
      </c>
      <c r="GV583" s="4">
        <v>42</v>
      </c>
      <c r="GW583" s="4">
        <v>39</v>
      </c>
      <c r="GX583" s="4">
        <v>36</v>
      </c>
      <c r="GY583" s="4">
        <v>33</v>
      </c>
      <c r="GZ583" s="4">
        <v>30</v>
      </c>
      <c r="HA583" s="4">
        <v>27</v>
      </c>
      <c r="HB583" s="4">
        <v>24</v>
      </c>
      <c r="HC583" s="19">
        <v>21.4</v>
      </c>
      <c r="HD583" s="19">
        <v>32.3</v>
      </c>
      <c r="HE583" s="19">
        <v>31.3</v>
      </c>
      <c r="HF583" s="19">
        <v>30.3</v>
      </c>
      <c r="HG583" s="19">
        <v>29</v>
      </c>
      <c r="HH583" s="19">
        <v>28</v>
      </c>
      <c r="HI583" s="19">
        <v>27</v>
      </c>
      <c r="HJ583" s="19">
        <v>26</v>
      </c>
      <c r="HK583" s="19">
        <v>25</v>
      </c>
      <c r="HL583" s="19">
        <v>24</v>
      </c>
      <c r="HM583" s="19">
        <v>23</v>
      </c>
      <c r="HN583" s="19">
        <v>22</v>
      </c>
      <c r="HO583" s="19">
        <v>21</v>
      </c>
      <c r="HP583" s="19">
        <v>20</v>
      </c>
      <c r="HQ583" s="19">
        <v>19</v>
      </c>
      <c r="HR583" s="19">
        <v>18</v>
      </c>
      <c r="HS583" s="19">
        <v>17</v>
      </c>
      <c r="HT583" s="19">
        <v>16</v>
      </c>
      <c r="HU583" s="19">
        <v>15</v>
      </c>
      <c r="HV583" s="19">
        <v>14</v>
      </c>
      <c r="HW583" s="19">
        <v>13</v>
      </c>
      <c r="HX583" s="19">
        <v>12</v>
      </c>
      <c r="HY583" s="19">
        <v>11</v>
      </c>
      <c r="HZ583" s="19">
        <v>10</v>
      </c>
      <c r="IA583" s="19">
        <v>9</v>
      </c>
      <c r="IB583" s="19">
        <v>8</v>
      </c>
    </row>
    <row r="584">
      <c r="A584" s="2" t="s">
        <v>3348</v>
      </c>
      <c r="B584" s="2" t="s">
        <v>761</v>
      </c>
      <c r="C584" s="2" t="s">
        <v>260</v>
      </c>
      <c r="D584" s="2" t="s">
        <v>1834</v>
      </c>
      <c r="E584" s="2" t="s">
        <v>1835</v>
      </c>
      <c r="F584" s="2" t="s">
        <v>3339</v>
      </c>
      <c r="G584" s="2" t="s">
        <v>3339</v>
      </c>
      <c r="H584" s="2" t="s">
        <v>3339</v>
      </c>
      <c r="I584" s="2" t="s">
        <v>3349</v>
      </c>
      <c r="J584" s="2" t="s">
        <v>741</v>
      </c>
      <c r="K584" s="2" t="s">
        <v>3350</v>
      </c>
      <c r="L584" s="3">
        <v>118.13</v>
      </c>
      <c r="M584" s="3">
        <v>124.04</v>
      </c>
      <c r="N584" s="3">
        <v>249</v>
      </c>
      <c r="O584" s="2" t="s">
        <v>230</v>
      </c>
      <c r="P584" s="2" t="s">
        <v>721</v>
      </c>
      <c r="Q584" s="2" t="s">
        <v>232</v>
      </c>
      <c r="R584" s="2" t="s">
        <v>233</v>
      </c>
      <c r="S584" s="2" t="s">
        <v>3351</v>
      </c>
      <c r="T584" s="2" t="s">
        <v>233</v>
      </c>
      <c r="U584" s="2" t="s">
        <v>233</v>
      </c>
      <c r="V584" s="2" t="s">
        <v>236</v>
      </c>
      <c r="W584" s="2" t="s">
        <v>818</v>
      </c>
      <c r="X584" s="2" t="s">
        <v>233</v>
      </c>
      <c r="Y584" s="2" t="s">
        <v>238</v>
      </c>
      <c r="Z584" s="4">
        <v>137</v>
      </c>
      <c r="AA584" s="4">
        <f>=ROUNDDOWN(27.4,0)</f>
      </c>
      <c r="AB584" s="5">
        <v>5</v>
      </c>
      <c r="AC584" s="2" t="s">
        <v>146</v>
      </c>
      <c r="AD584" s="4">
        <v>65</v>
      </c>
      <c r="AE584" s="4">
        <v>65</v>
      </c>
      <c r="AF584" s="6">
        <v>68</v>
      </c>
      <c r="AG584" s="6">
        <v>51</v>
      </c>
      <c r="AH584" s="7">
        <v>1</v>
      </c>
      <c r="AI584" s="4"/>
      <c r="AJ584" s="4">
        <f>=ROUNDDOWN({0},0)</f>
      </c>
      <c r="AK584" s="5"/>
      <c r="AL584" s="2" t="s">
        <v>233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 t="s">
        <v>233</v>
      </c>
      <c r="BD584" s="8" t="s">
        <v>233</v>
      </c>
      <c r="BE584" s="4" t="s">
        <v>233</v>
      </c>
      <c r="BF584" s="8" t="s">
        <v>233</v>
      </c>
      <c r="BG584" s="7" t="s">
        <v>233</v>
      </c>
      <c r="BH584" s="7" t="s">
        <v>233</v>
      </c>
      <c r="BI584" s="7"/>
      <c r="BJ584" s="4">
        <v>22</v>
      </c>
      <c r="BK584" s="8">
        <v>2785.6</v>
      </c>
      <c r="BL584" s="2" t="s">
        <v>3352</v>
      </c>
      <c r="BM584" s="7"/>
      <c r="BN584" s="7"/>
      <c r="BO584" s="4"/>
      <c r="BP584" s="8"/>
      <c r="BQ584" s="4"/>
      <c r="BR584" s="8"/>
      <c r="BS584" s="7"/>
      <c r="BT584" s="7"/>
      <c r="BU584" s="2" t="s">
        <v>3353</v>
      </c>
      <c r="BV584" s="2" t="s">
        <v>233</v>
      </c>
      <c r="BW584" s="2" t="s">
        <v>233</v>
      </c>
      <c r="BX584" s="2" t="s">
        <v>241</v>
      </c>
      <c r="BY584" s="2" t="s">
        <v>242</v>
      </c>
      <c r="BZ584" s="2" t="s">
        <v>230</v>
      </c>
      <c r="CA584" s="2" t="s">
        <v>487</v>
      </c>
      <c r="CB584" s="2" t="s">
        <v>949</v>
      </c>
      <c r="CC584" s="2" t="s">
        <v>245</v>
      </c>
      <c r="CD584" s="2" t="s">
        <v>233</v>
      </c>
      <c r="CE584" s="4"/>
      <c r="CF584" s="4">
        <v>137</v>
      </c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>
        <v>65</v>
      </c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>
        <v>146</v>
      </c>
      <c r="GD584" s="4">
        <v>135</v>
      </c>
      <c r="GE584" s="4">
        <v>128</v>
      </c>
      <c r="GF584" s="4">
        <v>188</v>
      </c>
      <c r="GG584" s="4">
        <v>177</v>
      </c>
      <c r="GH584" s="4">
        <v>170</v>
      </c>
      <c r="GI584" s="4">
        <v>165</v>
      </c>
      <c r="GJ584" s="4">
        <v>160</v>
      </c>
      <c r="GK584" s="4">
        <v>157</v>
      </c>
      <c r="GL584" s="4">
        <v>152</v>
      </c>
      <c r="GM584" s="4">
        <v>148</v>
      </c>
      <c r="GN584" s="4">
        <v>143</v>
      </c>
      <c r="GO584" s="4">
        <v>139</v>
      </c>
      <c r="GP584" s="4">
        <v>135</v>
      </c>
      <c r="GQ584" s="4">
        <v>129</v>
      </c>
      <c r="GR584" s="4">
        <v>123</v>
      </c>
      <c r="GS584" s="4">
        <v>117</v>
      </c>
      <c r="GT584" s="4">
        <v>111</v>
      </c>
      <c r="GU584" s="4">
        <v>107</v>
      </c>
      <c r="GV584" s="4">
        <v>102</v>
      </c>
      <c r="GW584" s="4">
        <v>97</v>
      </c>
      <c r="GX584" s="4">
        <v>92</v>
      </c>
      <c r="GY584" s="4">
        <v>87</v>
      </c>
      <c r="GZ584" s="4">
        <v>82</v>
      </c>
      <c r="HA584" s="4">
        <v>77</v>
      </c>
      <c r="HB584" s="4">
        <v>72</v>
      </c>
      <c r="HC584" s="19">
        <v>9.2</v>
      </c>
      <c r="HD584" s="19">
        <v>8.5</v>
      </c>
      <c r="HE584" s="19">
        <v>9.2</v>
      </c>
      <c r="HF584" s="19">
        <v>13.5</v>
      </c>
      <c r="HG584" s="19">
        <v>17.7</v>
      </c>
      <c r="HH584" s="19">
        <v>21.3</v>
      </c>
      <c r="HI584" s="19">
        <v>20.7</v>
      </c>
      <c r="HJ584" s="19">
        <v>20</v>
      </c>
      <c r="HK584" s="19">
        <v>19.7</v>
      </c>
      <c r="HL584" s="19">
        <v>19</v>
      </c>
      <c r="HM584" s="19">
        <v>14.8</v>
      </c>
      <c r="HN584" s="19">
        <v>14.3</v>
      </c>
      <c r="HO584" s="19">
        <v>11.6</v>
      </c>
      <c r="HP584" s="19">
        <v>11.3</v>
      </c>
      <c r="HQ584" s="19">
        <v>10.8</v>
      </c>
      <c r="HR584" s="19">
        <v>12.3</v>
      </c>
      <c r="HS584" s="19">
        <v>11.7</v>
      </c>
      <c r="HT584" s="19">
        <v>11.1</v>
      </c>
      <c r="HU584" s="19">
        <v>10.7</v>
      </c>
      <c r="HV584" s="19">
        <v>10.2</v>
      </c>
      <c r="HW584" s="19">
        <v>9.7</v>
      </c>
      <c r="HX584" s="19">
        <v>9.2</v>
      </c>
      <c r="HY584" s="19">
        <v>8.7</v>
      </c>
      <c r="HZ584" s="19">
        <v>8.2</v>
      </c>
      <c r="IA584" s="19">
        <v>7.7</v>
      </c>
      <c r="IB584" s="19">
        <v>7.2</v>
      </c>
    </row>
    <row r="585">
      <c r="A585" s="2" t="s">
        <v>3354</v>
      </c>
      <c r="B585" s="2" t="s">
        <v>222</v>
      </c>
      <c r="C585" s="2" t="s">
        <v>223</v>
      </c>
      <c r="D585" s="2" t="s">
        <v>224</v>
      </c>
      <c r="E585" s="2" t="s">
        <v>3009</v>
      </c>
      <c r="F585" s="2" t="s">
        <v>3355</v>
      </c>
      <c r="G585" s="2" t="s">
        <v>3356</v>
      </c>
      <c r="H585" s="2" t="s">
        <v>3356</v>
      </c>
      <c r="I585" s="2" t="s">
        <v>3357</v>
      </c>
      <c r="J585" s="2" t="s">
        <v>252</v>
      </c>
      <c r="K585" s="2" t="s">
        <v>266</v>
      </c>
      <c r="L585" s="3">
        <v>12.99</v>
      </c>
      <c r="M585" s="3">
        <v>13.64</v>
      </c>
      <c r="N585" s="3">
        <v>24.99</v>
      </c>
      <c r="O585" s="2" t="s">
        <v>230</v>
      </c>
      <c r="P585" s="2" t="s">
        <v>231</v>
      </c>
      <c r="Q585" s="2" t="s">
        <v>232</v>
      </c>
      <c r="R585" s="2" t="s">
        <v>233</v>
      </c>
      <c r="S585" s="2" t="s">
        <v>3358</v>
      </c>
      <c r="T585" s="2" t="s">
        <v>469</v>
      </c>
      <c r="U585" s="2" t="s">
        <v>233</v>
      </c>
      <c r="V585" s="2" t="s">
        <v>236</v>
      </c>
      <c r="W585" s="2" t="s">
        <v>237</v>
      </c>
      <c r="X585" s="2" t="s">
        <v>233</v>
      </c>
      <c r="Y585" s="2" t="s">
        <v>238</v>
      </c>
      <c r="Z585" s="4">
        <v>185</v>
      </c>
      <c r="AA585" s="4">
        <f>=ROUNDDOWN(9.25,0)</f>
      </c>
      <c r="AB585" s="5">
        <v>20</v>
      </c>
      <c r="AC585" s="2" t="s">
        <v>152</v>
      </c>
      <c r="AD585" s="4">
        <v>50</v>
      </c>
      <c r="AE585" s="4">
        <v>370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233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233</v>
      </c>
      <c r="AW585" s="8" t="s">
        <v>233</v>
      </c>
      <c r="AX585" s="4" t="s">
        <v>233</v>
      </c>
      <c r="AY585" s="8" t="s">
        <v>233</v>
      </c>
      <c r="AZ585" s="7" t="s">
        <v>233</v>
      </c>
      <c r="BA585" s="7" t="s">
        <v>233</v>
      </c>
      <c r="BB585" s="7"/>
      <c r="BC585" s="4" t="s">
        <v>233</v>
      </c>
      <c r="BD585" s="8" t="s">
        <v>233</v>
      </c>
      <c r="BE585" s="4" t="s">
        <v>233</v>
      </c>
      <c r="BF585" s="8" t="s">
        <v>233</v>
      </c>
      <c r="BG585" s="7" t="s">
        <v>233</v>
      </c>
      <c r="BH585" s="7" t="s">
        <v>233</v>
      </c>
      <c r="BI585" s="7"/>
      <c r="BJ585" s="4">
        <v>222</v>
      </c>
      <c r="BK585" s="8">
        <v>3807.26</v>
      </c>
      <c r="BL585" s="2" t="s">
        <v>699</v>
      </c>
      <c r="BM585" s="7"/>
      <c r="BN585" s="7"/>
      <c r="BO585" s="4"/>
      <c r="BP585" s="8"/>
      <c r="BQ585" s="4"/>
      <c r="BR585" s="8"/>
      <c r="BS585" s="7"/>
      <c r="BT585" s="7"/>
      <c r="BU585" s="2" t="s">
        <v>3359</v>
      </c>
      <c r="BV585" s="2" t="s">
        <v>233</v>
      </c>
      <c r="BW585" s="2" t="s">
        <v>233</v>
      </c>
      <c r="BX585" s="2" t="s">
        <v>241</v>
      </c>
      <c r="BY585" s="2" t="s">
        <v>242</v>
      </c>
      <c r="BZ585" s="2" t="s">
        <v>230</v>
      </c>
      <c r="CA585" s="2" t="s">
        <v>243</v>
      </c>
      <c r="CB585" s="2" t="s">
        <v>3360</v>
      </c>
      <c r="CC585" s="2" t="s">
        <v>245</v>
      </c>
      <c r="CD585" s="2" t="s">
        <v>233</v>
      </c>
      <c r="CE585" s="4">
        <v>125</v>
      </c>
      <c r="CF585" s="4"/>
      <c r="CG585" s="4"/>
      <c r="CH585" s="4"/>
      <c r="CI585" s="4"/>
      <c r="CJ585" s="4"/>
      <c r="CK585" s="4"/>
      <c r="CL585" s="4"/>
      <c r="CM585" s="4"/>
      <c r="CN585" s="4"/>
      <c r="CO585" s="4">
        <v>60</v>
      </c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>
        <v>50</v>
      </c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>
        <v>50</v>
      </c>
      <c r="EW585" s="4"/>
      <c r="EX585" s="4"/>
      <c r="EY585" s="4"/>
      <c r="EZ585" s="4"/>
      <c r="FA585" s="4"/>
      <c r="FB585" s="4"/>
      <c r="FC585" s="4"/>
      <c r="FD585" s="4">
        <v>100</v>
      </c>
      <c r="FE585" s="4"/>
      <c r="FF585" s="4"/>
      <c r="FG585" s="4"/>
      <c r="FH585" s="4"/>
      <c r="FI585" s="4"/>
      <c r="FJ585" s="4">
        <v>170</v>
      </c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>
        <v>198</v>
      </c>
      <c r="GD585" s="4">
        <v>165</v>
      </c>
      <c r="GE585" s="4">
        <v>135</v>
      </c>
      <c r="GF585" s="4">
        <v>109</v>
      </c>
      <c r="GG585" s="4">
        <v>113</v>
      </c>
      <c r="GH585" s="4">
        <v>79</v>
      </c>
      <c r="GI585" s="4">
        <v>43</v>
      </c>
      <c r="GJ585" s="4">
        <v>23</v>
      </c>
      <c r="GK585" s="4">
        <v>11</v>
      </c>
      <c r="GL585" s="4"/>
      <c r="GM585" s="4">
        <v>50</v>
      </c>
      <c r="GN585" s="4">
        <v>32</v>
      </c>
      <c r="GO585" s="4">
        <v>114</v>
      </c>
      <c r="GP585" s="4">
        <v>96</v>
      </c>
      <c r="GQ585" s="4">
        <v>248</v>
      </c>
      <c r="GR585" s="4">
        <v>230</v>
      </c>
      <c r="GS585" s="4">
        <v>212</v>
      </c>
      <c r="GT585" s="4">
        <v>192</v>
      </c>
      <c r="GU585" s="4">
        <v>174</v>
      </c>
      <c r="GV585" s="4">
        <v>154</v>
      </c>
      <c r="GW585" s="4">
        <v>134</v>
      </c>
      <c r="GX585" s="4">
        <v>114</v>
      </c>
      <c r="GY585" s="4">
        <v>94</v>
      </c>
      <c r="GZ585" s="4">
        <v>74</v>
      </c>
      <c r="HA585" s="4">
        <v>54</v>
      </c>
      <c r="HB585" s="4">
        <v>220</v>
      </c>
      <c r="HC585" s="19">
        <v>5.8</v>
      </c>
      <c r="HD585" s="19">
        <v>4.9</v>
      </c>
      <c r="HE585" s="19">
        <v>3.8</v>
      </c>
      <c r="HF585" s="19">
        <v>3.2</v>
      </c>
      <c r="HG585" s="19">
        <v>4.3</v>
      </c>
      <c r="HH585" s="19">
        <v>3.6</v>
      </c>
      <c r="HI585" s="19">
        <v>2.5</v>
      </c>
      <c r="HJ585" s="19">
        <v>1.4</v>
      </c>
      <c r="HK585" s="19">
        <v>0.6</v>
      </c>
      <c r="HL585" s="20">
        <v>0</v>
      </c>
      <c r="HM585" s="19">
        <v>2.8</v>
      </c>
      <c r="HN585" s="19">
        <v>1.8</v>
      </c>
      <c r="HO585" s="19">
        <v>6.3</v>
      </c>
      <c r="HP585" s="19">
        <v>5.3</v>
      </c>
      <c r="HQ585" s="19">
        <v>13.8</v>
      </c>
      <c r="HR585" s="19">
        <v>12.1</v>
      </c>
      <c r="HS585" s="19">
        <v>10.6</v>
      </c>
      <c r="HT585" s="19">
        <v>9.6</v>
      </c>
      <c r="HU585" s="19">
        <v>8.7</v>
      </c>
      <c r="HV585" s="19">
        <v>7.7</v>
      </c>
      <c r="HW585" s="19">
        <v>6.7</v>
      </c>
      <c r="HX585" s="19">
        <v>5.7</v>
      </c>
      <c r="HY585" s="19">
        <v>4.7</v>
      </c>
      <c r="HZ585" s="19">
        <v>3.7</v>
      </c>
      <c r="IA585" s="19">
        <v>2.7</v>
      </c>
      <c r="IB585" s="19">
        <v>11</v>
      </c>
    </row>
    <row r="586">
      <c r="A586" s="2" t="s">
        <v>3361</v>
      </c>
      <c r="B586" s="2" t="s">
        <v>222</v>
      </c>
      <c r="C586" s="2" t="s">
        <v>223</v>
      </c>
      <c r="D586" s="2" t="s">
        <v>224</v>
      </c>
      <c r="E586" s="2" t="s">
        <v>3009</v>
      </c>
      <c r="F586" s="2" t="s">
        <v>3355</v>
      </c>
      <c r="G586" s="2" t="s">
        <v>3356</v>
      </c>
      <c r="H586" s="2" t="s">
        <v>3356</v>
      </c>
      <c r="I586" s="2" t="s">
        <v>3357</v>
      </c>
      <c r="J586" s="2" t="s">
        <v>336</v>
      </c>
      <c r="K586" s="2" t="s">
        <v>266</v>
      </c>
      <c r="L586" s="3">
        <v>14.55</v>
      </c>
      <c r="M586" s="3">
        <v>15.28</v>
      </c>
      <c r="N586" s="3">
        <v>27.99</v>
      </c>
      <c r="O586" s="2" t="s">
        <v>230</v>
      </c>
      <c r="P586" s="2" t="s">
        <v>231</v>
      </c>
      <c r="Q586" s="2" t="s">
        <v>232</v>
      </c>
      <c r="R586" s="2" t="s">
        <v>233</v>
      </c>
      <c r="S586" s="2" t="s">
        <v>3358</v>
      </c>
      <c r="T586" s="2" t="s">
        <v>469</v>
      </c>
      <c r="U586" s="2" t="s">
        <v>233</v>
      </c>
      <c r="V586" s="2" t="s">
        <v>236</v>
      </c>
      <c r="W586" s="2" t="s">
        <v>237</v>
      </c>
      <c r="X586" s="2" t="s">
        <v>233</v>
      </c>
      <c r="Y586" s="2" t="s">
        <v>238</v>
      </c>
      <c r="Z586" s="4">
        <v>218</v>
      </c>
      <c r="AA586" s="4">
        <f>=ROUNDDOWN(4.36,0)</f>
      </c>
      <c r="AB586" s="5">
        <v>50</v>
      </c>
      <c r="AC586" s="2" t="s">
        <v>152</v>
      </c>
      <c r="AD586" s="4">
        <v>100</v>
      </c>
      <c r="AE586" s="4">
        <v>900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233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233</v>
      </c>
      <c r="AW586" s="8" t="s">
        <v>233</v>
      </c>
      <c r="AX586" s="4" t="s">
        <v>233</v>
      </c>
      <c r="AY586" s="8" t="s">
        <v>233</v>
      </c>
      <c r="AZ586" s="7" t="s">
        <v>233</v>
      </c>
      <c r="BA586" s="7" t="s">
        <v>233</v>
      </c>
      <c r="BB586" s="7"/>
      <c r="BC586" s="4" t="s">
        <v>233</v>
      </c>
      <c r="BD586" s="8" t="s">
        <v>233</v>
      </c>
      <c r="BE586" s="4" t="s">
        <v>233</v>
      </c>
      <c r="BF586" s="8" t="s">
        <v>233</v>
      </c>
      <c r="BG586" s="7" t="s">
        <v>233</v>
      </c>
      <c r="BH586" s="7" t="s">
        <v>233</v>
      </c>
      <c r="BI586" s="7"/>
      <c r="BJ586" s="4">
        <v>662</v>
      </c>
      <c r="BK586" s="8">
        <v>12936.95</v>
      </c>
      <c r="BL586" s="2" t="s">
        <v>276</v>
      </c>
      <c r="BM586" s="7"/>
      <c r="BN586" s="7"/>
      <c r="BO586" s="4"/>
      <c r="BP586" s="8"/>
      <c r="BQ586" s="4"/>
      <c r="BR586" s="8"/>
      <c r="BS586" s="7"/>
      <c r="BT586" s="7"/>
      <c r="BU586" s="2" t="s">
        <v>3359</v>
      </c>
      <c r="BV586" s="2" t="s">
        <v>233</v>
      </c>
      <c r="BW586" s="2" t="s">
        <v>233</v>
      </c>
      <c r="BX586" s="2" t="s">
        <v>241</v>
      </c>
      <c r="BY586" s="2" t="s">
        <v>242</v>
      </c>
      <c r="BZ586" s="2" t="s">
        <v>230</v>
      </c>
      <c r="CA586" s="2" t="s">
        <v>243</v>
      </c>
      <c r="CB586" s="2" t="s">
        <v>3362</v>
      </c>
      <c r="CC586" s="2" t="s">
        <v>245</v>
      </c>
      <c r="CD586" s="2" t="s">
        <v>233</v>
      </c>
      <c r="CE586" s="4">
        <v>38</v>
      </c>
      <c r="CF586" s="4"/>
      <c r="CG586" s="4"/>
      <c r="CH586" s="4"/>
      <c r="CI586" s="4"/>
      <c r="CJ586" s="4"/>
      <c r="CK586" s="4"/>
      <c r="CL586" s="4"/>
      <c r="CM586" s="4"/>
      <c r="CN586" s="4"/>
      <c r="CO586" s="4">
        <v>180</v>
      </c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>
        <v>100</v>
      </c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>
        <v>310</v>
      </c>
      <c r="EW586" s="4"/>
      <c r="EX586" s="4"/>
      <c r="EY586" s="4"/>
      <c r="EZ586" s="4"/>
      <c r="FA586" s="4"/>
      <c r="FB586" s="4"/>
      <c r="FC586" s="4"/>
      <c r="FD586" s="4">
        <v>320</v>
      </c>
      <c r="FE586" s="4"/>
      <c r="FF586" s="4"/>
      <c r="FG586" s="4"/>
      <c r="FH586" s="4"/>
      <c r="FI586" s="4"/>
      <c r="FJ586" s="4">
        <v>170</v>
      </c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>
        <v>219</v>
      </c>
      <c r="GD586" s="4">
        <v>163</v>
      </c>
      <c r="GE586" s="4">
        <v>83</v>
      </c>
      <c r="GF586" s="4">
        <v>18</v>
      </c>
      <c r="GG586" s="4">
        <v>100</v>
      </c>
      <c r="GH586" s="4">
        <v>20</v>
      </c>
      <c r="GI586" s="4"/>
      <c r="GJ586" s="4"/>
      <c r="GK586" s="4"/>
      <c r="GL586" s="4"/>
      <c r="GM586" s="4">
        <v>310</v>
      </c>
      <c r="GN586" s="4">
        <v>265</v>
      </c>
      <c r="GO586" s="4">
        <v>540</v>
      </c>
      <c r="GP586" s="4">
        <v>495</v>
      </c>
      <c r="GQ586" s="4">
        <v>620</v>
      </c>
      <c r="GR586" s="4">
        <v>570</v>
      </c>
      <c r="GS586" s="4">
        <v>520</v>
      </c>
      <c r="GT586" s="4">
        <v>465</v>
      </c>
      <c r="GU586" s="4">
        <v>415</v>
      </c>
      <c r="GV586" s="4">
        <v>365</v>
      </c>
      <c r="GW586" s="4">
        <v>315</v>
      </c>
      <c r="GX586" s="4">
        <v>265</v>
      </c>
      <c r="GY586" s="4">
        <v>215</v>
      </c>
      <c r="GZ586" s="4">
        <v>165</v>
      </c>
      <c r="HA586" s="4">
        <v>115</v>
      </c>
      <c r="HB586" s="4">
        <v>556</v>
      </c>
      <c r="HC586" s="19">
        <v>2.7</v>
      </c>
      <c r="HD586" s="19">
        <v>1.9</v>
      </c>
      <c r="HE586" s="19">
        <v>0.9</v>
      </c>
      <c r="HF586" s="19">
        <v>0.2</v>
      </c>
      <c r="HG586" s="19">
        <v>1.7</v>
      </c>
      <c r="HH586" s="19">
        <v>0.4</v>
      </c>
      <c r="HI586" s="20">
        <v>0</v>
      </c>
      <c r="HJ586" s="20">
        <v>0</v>
      </c>
      <c r="HK586" s="20">
        <v>0</v>
      </c>
      <c r="HL586" s="20">
        <v>0</v>
      </c>
      <c r="HM586" s="19">
        <v>6.9</v>
      </c>
      <c r="HN586" s="19">
        <v>5.8</v>
      </c>
      <c r="HO586" s="19">
        <v>11.3</v>
      </c>
      <c r="HP586" s="19">
        <v>9.9</v>
      </c>
      <c r="HQ586" s="19">
        <v>12.2</v>
      </c>
      <c r="HR586" s="19">
        <v>11.2</v>
      </c>
      <c r="HS586" s="19">
        <v>10.2</v>
      </c>
      <c r="HT586" s="19">
        <v>9.3</v>
      </c>
      <c r="HU586" s="19">
        <v>8.3</v>
      </c>
      <c r="HV586" s="19">
        <v>7.3</v>
      </c>
      <c r="HW586" s="19">
        <v>6.3</v>
      </c>
      <c r="HX586" s="19">
        <v>5.3</v>
      </c>
      <c r="HY586" s="19">
        <v>4.3</v>
      </c>
      <c r="HZ586" s="19">
        <v>3.3</v>
      </c>
      <c r="IA586" s="19">
        <v>2.3</v>
      </c>
      <c r="IB586" s="19">
        <v>11.1</v>
      </c>
    </row>
    <row r="587">
      <c r="A587" s="2" t="s">
        <v>3363</v>
      </c>
      <c r="B587" s="2" t="s">
        <v>222</v>
      </c>
      <c r="C587" s="2" t="s">
        <v>223</v>
      </c>
      <c r="D587" s="2" t="s">
        <v>224</v>
      </c>
      <c r="E587" s="2" t="s">
        <v>3009</v>
      </c>
      <c r="F587" s="2" t="s">
        <v>3355</v>
      </c>
      <c r="G587" s="2" t="s">
        <v>3356</v>
      </c>
      <c r="H587" s="2" t="s">
        <v>3356</v>
      </c>
      <c r="I587" s="2" t="s">
        <v>3357</v>
      </c>
      <c r="J587" s="2" t="s">
        <v>256</v>
      </c>
      <c r="K587" s="2" t="s">
        <v>266</v>
      </c>
      <c r="L587" s="3">
        <v>17.15</v>
      </c>
      <c r="M587" s="3">
        <v>18.01</v>
      </c>
      <c r="N587" s="3">
        <v>32.99</v>
      </c>
      <c r="O587" s="2" t="s">
        <v>230</v>
      </c>
      <c r="P587" s="2" t="s">
        <v>231</v>
      </c>
      <c r="Q587" s="2" t="s">
        <v>232</v>
      </c>
      <c r="R587" s="2" t="s">
        <v>233</v>
      </c>
      <c r="S587" s="2" t="s">
        <v>3358</v>
      </c>
      <c r="T587" s="2" t="s">
        <v>469</v>
      </c>
      <c r="U587" s="2" t="s">
        <v>233</v>
      </c>
      <c r="V587" s="2" t="s">
        <v>236</v>
      </c>
      <c r="W587" s="2" t="s">
        <v>237</v>
      </c>
      <c r="X587" s="2" t="s">
        <v>233</v>
      </c>
      <c r="Y587" s="2" t="s">
        <v>238</v>
      </c>
      <c r="Z587" s="4">
        <v>65</v>
      </c>
      <c r="AA587" s="4">
        <f>=ROUNDDOWN(3.25,0)</f>
      </c>
      <c r="AB587" s="5">
        <v>20</v>
      </c>
      <c r="AC587" s="2" t="s">
        <v>152</v>
      </c>
      <c r="AD587" s="4">
        <v>50</v>
      </c>
      <c r="AE587" s="4">
        <v>370</v>
      </c>
      <c r="AF587" s="6">
        <v>65</v>
      </c>
      <c r="AG587" s="6"/>
      <c r="AH587" s="7">
        <v>0.7419</v>
      </c>
      <c r="AI587" s="4"/>
      <c r="AJ587" s="4">
        <f>=ROUNDDOWN({0},0)</f>
      </c>
      <c r="AK587" s="5"/>
      <c r="AL587" s="2" t="s">
        <v>233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233</v>
      </c>
      <c r="AW587" s="8" t="s">
        <v>233</v>
      </c>
      <c r="AX587" s="4" t="s">
        <v>233</v>
      </c>
      <c r="AY587" s="8" t="s">
        <v>233</v>
      </c>
      <c r="AZ587" s="7" t="s">
        <v>233</v>
      </c>
      <c r="BA587" s="7" t="s">
        <v>233</v>
      </c>
      <c r="BB587" s="7"/>
      <c r="BC587" s="4" t="s">
        <v>233</v>
      </c>
      <c r="BD587" s="8" t="s">
        <v>233</v>
      </c>
      <c r="BE587" s="4" t="s">
        <v>233</v>
      </c>
      <c r="BF587" s="8" t="s">
        <v>233</v>
      </c>
      <c r="BG587" s="7" t="s">
        <v>233</v>
      </c>
      <c r="BH587" s="7" t="s">
        <v>233</v>
      </c>
      <c r="BI587" s="7"/>
      <c r="BJ587" s="4">
        <v>243</v>
      </c>
      <c r="BK587" s="8">
        <v>5779.95</v>
      </c>
      <c r="BL587" s="2" t="s">
        <v>699</v>
      </c>
      <c r="BM587" s="7"/>
      <c r="BN587" s="7"/>
      <c r="BO587" s="4"/>
      <c r="BP587" s="8"/>
      <c r="BQ587" s="4"/>
      <c r="BR587" s="8"/>
      <c r="BS587" s="7"/>
      <c r="BT587" s="7"/>
      <c r="BU587" s="2" t="s">
        <v>3359</v>
      </c>
      <c r="BV587" s="2" t="s">
        <v>233</v>
      </c>
      <c r="BW587" s="2" t="s">
        <v>233</v>
      </c>
      <c r="BX587" s="2" t="s">
        <v>241</v>
      </c>
      <c r="BY587" s="2" t="s">
        <v>242</v>
      </c>
      <c r="BZ587" s="2" t="s">
        <v>230</v>
      </c>
      <c r="CA587" s="2" t="s">
        <v>243</v>
      </c>
      <c r="CB587" s="2" t="s">
        <v>3360</v>
      </c>
      <c r="CC587" s="2" t="s">
        <v>245</v>
      </c>
      <c r="CD587" s="2" t="s">
        <v>233</v>
      </c>
      <c r="CE587" s="4">
        <v>14</v>
      </c>
      <c r="CF587" s="4"/>
      <c r="CG587" s="4"/>
      <c r="CH587" s="4">
        <v>41</v>
      </c>
      <c r="CI587" s="4"/>
      <c r="CJ587" s="4"/>
      <c r="CK587" s="4"/>
      <c r="CL587" s="4"/>
      <c r="CM587" s="4"/>
      <c r="CN587" s="4"/>
      <c r="CO587" s="4">
        <v>10</v>
      </c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>
        <v>50</v>
      </c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>
        <v>100</v>
      </c>
      <c r="EW587" s="4"/>
      <c r="EX587" s="4"/>
      <c r="EY587" s="4"/>
      <c r="EZ587" s="4"/>
      <c r="FA587" s="4"/>
      <c r="FB587" s="4"/>
      <c r="FC587" s="4"/>
      <c r="FD587" s="4">
        <v>160</v>
      </c>
      <c r="FE587" s="4"/>
      <c r="FF587" s="4"/>
      <c r="FG587" s="4"/>
      <c r="FH587" s="4"/>
      <c r="FI587" s="4"/>
      <c r="FJ587" s="4">
        <v>60</v>
      </c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>
        <v>83</v>
      </c>
      <c r="GD587" s="4">
        <v>45</v>
      </c>
      <c r="GE587" s="4">
        <v>13</v>
      </c>
      <c r="GF587" s="4"/>
      <c r="GG587" s="4">
        <v>50</v>
      </c>
      <c r="GH587" s="4">
        <v>22</v>
      </c>
      <c r="GI587" s="4"/>
      <c r="GJ587" s="4"/>
      <c r="GK587" s="4"/>
      <c r="GL587" s="4"/>
      <c r="GM587" s="4">
        <v>100</v>
      </c>
      <c r="GN587" s="4">
        <v>80</v>
      </c>
      <c r="GO587" s="4">
        <v>220</v>
      </c>
      <c r="GP587" s="4">
        <v>200</v>
      </c>
      <c r="GQ587" s="4">
        <v>240</v>
      </c>
      <c r="GR587" s="4">
        <v>220</v>
      </c>
      <c r="GS587" s="4">
        <v>200</v>
      </c>
      <c r="GT587" s="4">
        <v>178</v>
      </c>
      <c r="GU587" s="4">
        <v>158</v>
      </c>
      <c r="GV587" s="4">
        <v>138</v>
      </c>
      <c r="GW587" s="4">
        <v>118</v>
      </c>
      <c r="GX587" s="4">
        <v>98</v>
      </c>
      <c r="GY587" s="4">
        <v>78</v>
      </c>
      <c r="GZ587" s="4">
        <v>60</v>
      </c>
      <c r="HA587" s="4">
        <v>42</v>
      </c>
      <c r="HB587" s="4">
        <v>198</v>
      </c>
      <c r="HC587" s="19">
        <v>2.3</v>
      </c>
      <c r="HD587" s="19">
        <v>1.3</v>
      </c>
      <c r="HE587" s="19">
        <v>0.4</v>
      </c>
      <c r="HF587" s="20">
        <v>0</v>
      </c>
      <c r="HG587" s="19">
        <v>2.4</v>
      </c>
      <c r="HH587" s="19">
        <v>1.2</v>
      </c>
      <c r="HI587" s="20">
        <v>0</v>
      </c>
      <c r="HJ587" s="20">
        <v>0</v>
      </c>
      <c r="HK587" s="20">
        <v>0</v>
      </c>
      <c r="HL587" s="20">
        <v>0</v>
      </c>
      <c r="HM587" s="19">
        <v>5</v>
      </c>
      <c r="HN587" s="19">
        <v>4</v>
      </c>
      <c r="HO587" s="19">
        <v>11</v>
      </c>
      <c r="HP587" s="19">
        <v>10</v>
      </c>
      <c r="HQ587" s="19">
        <v>12</v>
      </c>
      <c r="HR587" s="19">
        <v>11</v>
      </c>
      <c r="HS587" s="19">
        <v>10</v>
      </c>
      <c r="HT587" s="19">
        <v>8.9</v>
      </c>
      <c r="HU587" s="19">
        <v>7.9</v>
      </c>
      <c r="HV587" s="19">
        <v>6.9</v>
      </c>
      <c r="HW587" s="19">
        <v>6.2</v>
      </c>
      <c r="HX587" s="19">
        <v>5.4</v>
      </c>
      <c r="HY587" s="19">
        <v>4.3</v>
      </c>
      <c r="HZ587" s="19">
        <v>3.3</v>
      </c>
      <c r="IA587" s="19">
        <v>2.3</v>
      </c>
      <c r="IB587" s="19">
        <v>11</v>
      </c>
    </row>
    <row r="588">
      <c r="A588" s="2" t="s">
        <v>3364</v>
      </c>
      <c r="B588" s="2" t="s">
        <v>773</v>
      </c>
      <c r="C588" s="2" t="s">
        <v>280</v>
      </c>
      <c r="D588" s="2" t="s">
        <v>261</v>
      </c>
      <c r="E588" s="2" t="s">
        <v>895</v>
      </c>
      <c r="F588" s="2" t="s">
        <v>3365</v>
      </c>
      <c r="G588" s="2" t="s">
        <v>3366</v>
      </c>
      <c r="H588" s="2" t="s">
        <v>3366</v>
      </c>
      <c r="I588" s="2" t="s">
        <v>3367</v>
      </c>
      <c r="J588" s="2" t="s">
        <v>228</v>
      </c>
      <c r="K588" s="2" t="s">
        <v>3368</v>
      </c>
      <c r="L588" s="3">
        <v>26.28</v>
      </c>
      <c r="M588" s="3">
        <v>27.59</v>
      </c>
      <c r="N588" s="3">
        <v>59.99</v>
      </c>
      <c r="O588" s="2" t="s">
        <v>230</v>
      </c>
      <c r="P588" s="2" t="s">
        <v>231</v>
      </c>
      <c r="Q588" s="2" t="s">
        <v>232</v>
      </c>
      <c r="R588" s="2" t="s">
        <v>233</v>
      </c>
      <c r="S588" s="2" t="s">
        <v>3369</v>
      </c>
      <c r="T588" s="2" t="s">
        <v>913</v>
      </c>
      <c r="U588" s="2" t="s">
        <v>711</v>
      </c>
      <c r="V588" s="2" t="s">
        <v>349</v>
      </c>
      <c r="W588" s="2" t="s">
        <v>1141</v>
      </c>
      <c r="X588" s="2" t="s">
        <v>916</v>
      </c>
      <c r="Y588" s="2" t="s">
        <v>3370</v>
      </c>
      <c r="Z588" s="4">
        <v>69</v>
      </c>
      <c r="AA588" s="4">
        <f>=ROUNDDOWN(34.5,0)</f>
      </c>
      <c r="AB588" s="5">
        <v>2</v>
      </c>
      <c r="AC588" s="2" t="s">
        <v>151</v>
      </c>
      <c r="AD588" s="4">
        <v>20</v>
      </c>
      <c r="AE588" s="4">
        <v>42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233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/>
      <c r="BD588" s="8"/>
      <c r="BE588" s="4"/>
      <c r="BF588" s="8"/>
      <c r="BG588" s="7"/>
      <c r="BH588" s="7"/>
      <c r="BI588" s="7"/>
      <c r="BJ588" s="4">
        <v>7</v>
      </c>
      <c r="BK588" s="8">
        <v>208.6</v>
      </c>
      <c r="BL588" s="2" t="s">
        <v>1660</v>
      </c>
      <c r="BM588" s="7"/>
      <c r="BN588" s="7"/>
      <c r="BO588" s="4"/>
      <c r="BP588" s="8"/>
      <c r="BQ588" s="4"/>
      <c r="BR588" s="8"/>
      <c r="BS588" s="7"/>
      <c r="BT588" s="7"/>
      <c r="BU588" s="2" t="s">
        <v>3371</v>
      </c>
      <c r="BV588" s="2" t="s">
        <v>233</v>
      </c>
      <c r="BW588" s="2" t="s">
        <v>233</v>
      </c>
      <c r="BX588" s="2" t="s">
        <v>241</v>
      </c>
      <c r="BY588" s="2" t="s">
        <v>242</v>
      </c>
      <c r="BZ588" s="2" t="s">
        <v>230</v>
      </c>
      <c r="CA588" s="2" t="s">
        <v>1749</v>
      </c>
      <c r="CB588" s="2" t="s">
        <v>3372</v>
      </c>
      <c r="CC588" s="2" t="s">
        <v>245</v>
      </c>
      <c r="CD588" s="2" t="s">
        <v>233</v>
      </c>
      <c r="CE588" s="4">
        <v>69</v>
      </c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>
        <v>20</v>
      </c>
      <c r="DN588" s="4"/>
      <c r="DO588" s="4"/>
      <c r="DP588" s="4">
        <v>22</v>
      </c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>
        <v>70</v>
      </c>
      <c r="GD588" s="4">
        <v>67</v>
      </c>
      <c r="GE588" s="4">
        <v>63</v>
      </c>
      <c r="GF588" s="4">
        <v>58</v>
      </c>
      <c r="GG588" s="4">
        <v>67</v>
      </c>
      <c r="GH588" s="4">
        <v>86</v>
      </c>
      <c r="GI588" s="4">
        <v>82</v>
      </c>
      <c r="GJ588" s="4">
        <v>79</v>
      </c>
      <c r="GK588" s="4">
        <v>78</v>
      </c>
      <c r="GL588" s="4">
        <v>74</v>
      </c>
      <c r="GM588" s="4">
        <v>72</v>
      </c>
      <c r="GN588" s="4">
        <v>72</v>
      </c>
      <c r="GO588" s="4">
        <v>71</v>
      </c>
      <c r="GP588" s="4">
        <v>70</v>
      </c>
      <c r="GQ588" s="4">
        <v>69</v>
      </c>
      <c r="GR588" s="4">
        <v>68</v>
      </c>
      <c r="GS588" s="4">
        <v>67</v>
      </c>
      <c r="GT588" s="4">
        <v>66</v>
      </c>
      <c r="GU588" s="4">
        <v>65</v>
      </c>
      <c r="GV588" s="4">
        <v>64</v>
      </c>
      <c r="GW588" s="4">
        <v>63</v>
      </c>
      <c r="GX588" s="4">
        <v>62</v>
      </c>
      <c r="GY588" s="4">
        <v>61</v>
      </c>
      <c r="GZ588" s="4">
        <v>60</v>
      </c>
      <c r="HA588" s="4">
        <v>59</v>
      </c>
      <c r="HB588" s="4">
        <v>58</v>
      </c>
      <c r="HC588" s="19">
        <v>11.7</v>
      </c>
      <c r="HD588" s="19">
        <v>11.2</v>
      </c>
      <c r="HE588" s="19">
        <v>10.5</v>
      </c>
      <c r="HF588" s="19">
        <v>11.6</v>
      </c>
      <c r="HG588" s="19">
        <v>22.3</v>
      </c>
      <c r="HH588" s="19">
        <v>28.7</v>
      </c>
      <c r="HI588" s="19">
        <v>41</v>
      </c>
      <c r="HJ588" s="19">
        <v>39.5</v>
      </c>
      <c r="HK588" s="19">
        <v>39</v>
      </c>
      <c r="HL588" s="19">
        <v>74</v>
      </c>
      <c r="HM588" s="19">
        <v>72</v>
      </c>
      <c r="HN588" s="19">
        <v>72</v>
      </c>
      <c r="HO588" s="19">
        <v>71</v>
      </c>
      <c r="HP588" s="19">
        <v>70</v>
      </c>
      <c r="HQ588" s="19">
        <v>69</v>
      </c>
      <c r="HR588" s="19">
        <v>68</v>
      </c>
      <c r="HS588" s="19">
        <v>67</v>
      </c>
      <c r="HT588" s="19">
        <v>66</v>
      </c>
      <c r="HU588" s="19">
        <v>65</v>
      </c>
      <c r="HV588" s="19">
        <v>64</v>
      </c>
      <c r="HW588" s="19">
        <v>63</v>
      </c>
      <c r="HX588" s="19">
        <v>62</v>
      </c>
      <c r="HY588" s="19">
        <v>61</v>
      </c>
      <c r="HZ588" s="19">
        <v>60</v>
      </c>
      <c r="IA588" s="19">
        <v>59</v>
      </c>
      <c r="IB588" s="19">
        <v>58</v>
      </c>
    </row>
    <row r="589">
      <c r="A589" s="2" t="s">
        <v>3373</v>
      </c>
      <c r="B589" s="2" t="s">
        <v>761</v>
      </c>
      <c r="C589" s="2" t="s">
        <v>762</v>
      </c>
      <c r="D589" s="2" t="s">
        <v>3374</v>
      </c>
      <c r="E589" s="2" t="s">
        <v>3375</v>
      </c>
      <c r="F589" s="2" t="s">
        <v>3376</v>
      </c>
      <c r="G589" s="2" t="s">
        <v>3376</v>
      </c>
      <c r="H589" s="2" t="s">
        <v>3376</v>
      </c>
      <c r="I589" s="2" t="s">
        <v>3377</v>
      </c>
      <c r="J589" s="2" t="s">
        <v>741</v>
      </c>
      <c r="K589" s="2" t="s">
        <v>955</v>
      </c>
      <c r="L589" s="3">
        <v>189</v>
      </c>
      <c r="M589" s="3">
        <v>198.45</v>
      </c>
      <c r="N589" s="3">
        <v>399</v>
      </c>
      <c r="O589" s="2" t="s">
        <v>230</v>
      </c>
      <c r="P589" s="2" t="s">
        <v>231</v>
      </c>
      <c r="Q589" s="2" t="s">
        <v>232</v>
      </c>
      <c r="R589" s="2" t="s">
        <v>233</v>
      </c>
      <c r="S589" s="2" t="s">
        <v>233</v>
      </c>
      <c r="T589" s="2" t="s">
        <v>233</v>
      </c>
      <c r="U589" s="2" t="s">
        <v>329</v>
      </c>
      <c r="V589" s="2" t="s">
        <v>609</v>
      </c>
      <c r="W589" s="2" t="s">
        <v>620</v>
      </c>
      <c r="X589" s="2" t="s">
        <v>233</v>
      </c>
      <c r="Y589" s="2" t="s">
        <v>3378</v>
      </c>
      <c r="Z589" s="4">
        <v>68</v>
      </c>
      <c r="AA589" s="4">
        <f>=ROUNDDOWN(22.6666666666667,0)</f>
      </c>
      <c r="AB589" s="5">
        <v>3</v>
      </c>
      <c r="AC589" s="2" t="s">
        <v>3379</v>
      </c>
      <c r="AD589" s="4">
        <v>50</v>
      </c>
      <c r="AE589" s="4">
        <v>100</v>
      </c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233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>
        <v>12</v>
      </c>
      <c r="BK589" s="8">
        <v>2759.81</v>
      </c>
      <c r="BL589" s="2" t="s">
        <v>3380</v>
      </c>
      <c r="BM589" s="7"/>
      <c r="BN589" s="7"/>
      <c r="BO589" s="4"/>
      <c r="BP589" s="8"/>
      <c r="BQ589" s="4"/>
      <c r="BR589" s="8"/>
      <c r="BS589" s="7"/>
      <c r="BT589" s="7"/>
      <c r="BU589" s="2" t="s">
        <v>3381</v>
      </c>
      <c r="BV589" s="2" t="s">
        <v>233</v>
      </c>
      <c r="BW589" s="2" t="s">
        <v>233</v>
      </c>
      <c r="BX589" s="2" t="s">
        <v>241</v>
      </c>
      <c r="BY589" s="2" t="s">
        <v>242</v>
      </c>
      <c r="BZ589" s="2" t="s">
        <v>230</v>
      </c>
      <c r="CA589" s="2" t="s">
        <v>3382</v>
      </c>
      <c r="CB589" s="2" t="s">
        <v>2024</v>
      </c>
      <c r="CC589" s="2" t="s">
        <v>245</v>
      </c>
      <c r="CD589" s="2" t="s">
        <v>233</v>
      </c>
      <c r="CE589" s="4"/>
      <c r="CF589" s="4">
        <v>68</v>
      </c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>
        <v>50</v>
      </c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>
        <v>50</v>
      </c>
      <c r="GA589" s="4"/>
      <c r="GB589" s="4"/>
      <c r="GC589" s="4">
        <v>70</v>
      </c>
      <c r="GD589" s="4">
        <v>66</v>
      </c>
      <c r="GE589" s="4">
        <v>63</v>
      </c>
      <c r="GF589" s="4">
        <v>60</v>
      </c>
      <c r="GG589" s="4">
        <v>55</v>
      </c>
      <c r="GH589" s="4">
        <v>50</v>
      </c>
      <c r="GI589" s="4">
        <v>47</v>
      </c>
      <c r="GJ589" s="4">
        <v>45</v>
      </c>
      <c r="GK589" s="4">
        <v>42</v>
      </c>
      <c r="GL589" s="4">
        <v>39</v>
      </c>
      <c r="GM589" s="4">
        <v>37</v>
      </c>
      <c r="GN589" s="4">
        <v>34</v>
      </c>
      <c r="GO589" s="4">
        <v>82</v>
      </c>
      <c r="GP589" s="4">
        <v>80</v>
      </c>
      <c r="GQ589" s="4">
        <v>77</v>
      </c>
      <c r="GR589" s="4">
        <v>74</v>
      </c>
      <c r="GS589" s="4">
        <v>71</v>
      </c>
      <c r="GT589" s="4">
        <v>68</v>
      </c>
      <c r="GU589" s="4">
        <v>65</v>
      </c>
      <c r="GV589" s="4">
        <v>62</v>
      </c>
      <c r="GW589" s="4">
        <v>109</v>
      </c>
      <c r="GX589" s="4">
        <v>106</v>
      </c>
      <c r="GY589" s="4">
        <v>103</v>
      </c>
      <c r="GZ589" s="4">
        <v>100</v>
      </c>
      <c r="HA589" s="4">
        <v>97</v>
      </c>
      <c r="HB589" s="4">
        <v>94</v>
      </c>
      <c r="HC589" s="19">
        <v>17.5</v>
      </c>
      <c r="HD589" s="19">
        <v>16.5</v>
      </c>
      <c r="HE589" s="19">
        <v>15.8</v>
      </c>
      <c r="HF589" s="19">
        <v>15</v>
      </c>
      <c r="HG589" s="19">
        <v>18.3</v>
      </c>
      <c r="HH589" s="19">
        <v>16.7</v>
      </c>
      <c r="HI589" s="19">
        <v>23.5</v>
      </c>
      <c r="HJ589" s="19">
        <v>15</v>
      </c>
      <c r="HK589" s="19">
        <v>21</v>
      </c>
      <c r="HL589" s="19">
        <v>19.5</v>
      </c>
      <c r="HM589" s="19">
        <v>18.5</v>
      </c>
      <c r="HN589" s="19">
        <v>17</v>
      </c>
      <c r="HO589" s="19">
        <v>27.3</v>
      </c>
      <c r="HP589" s="19">
        <v>26.7</v>
      </c>
      <c r="HQ589" s="19">
        <v>25.7</v>
      </c>
      <c r="HR589" s="19">
        <v>24.7</v>
      </c>
      <c r="HS589" s="19">
        <v>23.7</v>
      </c>
      <c r="HT589" s="19">
        <v>22.7</v>
      </c>
      <c r="HU589" s="19">
        <v>21.7</v>
      </c>
      <c r="HV589" s="19">
        <v>20.7</v>
      </c>
      <c r="HW589" s="19">
        <v>36.3</v>
      </c>
      <c r="HX589" s="19">
        <v>35.3</v>
      </c>
      <c r="HY589" s="19">
        <v>34.3</v>
      </c>
      <c r="HZ589" s="19">
        <v>33.3</v>
      </c>
      <c r="IA589" s="19">
        <v>32.3</v>
      </c>
      <c r="IB589" s="19">
        <v>31.3</v>
      </c>
    </row>
    <row r="590">
      <c r="A590" s="2" t="s">
        <v>3383</v>
      </c>
      <c r="B590" s="2" t="s">
        <v>222</v>
      </c>
      <c r="C590" s="2" t="s">
        <v>280</v>
      </c>
      <c r="D590" s="2" t="s">
        <v>261</v>
      </c>
      <c r="E590" s="2" t="s">
        <v>262</v>
      </c>
      <c r="F590" s="2" t="s">
        <v>3384</v>
      </c>
      <c r="G590" s="2" t="s">
        <v>3384</v>
      </c>
      <c r="H590" s="2" t="s">
        <v>3384</v>
      </c>
      <c r="I590" s="2" t="s">
        <v>2150</v>
      </c>
      <c r="J590" s="2" t="s">
        <v>1052</v>
      </c>
      <c r="K590" s="2" t="s">
        <v>266</v>
      </c>
      <c r="L590" s="3">
        <v>18.28</v>
      </c>
      <c r="M590" s="3">
        <v>19.19</v>
      </c>
      <c r="N590" s="3">
        <v>39.99</v>
      </c>
      <c r="O590" s="2" t="s">
        <v>230</v>
      </c>
      <c r="P590" s="2" t="s">
        <v>231</v>
      </c>
      <c r="Q590" s="2" t="s">
        <v>232</v>
      </c>
      <c r="R590" s="2" t="s">
        <v>233</v>
      </c>
      <c r="S590" s="2" t="s">
        <v>3385</v>
      </c>
      <c r="T590" s="2" t="s">
        <v>469</v>
      </c>
      <c r="U590" s="2" t="s">
        <v>329</v>
      </c>
      <c r="V590" s="2" t="s">
        <v>782</v>
      </c>
      <c r="W590" s="2" t="s">
        <v>237</v>
      </c>
      <c r="X590" s="2" t="s">
        <v>620</v>
      </c>
      <c r="Y590" s="2" t="s">
        <v>3386</v>
      </c>
      <c r="Z590" s="4">
        <v>75</v>
      </c>
      <c r="AA590" s="4">
        <f>=ROUNDDOWN(18.75,0)</f>
      </c>
      <c r="AB590" s="5">
        <v>4</v>
      </c>
      <c r="AC590" s="2" t="s">
        <v>233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233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233</v>
      </c>
      <c r="AW590" s="8" t="s">
        <v>233</v>
      </c>
      <c r="AX590" s="4" t="s">
        <v>233</v>
      </c>
      <c r="AY590" s="8" t="s">
        <v>233</v>
      </c>
      <c r="AZ590" s="7" t="s">
        <v>233</v>
      </c>
      <c r="BA590" s="7" t="s">
        <v>233</v>
      </c>
      <c r="BB590" s="7"/>
      <c r="BC590" s="4" t="s">
        <v>233</v>
      </c>
      <c r="BD590" s="8" t="s">
        <v>233</v>
      </c>
      <c r="BE590" s="4" t="s">
        <v>233</v>
      </c>
      <c r="BF590" s="8" t="s">
        <v>233</v>
      </c>
      <c r="BG590" s="7" t="s">
        <v>233</v>
      </c>
      <c r="BH590" s="7" t="s">
        <v>233</v>
      </c>
      <c r="BI590" s="7"/>
      <c r="BJ590" s="4">
        <v>26</v>
      </c>
      <c r="BK590" s="8">
        <v>526.04</v>
      </c>
      <c r="BL590" s="2" t="s">
        <v>3387</v>
      </c>
      <c r="BM590" s="7"/>
      <c r="BN590" s="7"/>
      <c r="BO590" s="4"/>
      <c r="BP590" s="8"/>
      <c r="BQ590" s="4"/>
      <c r="BR590" s="8"/>
      <c r="BS590" s="7"/>
      <c r="BT590" s="7"/>
      <c r="BU590" s="2" t="s">
        <v>3388</v>
      </c>
      <c r="BV590" s="2" t="s">
        <v>233</v>
      </c>
      <c r="BW590" s="2" t="s">
        <v>233</v>
      </c>
      <c r="BX590" s="2" t="s">
        <v>241</v>
      </c>
      <c r="BY590" s="2" t="s">
        <v>242</v>
      </c>
      <c r="BZ590" s="2" t="s">
        <v>230</v>
      </c>
      <c r="CA590" s="2" t="s">
        <v>3389</v>
      </c>
      <c r="CB590" s="2" t="s">
        <v>1937</v>
      </c>
      <c r="CC590" s="2" t="s">
        <v>245</v>
      </c>
      <c r="CD590" s="2" t="s">
        <v>233</v>
      </c>
      <c r="CE590" s="4">
        <v>75</v>
      </c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>
        <v>82</v>
      </c>
      <c r="GD590" s="4">
        <v>70</v>
      </c>
      <c r="GE590" s="4">
        <v>59</v>
      </c>
      <c r="GF590" s="4">
        <v>49</v>
      </c>
      <c r="GG590" s="4">
        <v>28</v>
      </c>
      <c r="GH590" s="4">
        <v>17</v>
      </c>
      <c r="GI590" s="4">
        <v>7</v>
      </c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19">
        <v>5.9</v>
      </c>
      <c r="HD590" s="19">
        <v>5.4</v>
      </c>
      <c r="HE590" s="19">
        <v>4.5</v>
      </c>
      <c r="HF590" s="19">
        <v>4.1</v>
      </c>
      <c r="HG590" s="19">
        <v>3.5</v>
      </c>
      <c r="HH590" s="19">
        <v>2.8</v>
      </c>
      <c r="HI590" s="19">
        <v>1.8</v>
      </c>
      <c r="HJ590" s="20">
        <v>0</v>
      </c>
      <c r="HK590" s="20">
        <v>0</v>
      </c>
      <c r="HL590" s="20">
        <v>0</v>
      </c>
      <c r="HM590" s="20">
        <v>0</v>
      </c>
      <c r="HN590" s="20">
        <v>0</v>
      </c>
      <c r="HO590" s="20">
        <v>0</v>
      </c>
      <c r="HP590" s="20">
        <v>0</v>
      </c>
      <c r="HQ590" s="20">
        <v>0</v>
      </c>
      <c r="HR590" s="20">
        <v>0</v>
      </c>
      <c r="HS590" s="20">
        <v>0</v>
      </c>
      <c r="HT590" s="20">
        <v>0</v>
      </c>
      <c r="HU590" s="20">
        <v>0</v>
      </c>
      <c r="HV590" s="20">
        <v>0</v>
      </c>
      <c r="HW590" s="20">
        <v>0</v>
      </c>
      <c r="HX590" s="20">
        <v>0</v>
      </c>
      <c r="HY590" s="20">
        <v>0</v>
      </c>
      <c r="HZ590" s="20">
        <v>0</v>
      </c>
      <c r="IA590" s="20">
        <v>0</v>
      </c>
      <c r="IB590" s="20">
        <v>0</v>
      </c>
    </row>
    <row r="591">
      <c r="A591" s="2" t="s">
        <v>3390</v>
      </c>
      <c r="B591" s="2" t="s">
        <v>222</v>
      </c>
      <c r="C591" s="2" t="s">
        <v>280</v>
      </c>
      <c r="D591" s="2" t="s">
        <v>261</v>
      </c>
      <c r="E591" s="2" t="s">
        <v>262</v>
      </c>
      <c r="F591" s="2" t="s">
        <v>3384</v>
      </c>
      <c r="G591" s="2" t="s">
        <v>3384</v>
      </c>
      <c r="H591" s="2" t="s">
        <v>3384</v>
      </c>
      <c r="I591" s="2" t="s">
        <v>2150</v>
      </c>
      <c r="J591" s="2" t="s">
        <v>265</v>
      </c>
      <c r="K591" s="2" t="s">
        <v>266</v>
      </c>
      <c r="L591" s="3">
        <v>22.85</v>
      </c>
      <c r="M591" s="3">
        <v>23.99</v>
      </c>
      <c r="N591" s="3">
        <v>49.99</v>
      </c>
      <c r="O591" s="2" t="s">
        <v>230</v>
      </c>
      <c r="P591" s="2" t="s">
        <v>231</v>
      </c>
      <c r="Q591" s="2" t="s">
        <v>232</v>
      </c>
      <c r="R591" s="2" t="s">
        <v>233</v>
      </c>
      <c r="S591" s="2" t="s">
        <v>3385</v>
      </c>
      <c r="T591" s="2" t="s">
        <v>469</v>
      </c>
      <c r="U591" s="2" t="s">
        <v>329</v>
      </c>
      <c r="V591" s="2" t="s">
        <v>782</v>
      </c>
      <c r="W591" s="2" t="s">
        <v>237</v>
      </c>
      <c r="X591" s="2" t="s">
        <v>620</v>
      </c>
      <c r="Y591" s="2" t="s">
        <v>1474</v>
      </c>
      <c r="Z591" s="4">
        <v>170</v>
      </c>
      <c r="AA591" s="4">
        <f>=ROUNDDOWN(28.3333333333333,0)</f>
      </c>
      <c r="AB591" s="5">
        <v>6</v>
      </c>
      <c r="AC591" s="2" t="s">
        <v>233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233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233</v>
      </c>
      <c r="AW591" s="8" t="s">
        <v>233</v>
      </c>
      <c r="AX591" s="4" t="s">
        <v>233</v>
      </c>
      <c r="AY591" s="8" t="s">
        <v>233</v>
      </c>
      <c r="AZ591" s="7" t="s">
        <v>233</v>
      </c>
      <c r="BA591" s="7" t="s">
        <v>233</v>
      </c>
      <c r="BB591" s="7"/>
      <c r="BC591" s="4" t="s">
        <v>233</v>
      </c>
      <c r="BD591" s="8" t="s">
        <v>233</v>
      </c>
      <c r="BE591" s="4" t="s">
        <v>233</v>
      </c>
      <c r="BF591" s="8" t="s">
        <v>233</v>
      </c>
      <c r="BG591" s="7" t="s">
        <v>233</v>
      </c>
      <c r="BH591" s="7" t="s">
        <v>233</v>
      </c>
      <c r="BI591" s="7"/>
      <c r="BJ591" s="4">
        <v>55</v>
      </c>
      <c r="BK591" s="8">
        <v>1395.77</v>
      </c>
      <c r="BL591" s="2" t="s">
        <v>3391</v>
      </c>
      <c r="BM591" s="7"/>
      <c r="BN591" s="7"/>
      <c r="BO591" s="4"/>
      <c r="BP591" s="8"/>
      <c r="BQ591" s="4"/>
      <c r="BR591" s="8"/>
      <c r="BS591" s="7"/>
      <c r="BT591" s="7"/>
      <c r="BU591" s="2" t="s">
        <v>3388</v>
      </c>
      <c r="BV591" s="2" t="s">
        <v>233</v>
      </c>
      <c r="BW591" s="2" t="s">
        <v>233</v>
      </c>
      <c r="BX591" s="2" t="s">
        <v>241</v>
      </c>
      <c r="BY591" s="2" t="s">
        <v>242</v>
      </c>
      <c r="BZ591" s="2" t="s">
        <v>230</v>
      </c>
      <c r="CA591" s="2" t="s">
        <v>3389</v>
      </c>
      <c r="CB591" s="2" t="s">
        <v>3392</v>
      </c>
      <c r="CC591" s="2" t="s">
        <v>245</v>
      </c>
      <c r="CD591" s="2" t="s">
        <v>233</v>
      </c>
      <c r="CE591" s="4">
        <v>170</v>
      </c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>
        <v>179</v>
      </c>
      <c r="GD591" s="4">
        <v>163</v>
      </c>
      <c r="GE591" s="4">
        <v>144</v>
      </c>
      <c r="GF591" s="4">
        <v>127</v>
      </c>
      <c r="GG591" s="4">
        <v>91</v>
      </c>
      <c r="GH591" s="4">
        <v>75</v>
      </c>
      <c r="GI591" s="4">
        <v>60</v>
      </c>
      <c r="GJ591" s="4">
        <v>50</v>
      </c>
      <c r="GK591" s="4">
        <v>45</v>
      </c>
      <c r="GL591" s="4">
        <v>40</v>
      </c>
      <c r="GM591" s="4">
        <v>36</v>
      </c>
      <c r="GN591" s="4">
        <v>32</v>
      </c>
      <c r="GO591" s="4">
        <v>28</v>
      </c>
      <c r="GP591" s="4">
        <v>24</v>
      </c>
      <c r="GQ591" s="4">
        <v>21</v>
      </c>
      <c r="GR591" s="4">
        <v>15</v>
      </c>
      <c r="GS591" s="4">
        <v>9</v>
      </c>
      <c r="GT591" s="4">
        <v>2</v>
      </c>
      <c r="GU591" s="4"/>
      <c r="GV591" s="4"/>
      <c r="GW591" s="4"/>
      <c r="GX591" s="4"/>
      <c r="GY591" s="4"/>
      <c r="GZ591" s="4"/>
      <c r="HA591" s="4"/>
      <c r="HB591" s="4"/>
      <c r="HC591" s="19">
        <v>8.1</v>
      </c>
      <c r="HD591" s="19">
        <v>7.4</v>
      </c>
      <c r="HE591" s="19">
        <v>6.9</v>
      </c>
      <c r="HF591" s="19">
        <v>6.7</v>
      </c>
      <c r="HG591" s="19">
        <v>7.6</v>
      </c>
      <c r="HH591" s="19">
        <v>8.3</v>
      </c>
      <c r="HI591" s="19">
        <v>10</v>
      </c>
      <c r="HJ591" s="19">
        <v>12.5</v>
      </c>
      <c r="HK591" s="19">
        <v>11.3</v>
      </c>
      <c r="HL591" s="19">
        <v>10</v>
      </c>
      <c r="HM591" s="19">
        <v>9</v>
      </c>
      <c r="HN591" s="19">
        <v>8</v>
      </c>
      <c r="HO591" s="19">
        <v>5.6</v>
      </c>
      <c r="HP591" s="19">
        <v>4</v>
      </c>
      <c r="HQ591" s="19">
        <v>3.5</v>
      </c>
      <c r="HR591" s="19">
        <v>2.1</v>
      </c>
      <c r="HS591" s="19">
        <v>1.3</v>
      </c>
      <c r="HT591" s="19">
        <v>0.3</v>
      </c>
      <c r="HU591" s="20">
        <v>0</v>
      </c>
      <c r="HV591" s="20">
        <v>0</v>
      </c>
      <c r="HW591" s="20">
        <v>0</v>
      </c>
      <c r="HX591" s="20">
        <v>0</v>
      </c>
      <c r="HY591" s="20">
        <v>0</v>
      </c>
      <c r="HZ591" s="20">
        <v>0</v>
      </c>
      <c r="IA591" s="20">
        <v>0</v>
      </c>
      <c r="IB591" s="20">
        <v>0</v>
      </c>
    </row>
    <row r="592">
      <c r="A592" s="2" t="s">
        <v>3393</v>
      </c>
      <c r="B592" s="2" t="s">
        <v>222</v>
      </c>
      <c r="C592" s="2" t="s">
        <v>280</v>
      </c>
      <c r="D592" s="2" t="s">
        <v>261</v>
      </c>
      <c r="E592" s="2" t="s">
        <v>262</v>
      </c>
      <c r="F592" s="2" t="s">
        <v>3384</v>
      </c>
      <c r="G592" s="2" t="s">
        <v>3384</v>
      </c>
      <c r="H592" s="2" t="s">
        <v>3384</v>
      </c>
      <c r="I592" s="2" t="s">
        <v>2150</v>
      </c>
      <c r="J592" s="2" t="s">
        <v>275</v>
      </c>
      <c r="K592" s="2" t="s">
        <v>266</v>
      </c>
      <c r="L592" s="3">
        <v>25.14</v>
      </c>
      <c r="M592" s="3">
        <v>26.4</v>
      </c>
      <c r="N592" s="3">
        <v>54.99</v>
      </c>
      <c r="O592" s="2" t="s">
        <v>230</v>
      </c>
      <c r="P592" s="2" t="s">
        <v>231</v>
      </c>
      <c r="Q592" s="2" t="s">
        <v>232</v>
      </c>
      <c r="R592" s="2" t="s">
        <v>233</v>
      </c>
      <c r="S592" s="2" t="s">
        <v>3385</v>
      </c>
      <c r="T592" s="2" t="s">
        <v>469</v>
      </c>
      <c r="U592" s="2" t="s">
        <v>329</v>
      </c>
      <c r="V592" s="2" t="s">
        <v>782</v>
      </c>
      <c r="W592" s="2" t="s">
        <v>237</v>
      </c>
      <c r="X592" s="2" t="s">
        <v>620</v>
      </c>
      <c r="Y592" s="2" t="s">
        <v>3386</v>
      </c>
      <c r="Z592" s="4">
        <v>278</v>
      </c>
      <c r="AA592" s="4">
        <f>=ROUNDDOWN(46.3333333333333,0)</f>
      </c>
      <c r="AB592" s="5">
        <v>6</v>
      </c>
      <c r="AC592" s="2" t="s">
        <v>233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233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233</v>
      </c>
      <c r="AW592" s="8" t="s">
        <v>233</v>
      </c>
      <c r="AX592" s="4" t="s">
        <v>233</v>
      </c>
      <c r="AY592" s="8" t="s">
        <v>233</v>
      </c>
      <c r="AZ592" s="7" t="s">
        <v>233</v>
      </c>
      <c r="BA592" s="7" t="s">
        <v>233</v>
      </c>
      <c r="BB592" s="7"/>
      <c r="BC592" s="4" t="s">
        <v>233</v>
      </c>
      <c r="BD592" s="8" t="s">
        <v>233</v>
      </c>
      <c r="BE592" s="4" t="s">
        <v>233</v>
      </c>
      <c r="BF592" s="8" t="s">
        <v>233</v>
      </c>
      <c r="BG592" s="7" t="s">
        <v>233</v>
      </c>
      <c r="BH592" s="7" t="s">
        <v>233</v>
      </c>
      <c r="BI592" s="7"/>
      <c r="BJ592" s="4">
        <v>58</v>
      </c>
      <c r="BK592" s="8">
        <v>1658.78</v>
      </c>
      <c r="BL592" s="2" t="s">
        <v>565</v>
      </c>
      <c r="BM592" s="7"/>
      <c r="BN592" s="7"/>
      <c r="BO592" s="4"/>
      <c r="BP592" s="8"/>
      <c r="BQ592" s="4"/>
      <c r="BR592" s="8"/>
      <c r="BS592" s="7"/>
      <c r="BT592" s="7"/>
      <c r="BU592" s="2" t="s">
        <v>3388</v>
      </c>
      <c r="BV592" s="2" t="s">
        <v>233</v>
      </c>
      <c r="BW592" s="2" t="s">
        <v>233</v>
      </c>
      <c r="BX592" s="2" t="s">
        <v>241</v>
      </c>
      <c r="BY592" s="2" t="s">
        <v>242</v>
      </c>
      <c r="BZ592" s="2" t="s">
        <v>230</v>
      </c>
      <c r="CA592" s="2" t="s">
        <v>3389</v>
      </c>
      <c r="CB592" s="2" t="s">
        <v>3394</v>
      </c>
      <c r="CC592" s="2" t="s">
        <v>245</v>
      </c>
      <c r="CD592" s="2" t="s">
        <v>233</v>
      </c>
      <c r="CE592" s="4">
        <v>278</v>
      </c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>
        <v>287</v>
      </c>
      <c r="GD592" s="4">
        <v>270</v>
      </c>
      <c r="GE592" s="4">
        <v>254</v>
      </c>
      <c r="GF592" s="4">
        <v>239</v>
      </c>
      <c r="GG592" s="4">
        <v>207</v>
      </c>
      <c r="GH592" s="4">
        <v>194</v>
      </c>
      <c r="GI592" s="4">
        <v>182</v>
      </c>
      <c r="GJ592" s="4">
        <v>174</v>
      </c>
      <c r="GK592" s="4">
        <v>170</v>
      </c>
      <c r="GL592" s="4">
        <v>165</v>
      </c>
      <c r="GM592" s="4">
        <v>161</v>
      </c>
      <c r="GN592" s="4">
        <v>157</v>
      </c>
      <c r="GO592" s="4">
        <v>153</v>
      </c>
      <c r="GP592" s="4">
        <v>149</v>
      </c>
      <c r="GQ592" s="4">
        <v>146</v>
      </c>
      <c r="GR592" s="4">
        <v>139</v>
      </c>
      <c r="GS592" s="4">
        <v>132</v>
      </c>
      <c r="GT592" s="4">
        <v>125</v>
      </c>
      <c r="GU592" s="4">
        <v>118</v>
      </c>
      <c r="GV592" s="4">
        <v>110</v>
      </c>
      <c r="GW592" s="4">
        <v>102</v>
      </c>
      <c r="GX592" s="4">
        <v>94</v>
      </c>
      <c r="GY592" s="4">
        <v>86</v>
      </c>
      <c r="GZ592" s="4">
        <v>78</v>
      </c>
      <c r="HA592" s="4">
        <v>70</v>
      </c>
      <c r="HB592" s="4">
        <v>62</v>
      </c>
      <c r="HC592" s="19">
        <v>14.4</v>
      </c>
      <c r="HD592" s="19">
        <v>14.2</v>
      </c>
      <c r="HE592" s="19">
        <v>14.1</v>
      </c>
      <c r="HF592" s="19">
        <v>14.9</v>
      </c>
      <c r="HG592" s="19">
        <v>23</v>
      </c>
      <c r="HH592" s="19">
        <v>27.7</v>
      </c>
      <c r="HI592" s="19">
        <v>36.4</v>
      </c>
      <c r="HJ592" s="19">
        <v>43.5</v>
      </c>
      <c r="HK592" s="19">
        <v>42.5</v>
      </c>
      <c r="HL592" s="19">
        <v>41.3</v>
      </c>
      <c r="HM592" s="19">
        <v>40.3</v>
      </c>
      <c r="HN592" s="19">
        <v>39.3</v>
      </c>
      <c r="HO592" s="19">
        <v>30.6</v>
      </c>
      <c r="HP592" s="19">
        <v>24.8</v>
      </c>
      <c r="HQ592" s="19">
        <v>20.9</v>
      </c>
      <c r="HR592" s="19">
        <v>19.9</v>
      </c>
      <c r="HS592" s="19">
        <v>16.5</v>
      </c>
      <c r="HT592" s="19">
        <v>15.6</v>
      </c>
      <c r="HU592" s="19">
        <v>14.8</v>
      </c>
      <c r="HV592" s="19">
        <v>13.8</v>
      </c>
      <c r="HW592" s="19">
        <v>12.8</v>
      </c>
      <c r="HX592" s="19">
        <v>11.8</v>
      </c>
      <c r="HY592" s="19">
        <v>10.8</v>
      </c>
      <c r="HZ592" s="19">
        <v>9.8</v>
      </c>
      <c r="IA592" s="19">
        <v>10</v>
      </c>
      <c r="IB592" s="19">
        <v>10.3</v>
      </c>
    </row>
    <row r="593">
      <c r="A593" s="2" t="s">
        <v>3395</v>
      </c>
      <c r="B593" s="2" t="s">
        <v>872</v>
      </c>
      <c r="C593" s="2" t="s">
        <v>280</v>
      </c>
      <c r="D593" s="2" t="s">
        <v>774</v>
      </c>
      <c r="E593" s="2" t="s">
        <v>827</v>
      </c>
      <c r="F593" s="2" t="s">
        <v>3396</v>
      </c>
      <c r="G593" s="2" t="s">
        <v>3397</v>
      </c>
      <c r="H593" s="2" t="s">
        <v>3398</v>
      </c>
      <c r="I593" s="2" t="s">
        <v>3399</v>
      </c>
      <c r="J593" s="2" t="s">
        <v>265</v>
      </c>
      <c r="K593" s="2" t="s">
        <v>3400</v>
      </c>
      <c r="L593" s="3">
        <v>22.85</v>
      </c>
      <c r="M593" s="3">
        <v>23.99</v>
      </c>
      <c r="N593" s="3">
        <v>49.99</v>
      </c>
      <c r="O593" s="2" t="s">
        <v>230</v>
      </c>
      <c r="P593" s="2" t="s">
        <v>231</v>
      </c>
      <c r="Q593" s="2" t="s">
        <v>232</v>
      </c>
      <c r="R593" s="2" t="s">
        <v>233</v>
      </c>
      <c r="S593" s="2" t="s">
        <v>3401</v>
      </c>
      <c r="T593" s="2" t="s">
        <v>469</v>
      </c>
      <c r="U593" s="2" t="s">
        <v>287</v>
      </c>
      <c r="V593" s="2" t="s">
        <v>782</v>
      </c>
      <c r="W593" s="2" t="s">
        <v>3402</v>
      </c>
      <c r="X593" s="2" t="s">
        <v>233</v>
      </c>
      <c r="Y593" s="2" t="s">
        <v>3403</v>
      </c>
      <c r="Z593" s="4">
        <v>31</v>
      </c>
      <c r="AA593" s="4">
        <f>=ROUNDDOWN(6.2,0)</f>
      </c>
      <c r="AB593" s="5">
        <v>5</v>
      </c>
      <c r="AC593" s="2" t="s">
        <v>171</v>
      </c>
      <c r="AD593" s="4">
        <v>110</v>
      </c>
      <c r="AE593" s="4">
        <v>195</v>
      </c>
      <c r="AF593" s="6">
        <v>69</v>
      </c>
      <c r="AG593" s="6"/>
      <c r="AH593" s="7">
        <v>0.2903</v>
      </c>
      <c r="AI593" s="4"/>
      <c r="AJ593" s="4">
        <f>=ROUNDDOWN({0},0)</f>
      </c>
      <c r="AK593" s="5"/>
      <c r="AL593" s="2" t="s">
        <v>233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233</v>
      </c>
      <c r="AW593" s="8" t="s">
        <v>233</v>
      </c>
      <c r="AX593" s="4" t="s">
        <v>233</v>
      </c>
      <c r="AY593" s="8" t="s">
        <v>233</v>
      </c>
      <c r="AZ593" s="7" t="s">
        <v>233</v>
      </c>
      <c r="BA593" s="7" t="s">
        <v>233</v>
      </c>
      <c r="BB593" s="7"/>
      <c r="BC593" s="4" t="s">
        <v>233</v>
      </c>
      <c r="BD593" s="8" t="s">
        <v>233</v>
      </c>
      <c r="BE593" s="4" t="s">
        <v>233</v>
      </c>
      <c r="BF593" s="8" t="s">
        <v>233</v>
      </c>
      <c r="BG593" s="7" t="s">
        <v>233</v>
      </c>
      <c r="BH593" s="7" t="s">
        <v>233</v>
      </c>
      <c r="BI593" s="7"/>
      <c r="BJ593" s="4">
        <v>1</v>
      </c>
      <c r="BK593" s="8">
        <v>26.28</v>
      </c>
      <c r="BL593" s="2" t="s">
        <v>351</v>
      </c>
      <c r="BM593" s="7"/>
      <c r="BN593" s="7"/>
      <c r="BO593" s="4"/>
      <c r="BP593" s="8"/>
      <c r="BQ593" s="4"/>
      <c r="BR593" s="8"/>
      <c r="BS593" s="7"/>
      <c r="BT593" s="7"/>
      <c r="BU593" s="2" t="s">
        <v>3404</v>
      </c>
      <c r="BV593" s="2" t="s">
        <v>233</v>
      </c>
      <c r="BW593" s="2" t="s">
        <v>233</v>
      </c>
      <c r="BX593" s="2" t="s">
        <v>241</v>
      </c>
      <c r="BY593" s="2" t="s">
        <v>242</v>
      </c>
      <c r="BZ593" s="2" t="s">
        <v>230</v>
      </c>
      <c r="CA593" s="2" t="s">
        <v>3405</v>
      </c>
      <c r="CB593" s="2" t="s">
        <v>440</v>
      </c>
      <c r="CC593" s="2" t="s">
        <v>245</v>
      </c>
      <c r="CD593" s="2" t="s">
        <v>233</v>
      </c>
      <c r="CE593" s="4">
        <v>31</v>
      </c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>
        <v>110</v>
      </c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>
        <v>85</v>
      </c>
      <c r="GB593" s="4"/>
      <c r="GC593" s="4">
        <v>34</v>
      </c>
      <c r="GD593" s="4">
        <v>16</v>
      </c>
      <c r="GE593" s="4">
        <v>10</v>
      </c>
      <c r="GF593" s="4">
        <v>3</v>
      </c>
      <c r="GG593" s="4"/>
      <c r="GH593" s="4"/>
      <c r="GI593" s="4"/>
      <c r="GJ593" s="4">
        <v>110</v>
      </c>
      <c r="GK593" s="4">
        <v>98</v>
      </c>
      <c r="GL593" s="4">
        <v>93</v>
      </c>
      <c r="GM593" s="4">
        <v>88</v>
      </c>
      <c r="GN593" s="4">
        <v>83</v>
      </c>
      <c r="GO593" s="4">
        <v>78</v>
      </c>
      <c r="GP593" s="4">
        <v>73</v>
      </c>
      <c r="GQ593" s="4">
        <v>68</v>
      </c>
      <c r="GR593" s="4">
        <v>63</v>
      </c>
      <c r="GS593" s="4">
        <v>58</v>
      </c>
      <c r="GT593" s="4">
        <v>53</v>
      </c>
      <c r="GU593" s="4">
        <v>48</v>
      </c>
      <c r="GV593" s="4">
        <v>43</v>
      </c>
      <c r="GW593" s="4">
        <v>123</v>
      </c>
      <c r="GX593" s="4">
        <v>118</v>
      </c>
      <c r="GY593" s="4">
        <v>113</v>
      </c>
      <c r="GZ593" s="4">
        <v>108</v>
      </c>
      <c r="HA593" s="4">
        <v>103</v>
      </c>
      <c r="HB593" s="4">
        <v>98</v>
      </c>
      <c r="HC593" s="19">
        <v>3.4</v>
      </c>
      <c r="HD593" s="19">
        <v>2.3</v>
      </c>
      <c r="HE593" s="19">
        <v>1.7</v>
      </c>
      <c r="HF593" s="19">
        <v>0.5</v>
      </c>
      <c r="HG593" s="20">
        <v>0</v>
      </c>
      <c r="HH593" s="20">
        <v>0</v>
      </c>
      <c r="HI593" s="20">
        <v>0</v>
      </c>
      <c r="HJ593" s="19">
        <v>15.7</v>
      </c>
      <c r="HK593" s="19">
        <v>19.6</v>
      </c>
      <c r="HL593" s="19">
        <v>18.6</v>
      </c>
      <c r="HM593" s="19">
        <v>17.6</v>
      </c>
      <c r="HN593" s="19">
        <v>16.6</v>
      </c>
      <c r="HO593" s="19">
        <v>15.6</v>
      </c>
      <c r="HP593" s="19">
        <v>14.6</v>
      </c>
      <c r="HQ593" s="19">
        <v>13.6</v>
      </c>
      <c r="HR593" s="19">
        <v>12.6</v>
      </c>
      <c r="HS593" s="19">
        <v>11.6</v>
      </c>
      <c r="HT593" s="19">
        <v>10.6</v>
      </c>
      <c r="HU593" s="19">
        <v>9.6</v>
      </c>
      <c r="HV593" s="19">
        <v>8.6</v>
      </c>
      <c r="HW593" s="19">
        <v>24.6</v>
      </c>
      <c r="HX593" s="19">
        <v>23.6</v>
      </c>
      <c r="HY593" s="19">
        <v>22.6</v>
      </c>
      <c r="HZ593" s="19">
        <v>21.6</v>
      </c>
      <c r="IA593" s="19">
        <v>20.6</v>
      </c>
      <c r="IB593" s="19">
        <v>19.6</v>
      </c>
    </row>
    <row r="594">
      <c r="A594" s="2" t="s">
        <v>3406</v>
      </c>
      <c r="B594" s="2" t="s">
        <v>872</v>
      </c>
      <c r="C594" s="2" t="s">
        <v>280</v>
      </c>
      <c r="D594" s="2" t="s">
        <v>774</v>
      </c>
      <c r="E594" s="2" t="s">
        <v>827</v>
      </c>
      <c r="F594" s="2" t="s">
        <v>3396</v>
      </c>
      <c r="G594" s="2" t="s">
        <v>3397</v>
      </c>
      <c r="H594" s="2" t="s">
        <v>3398</v>
      </c>
      <c r="I594" s="2" t="s">
        <v>3399</v>
      </c>
      <c r="J594" s="2" t="s">
        <v>275</v>
      </c>
      <c r="K594" s="2" t="s">
        <v>3400</v>
      </c>
      <c r="L594" s="3">
        <v>27.42</v>
      </c>
      <c r="M594" s="3">
        <v>28.79</v>
      </c>
      <c r="N594" s="3">
        <v>59.99</v>
      </c>
      <c r="O594" s="2" t="s">
        <v>230</v>
      </c>
      <c r="P594" s="2" t="s">
        <v>231</v>
      </c>
      <c r="Q594" s="2" t="s">
        <v>232</v>
      </c>
      <c r="R594" s="2" t="s">
        <v>233</v>
      </c>
      <c r="S594" s="2" t="s">
        <v>3401</v>
      </c>
      <c r="T594" s="2" t="s">
        <v>469</v>
      </c>
      <c r="U594" s="2" t="s">
        <v>287</v>
      </c>
      <c r="V594" s="2" t="s">
        <v>782</v>
      </c>
      <c r="W594" s="2" t="s">
        <v>3402</v>
      </c>
      <c r="X594" s="2" t="s">
        <v>233</v>
      </c>
      <c r="Y594" s="2" t="s">
        <v>3403</v>
      </c>
      <c r="Z594" s="4">
        <v>70</v>
      </c>
      <c r="AA594" s="4">
        <f>=ROUNDDOWN(11.6666666666667,0)</f>
      </c>
      <c r="AB594" s="5">
        <v>6</v>
      </c>
      <c r="AC594" s="2" t="s">
        <v>171</v>
      </c>
      <c r="AD594" s="4">
        <v>125</v>
      </c>
      <c r="AE594" s="4">
        <v>225</v>
      </c>
      <c r="AF594" s="6">
        <v>69</v>
      </c>
      <c r="AG594" s="6"/>
      <c r="AH594" s="7">
        <v>0.2903</v>
      </c>
      <c r="AI594" s="4"/>
      <c r="AJ594" s="4">
        <f>=ROUNDDOWN({0},0)</f>
      </c>
      <c r="AK594" s="5"/>
      <c r="AL594" s="2" t="s">
        <v>233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233</v>
      </c>
      <c r="AW594" s="8" t="s">
        <v>233</v>
      </c>
      <c r="AX594" s="4" t="s">
        <v>233</v>
      </c>
      <c r="AY594" s="8" t="s">
        <v>233</v>
      </c>
      <c r="AZ594" s="7" t="s">
        <v>233</v>
      </c>
      <c r="BA594" s="7" t="s">
        <v>233</v>
      </c>
      <c r="BB594" s="7"/>
      <c r="BC594" s="4" t="s">
        <v>233</v>
      </c>
      <c r="BD594" s="8" t="s">
        <v>233</v>
      </c>
      <c r="BE594" s="4" t="s">
        <v>233</v>
      </c>
      <c r="BF594" s="8" t="s">
        <v>233</v>
      </c>
      <c r="BG594" s="7" t="s">
        <v>233</v>
      </c>
      <c r="BH594" s="7" t="s">
        <v>233</v>
      </c>
      <c r="BI594" s="7"/>
      <c r="BJ594" s="4">
        <v>4</v>
      </c>
      <c r="BK594" s="8">
        <v>126.4</v>
      </c>
      <c r="BL594" s="2" t="s">
        <v>1060</v>
      </c>
      <c r="BM594" s="7"/>
      <c r="BN594" s="7"/>
      <c r="BO594" s="4"/>
      <c r="BP594" s="8"/>
      <c r="BQ594" s="4"/>
      <c r="BR594" s="8"/>
      <c r="BS594" s="7"/>
      <c r="BT594" s="7"/>
      <c r="BU594" s="2" t="s">
        <v>3404</v>
      </c>
      <c r="BV594" s="2" t="s">
        <v>233</v>
      </c>
      <c r="BW594" s="2" t="s">
        <v>233</v>
      </c>
      <c r="BX594" s="2" t="s">
        <v>241</v>
      </c>
      <c r="BY594" s="2" t="s">
        <v>242</v>
      </c>
      <c r="BZ594" s="2" t="s">
        <v>230</v>
      </c>
      <c r="CA594" s="2" t="s">
        <v>3405</v>
      </c>
      <c r="CB594" s="2" t="s">
        <v>3407</v>
      </c>
      <c r="CC594" s="2" t="s">
        <v>245</v>
      </c>
      <c r="CD594" s="2" t="s">
        <v>233</v>
      </c>
      <c r="CE594" s="4">
        <v>70</v>
      </c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>
        <v>125</v>
      </c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>
        <v>100</v>
      </c>
      <c r="GB594" s="4"/>
      <c r="GC594" s="4">
        <v>76</v>
      </c>
      <c r="GD594" s="4">
        <v>62</v>
      </c>
      <c r="GE594" s="4">
        <v>54</v>
      </c>
      <c r="GF594" s="4">
        <v>46</v>
      </c>
      <c r="GG594" s="4">
        <v>32</v>
      </c>
      <c r="GH594" s="4">
        <v>23</v>
      </c>
      <c r="GI594" s="4">
        <v>15</v>
      </c>
      <c r="GJ594" s="4">
        <v>134</v>
      </c>
      <c r="GK594" s="4">
        <v>129</v>
      </c>
      <c r="GL594" s="4">
        <v>123</v>
      </c>
      <c r="GM594" s="4">
        <v>117</v>
      </c>
      <c r="GN594" s="4">
        <v>111</v>
      </c>
      <c r="GO594" s="4">
        <v>105</v>
      </c>
      <c r="GP594" s="4">
        <v>99</v>
      </c>
      <c r="GQ594" s="4">
        <v>93</v>
      </c>
      <c r="GR594" s="4">
        <v>87</v>
      </c>
      <c r="GS594" s="4">
        <v>81</v>
      </c>
      <c r="GT594" s="4">
        <v>75</v>
      </c>
      <c r="GU594" s="4">
        <v>69</v>
      </c>
      <c r="GV594" s="4">
        <v>63</v>
      </c>
      <c r="GW594" s="4">
        <v>157</v>
      </c>
      <c r="GX594" s="4">
        <v>151</v>
      </c>
      <c r="GY594" s="4">
        <v>145</v>
      </c>
      <c r="GZ594" s="4">
        <v>139</v>
      </c>
      <c r="HA594" s="4">
        <v>133</v>
      </c>
      <c r="HB594" s="4">
        <v>127</v>
      </c>
      <c r="HC594" s="19">
        <v>6.9</v>
      </c>
      <c r="HD594" s="19">
        <v>6.2</v>
      </c>
      <c r="HE594" s="19">
        <v>5.4</v>
      </c>
      <c r="HF594" s="19">
        <v>5.1</v>
      </c>
      <c r="HG594" s="19">
        <v>4.6</v>
      </c>
      <c r="HH594" s="19">
        <v>3.8</v>
      </c>
      <c r="HI594" s="19">
        <v>2.5</v>
      </c>
      <c r="HJ594" s="19">
        <v>22.3</v>
      </c>
      <c r="HK594" s="19">
        <v>21.5</v>
      </c>
      <c r="HL594" s="19">
        <v>20.5</v>
      </c>
      <c r="HM594" s="19">
        <v>19.5</v>
      </c>
      <c r="HN594" s="19">
        <v>18.5</v>
      </c>
      <c r="HO594" s="19">
        <v>17.5</v>
      </c>
      <c r="HP594" s="19">
        <v>16.5</v>
      </c>
      <c r="HQ594" s="19">
        <v>15.5</v>
      </c>
      <c r="HR594" s="19">
        <v>14.5</v>
      </c>
      <c r="HS594" s="19">
        <v>13.5</v>
      </c>
      <c r="HT594" s="19">
        <v>12.5</v>
      </c>
      <c r="HU594" s="19">
        <v>11.5</v>
      </c>
      <c r="HV594" s="19">
        <v>10.5</v>
      </c>
      <c r="HW594" s="19">
        <v>26.2</v>
      </c>
      <c r="HX594" s="19">
        <v>25.2</v>
      </c>
      <c r="HY594" s="19">
        <v>24.2</v>
      </c>
      <c r="HZ594" s="19">
        <v>23.2</v>
      </c>
      <c r="IA594" s="19">
        <v>22.2</v>
      </c>
      <c r="IB594" s="19">
        <v>21.2</v>
      </c>
    </row>
    <row r="595">
      <c r="A595" s="2" t="s">
        <v>3408</v>
      </c>
      <c r="B595" s="2" t="s">
        <v>3409</v>
      </c>
      <c r="C595" s="2" t="s">
        <v>762</v>
      </c>
      <c r="D595" s="2" t="s">
        <v>3410</v>
      </c>
      <c r="E595" s="2" t="s">
        <v>3411</v>
      </c>
      <c r="F595" s="2" t="s">
        <v>3412</v>
      </c>
      <c r="G595" s="2" t="s">
        <v>3412</v>
      </c>
      <c r="H595" s="2" t="s">
        <v>3412</v>
      </c>
      <c r="I595" s="2" t="s">
        <v>3413</v>
      </c>
      <c r="J595" s="2" t="s">
        <v>3414</v>
      </c>
      <c r="K595" s="2" t="s">
        <v>229</v>
      </c>
      <c r="L595" s="3">
        <v>18.5</v>
      </c>
      <c r="M595" s="3">
        <v>19.42</v>
      </c>
      <c r="N595" s="3">
        <v>39.99</v>
      </c>
      <c r="O595" s="2" t="s">
        <v>230</v>
      </c>
      <c r="P595" s="2" t="s">
        <v>597</v>
      </c>
      <c r="Q595" s="2" t="s">
        <v>232</v>
      </c>
      <c r="R595" s="2" t="s">
        <v>233</v>
      </c>
      <c r="S595" s="2" t="s">
        <v>233</v>
      </c>
      <c r="T595" s="2" t="s">
        <v>233</v>
      </c>
      <c r="U595" s="2" t="s">
        <v>233</v>
      </c>
      <c r="V595" s="2" t="s">
        <v>236</v>
      </c>
      <c r="W595" s="2" t="s">
        <v>233</v>
      </c>
      <c r="X595" s="2" t="s">
        <v>233</v>
      </c>
      <c r="Y595" s="2" t="s">
        <v>3415</v>
      </c>
      <c r="Z595" s="4">
        <v>447</v>
      </c>
      <c r="AA595" s="4">
        <f>=ROUNDDOWN(40.6363636363636,0)</f>
      </c>
      <c r="AB595" s="5">
        <v>11</v>
      </c>
      <c r="AC595" s="2" t="s">
        <v>233</v>
      </c>
      <c r="AD595" s="4"/>
      <c r="AE595" s="4"/>
      <c r="AF595" s="6"/>
      <c r="AG595" s="6">
        <v>73</v>
      </c>
      <c r="AH595" s="7">
        <v>1</v>
      </c>
      <c r="AI595" s="4"/>
      <c r="AJ595" s="4">
        <f>=ROUNDDOWN({0},0)</f>
      </c>
      <c r="AK595" s="5"/>
      <c r="AL595" s="2" t="s">
        <v>233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233</v>
      </c>
      <c r="AW595" s="8" t="s">
        <v>233</v>
      </c>
      <c r="AX595" s="4" t="s">
        <v>233</v>
      </c>
      <c r="AY595" s="8" t="s">
        <v>233</v>
      </c>
      <c r="AZ595" s="7" t="s">
        <v>233</v>
      </c>
      <c r="BA595" s="7" t="s">
        <v>233</v>
      </c>
      <c r="BB595" s="7"/>
      <c r="BC595" s="4" t="s">
        <v>233</v>
      </c>
      <c r="BD595" s="8" t="s">
        <v>233</v>
      </c>
      <c r="BE595" s="4" t="s">
        <v>233</v>
      </c>
      <c r="BF595" s="8" t="s">
        <v>233</v>
      </c>
      <c r="BG595" s="7" t="s">
        <v>233</v>
      </c>
      <c r="BH595" s="7" t="s">
        <v>233</v>
      </c>
      <c r="BI595" s="7"/>
      <c r="BJ595" s="4">
        <v>17</v>
      </c>
      <c r="BK595" s="8">
        <v>327.48</v>
      </c>
      <c r="BL595" s="2" t="s">
        <v>3416</v>
      </c>
      <c r="BM595" s="7"/>
      <c r="BN595" s="7"/>
      <c r="BO595" s="4"/>
      <c r="BP595" s="8"/>
      <c r="BQ595" s="4"/>
      <c r="BR595" s="8"/>
      <c r="BS595" s="7"/>
      <c r="BT595" s="7"/>
      <c r="BU595" s="2" t="s">
        <v>3417</v>
      </c>
      <c r="BV595" s="2" t="s">
        <v>233</v>
      </c>
      <c r="BW595" s="2" t="s">
        <v>233</v>
      </c>
      <c r="BX595" s="2" t="s">
        <v>241</v>
      </c>
      <c r="BY595" s="2" t="s">
        <v>242</v>
      </c>
      <c r="BZ595" s="2" t="s">
        <v>230</v>
      </c>
      <c r="CA595" s="2" t="s">
        <v>2692</v>
      </c>
      <c r="CB595" s="2" t="s">
        <v>2695</v>
      </c>
      <c r="CC595" s="2" t="s">
        <v>245</v>
      </c>
      <c r="CD595" s="2" t="s">
        <v>233</v>
      </c>
      <c r="CE595" s="4"/>
      <c r="CF595" s="4"/>
      <c r="CG595" s="4"/>
      <c r="CH595" s="4">
        <v>447</v>
      </c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>
        <v>454</v>
      </c>
      <c r="GD595" s="4">
        <v>435</v>
      </c>
      <c r="GE595" s="4">
        <v>424</v>
      </c>
      <c r="GF595" s="4">
        <v>413</v>
      </c>
      <c r="GG595" s="4">
        <v>402</v>
      </c>
      <c r="GH595" s="4">
        <v>391</v>
      </c>
      <c r="GI595" s="4">
        <v>380</v>
      </c>
      <c r="GJ595" s="4">
        <v>369</v>
      </c>
      <c r="GK595" s="4">
        <v>358</v>
      </c>
      <c r="GL595" s="4">
        <v>347</v>
      </c>
      <c r="GM595" s="4">
        <v>336</v>
      </c>
      <c r="GN595" s="4">
        <v>325</v>
      </c>
      <c r="GO595" s="4">
        <v>314</v>
      </c>
      <c r="GP595" s="4">
        <v>303</v>
      </c>
      <c r="GQ595" s="4">
        <v>292</v>
      </c>
      <c r="GR595" s="4">
        <v>281</v>
      </c>
      <c r="GS595" s="4">
        <v>270</v>
      </c>
      <c r="GT595" s="4">
        <v>259</v>
      </c>
      <c r="GU595" s="4">
        <v>248</v>
      </c>
      <c r="GV595" s="4">
        <v>237</v>
      </c>
      <c r="GW595" s="4">
        <v>330</v>
      </c>
      <c r="GX595" s="4">
        <v>319</v>
      </c>
      <c r="GY595" s="4">
        <v>308</v>
      </c>
      <c r="GZ595" s="4">
        <v>297</v>
      </c>
      <c r="HA595" s="4">
        <v>286</v>
      </c>
      <c r="HB595" s="4">
        <v>275</v>
      </c>
      <c r="HC595" s="19">
        <v>34.9</v>
      </c>
      <c r="HD595" s="19">
        <v>39.5</v>
      </c>
      <c r="HE595" s="19">
        <v>38.5</v>
      </c>
      <c r="HF595" s="19">
        <v>37.5</v>
      </c>
      <c r="HG595" s="19">
        <v>36.5</v>
      </c>
      <c r="HH595" s="19">
        <v>35.5</v>
      </c>
      <c r="HI595" s="19">
        <v>34.5</v>
      </c>
      <c r="HJ595" s="19">
        <v>33.5</v>
      </c>
      <c r="HK595" s="19">
        <v>32.5</v>
      </c>
      <c r="HL595" s="19">
        <v>31.5</v>
      </c>
      <c r="HM595" s="19">
        <v>30.5</v>
      </c>
      <c r="HN595" s="19">
        <v>29.5</v>
      </c>
      <c r="HO595" s="19">
        <v>28.5</v>
      </c>
      <c r="HP595" s="19">
        <v>27.5</v>
      </c>
      <c r="HQ595" s="19">
        <v>26.5</v>
      </c>
      <c r="HR595" s="19">
        <v>25.5</v>
      </c>
      <c r="HS595" s="19">
        <v>24.5</v>
      </c>
      <c r="HT595" s="19">
        <v>23.5</v>
      </c>
      <c r="HU595" s="19">
        <v>22.5</v>
      </c>
      <c r="HV595" s="19">
        <v>21.5</v>
      </c>
      <c r="HW595" s="19">
        <v>30</v>
      </c>
      <c r="HX595" s="19">
        <v>29</v>
      </c>
      <c r="HY595" s="19">
        <v>28</v>
      </c>
      <c r="HZ595" s="19">
        <v>27</v>
      </c>
      <c r="IA595" s="19">
        <v>26</v>
      </c>
      <c r="IB595" s="19">
        <v>25</v>
      </c>
    </row>
    <row r="596">
      <c r="A596" s="2" t="s">
        <v>3418</v>
      </c>
      <c r="B596" s="2" t="s">
        <v>3409</v>
      </c>
      <c r="C596" s="2" t="s">
        <v>762</v>
      </c>
      <c r="D596" s="2" t="s">
        <v>3410</v>
      </c>
      <c r="E596" s="2" t="s">
        <v>3411</v>
      </c>
      <c r="F596" s="2" t="s">
        <v>3412</v>
      </c>
      <c r="G596" s="2" t="s">
        <v>233</v>
      </c>
      <c r="H596" s="2" t="s">
        <v>233</v>
      </c>
      <c r="I596" s="2" t="s">
        <v>3413</v>
      </c>
      <c r="J596" s="2" t="s">
        <v>3419</v>
      </c>
      <c r="K596" s="2" t="s">
        <v>229</v>
      </c>
      <c r="L596" s="3">
        <v>18.5</v>
      </c>
      <c r="M596" s="3">
        <v>19.42</v>
      </c>
      <c r="N596" s="3">
        <v>39.99</v>
      </c>
      <c r="O596" s="2" t="s">
        <v>230</v>
      </c>
      <c r="P596" s="2" t="s">
        <v>597</v>
      </c>
      <c r="Q596" s="2" t="s">
        <v>232</v>
      </c>
      <c r="R596" s="2" t="s">
        <v>233</v>
      </c>
      <c r="S596" s="2" t="s">
        <v>233</v>
      </c>
      <c r="T596" s="2" t="s">
        <v>233</v>
      </c>
      <c r="U596" s="2" t="s">
        <v>233</v>
      </c>
      <c r="V596" s="2" t="s">
        <v>236</v>
      </c>
      <c r="W596" s="2" t="s">
        <v>233</v>
      </c>
      <c r="X596" s="2" t="s">
        <v>233</v>
      </c>
      <c r="Y596" s="2" t="s">
        <v>3415</v>
      </c>
      <c r="Z596" s="4">
        <v>315</v>
      </c>
      <c r="AA596" s="4">
        <f>=ROUNDDOWN(20.0636942675159,0)</f>
      </c>
      <c r="AB596" s="5">
        <v>15.7</v>
      </c>
      <c r="AC596" s="2" t="s">
        <v>233</v>
      </c>
      <c r="AD596" s="4"/>
      <c r="AE596" s="4"/>
      <c r="AF596" s="6"/>
      <c r="AG596" s="6">
        <v>73</v>
      </c>
      <c r="AH596" s="7">
        <v>1</v>
      </c>
      <c r="AI596" s="4"/>
      <c r="AJ596" s="4">
        <f>=ROUNDDOWN({0},0)</f>
      </c>
      <c r="AK596" s="5"/>
      <c r="AL596" s="2" t="s">
        <v>233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233</v>
      </c>
      <c r="AW596" s="8" t="s">
        <v>233</v>
      </c>
      <c r="AX596" s="4" t="s">
        <v>233</v>
      </c>
      <c r="AY596" s="8" t="s">
        <v>233</v>
      </c>
      <c r="AZ596" s="7" t="s">
        <v>233</v>
      </c>
      <c r="BA596" s="7" t="s">
        <v>233</v>
      </c>
      <c r="BB596" s="7"/>
      <c r="BC596" s="4" t="s">
        <v>233</v>
      </c>
      <c r="BD596" s="8" t="s">
        <v>233</v>
      </c>
      <c r="BE596" s="4" t="s">
        <v>233</v>
      </c>
      <c r="BF596" s="8" t="s">
        <v>233</v>
      </c>
      <c r="BG596" s="7" t="s">
        <v>233</v>
      </c>
      <c r="BH596" s="7" t="s">
        <v>233</v>
      </c>
      <c r="BI596" s="7"/>
      <c r="BJ596" s="4">
        <v>37</v>
      </c>
      <c r="BK596" s="8">
        <v>691.92</v>
      </c>
      <c r="BL596" s="2" t="s">
        <v>3420</v>
      </c>
      <c r="BM596" s="7"/>
      <c r="BN596" s="7"/>
      <c r="BO596" s="4"/>
      <c r="BP596" s="8"/>
      <c r="BQ596" s="4"/>
      <c r="BR596" s="8"/>
      <c r="BS596" s="7"/>
      <c r="BT596" s="7"/>
      <c r="BU596" s="2" t="s">
        <v>3417</v>
      </c>
      <c r="BV596" s="2" t="s">
        <v>233</v>
      </c>
      <c r="BW596" s="2" t="s">
        <v>233</v>
      </c>
      <c r="BX596" s="2" t="s">
        <v>241</v>
      </c>
      <c r="BY596" s="2" t="s">
        <v>242</v>
      </c>
      <c r="BZ596" s="2" t="s">
        <v>230</v>
      </c>
      <c r="CA596" s="2" t="s">
        <v>2692</v>
      </c>
      <c r="CB596" s="2" t="s">
        <v>3421</v>
      </c>
      <c r="CC596" s="2" t="s">
        <v>245</v>
      </c>
      <c r="CD596" s="2" t="s">
        <v>233</v>
      </c>
      <c r="CE596" s="4"/>
      <c r="CF596" s="4"/>
      <c r="CG596" s="4"/>
      <c r="CH596" s="4">
        <v>315</v>
      </c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>
        <v>324</v>
      </c>
      <c r="GD596" s="4">
        <v>294</v>
      </c>
      <c r="GE596" s="4">
        <v>278</v>
      </c>
      <c r="GF596" s="4">
        <v>262</v>
      </c>
      <c r="GG596" s="4">
        <v>246</v>
      </c>
      <c r="GH596" s="4">
        <v>230</v>
      </c>
      <c r="GI596" s="4">
        <v>214</v>
      </c>
      <c r="GJ596" s="4">
        <v>198</v>
      </c>
      <c r="GK596" s="4">
        <v>182</v>
      </c>
      <c r="GL596" s="4">
        <v>166</v>
      </c>
      <c r="GM596" s="4">
        <v>150</v>
      </c>
      <c r="GN596" s="4">
        <v>134</v>
      </c>
      <c r="GO596" s="4">
        <v>118</v>
      </c>
      <c r="GP596" s="4">
        <v>102</v>
      </c>
      <c r="GQ596" s="4">
        <v>86</v>
      </c>
      <c r="GR596" s="4">
        <v>70</v>
      </c>
      <c r="GS596" s="4">
        <v>54</v>
      </c>
      <c r="GT596" s="4">
        <v>38</v>
      </c>
      <c r="GU596" s="4">
        <v>22</v>
      </c>
      <c r="GV596" s="4">
        <v>6</v>
      </c>
      <c r="GW596" s="4">
        <v>481</v>
      </c>
      <c r="GX596" s="4">
        <v>464</v>
      </c>
      <c r="GY596" s="4">
        <v>448</v>
      </c>
      <c r="GZ596" s="4">
        <v>432</v>
      </c>
      <c r="HA596" s="4">
        <v>416</v>
      </c>
      <c r="HB596" s="4">
        <v>400</v>
      </c>
      <c r="HC596" s="19">
        <v>16.2</v>
      </c>
      <c r="HD596" s="19">
        <v>18.4</v>
      </c>
      <c r="HE596" s="19">
        <v>17.4</v>
      </c>
      <c r="HF596" s="19">
        <v>16.4</v>
      </c>
      <c r="HG596" s="19">
        <v>15.4</v>
      </c>
      <c r="HH596" s="19">
        <v>14.4</v>
      </c>
      <c r="HI596" s="19">
        <v>13.4</v>
      </c>
      <c r="HJ596" s="19">
        <v>12.4</v>
      </c>
      <c r="HK596" s="19">
        <v>11.4</v>
      </c>
      <c r="HL596" s="19">
        <v>10.4</v>
      </c>
      <c r="HM596" s="19">
        <v>9.4</v>
      </c>
      <c r="HN596" s="19">
        <v>8.4</v>
      </c>
      <c r="HO596" s="19">
        <v>7.4</v>
      </c>
      <c r="HP596" s="19">
        <v>6.4</v>
      </c>
      <c r="HQ596" s="19">
        <v>5.4</v>
      </c>
      <c r="HR596" s="19">
        <v>4.4</v>
      </c>
      <c r="HS596" s="19">
        <v>3.4</v>
      </c>
      <c r="HT596" s="19">
        <v>2.4</v>
      </c>
      <c r="HU596" s="19">
        <v>1.4</v>
      </c>
      <c r="HV596" s="19">
        <v>0.4</v>
      </c>
      <c r="HW596" s="19">
        <v>30.1</v>
      </c>
      <c r="HX596" s="19">
        <v>29</v>
      </c>
      <c r="HY596" s="19">
        <v>28</v>
      </c>
      <c r="HZ596" s="19">
        <v>27</v>
      </c>
      <c r="IA596" s="19">
        <v>26</v>
      </c>
      <c r="IB596" s="19">
        <v>25</v>
      </c>
    </row>
    <row r="597">
      <c r="A597" s="2" t="s">
        <v>3422</v>
      </c>
      <c r="B597" s="2" t="s">
        <v>3409</v>
      </c>
      <c r="C597" s="2" t="s">
        <v>762</v>
      </c>
      <c r="D597" s="2" t="s">
        <v>3410</v>
      </c>
      <c r="E597" s="2" t="s">
        <v>3411</v>
      </c>
      <c r="F597" s="2" t="s">
        <v>3412</v>
      </c>
      <c r="G597" s="2" t="s">
        <v>233</v>
      </c>
      <c r="H597" s="2" t="s">
        <v>233</v>
      </c>
      <c r="I597" s="2" t="s">
        <v>3423</v>
      </c>
      <c r="J597" s="2" t="s">
        <v>3419</v>
      </c>
      <c r="K597" s="2" t="s">
        <v>3424</v>
      </c>
      <c r="L597" s="3">
        <v>18.5</v>
      </c>
      <c r="M597" s="3">
        <v>19.42</v>
      </c>
      <c r="N597" s="3">
        <v>39.99</v>
      </c>
      <c r="O597" s="2" t="s">
        <v>230</v>
      </c>
      <c r="P597" s="2" t="s">
        <v>597</v>
      </c>
      <c r="Q597" s="2" t="s">
        <v>232</v>
      </c>
      <c r="R597" s="2" t="s">
        <v>233</v>
      </c>
      <c r="S597" s="2" t="s">
        <v>233</v>
      </c>
      <c r="T597" s="2" t="s">
        <v>233</v>
      </c>
      <c r="U597" s="2" t="s">
        <v>233</v>
      </c>
      <c r="V597" s="2" t="s">
        <v>236</v>
      </c>
      <c r="W597" s="2" t="s">
        <v>233</v>
      </c>
      <c r="X597" s="2" t="s">
        <v>233</v>
      </c>
      <c r="Y597" s="2" t="s">
        <v>2416</v>
      </c>
      <c r="Z597" s="4">
        <v>237</v>
      </c>
      <c r="AA597" s="4">
        <f>=ROUNDDOWN(21.5454545454545,0)</f>
      </c>
      <c r="AB597" s="5">
        <v>11</v>
      </c>
      <c r="AC597" s="2" t="s">
        <v>233</v>
      </c>
      <c r="AD597" s="4"/>
      <c r="AE597" s="4"/>
      <c r="AF597" s="6"/>
      <c r="AG597" s="6">
        <v>73</v>
      </c>
      <c r="AH597" s="7">
        <v>1</v>
      </c>
      <c r="AI597" s="4"/>
      <c r="AJ597" s="4">
        <f>=ROUNDDOWN({0},0)</f>
      </c>
      <c r="AK597" s="5"/>
      <c r="AL597" s="2" t="s">
        <v>233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 t="s">
        <v>233</v>
      </c>
      <c r="BD597" s="8" t="s">
        <v>233</v>
      </c>
      <c r="BE597" s="4" t="s">
        <v>233</v>
      </c>
      <c r="BF597" s="8" t="s">
        <v>233</v>
      </c>
      <c r="BG597" s="7" t="s">
        <v>233</v>
      </c>
      <c r="BH597" s="7" t="s">
        <v>233</v>
      </c>
      <c r="BI597" s="7"/>
      <c r="BJ597" s="4">
        <v>45</v>
      </c>
      <c r="BK597" s="8">
        <v>900.19</v>
      </c>
      <c r="BL597" s="2" t="s">
        <v>3425</v>
      </c>
      <c r="BM597" s="7"/>
      <c r="BN597" s="7"/>
      <c r="BO597" s="4"/>
      <c r="BP597" s="8"/>
      <c r="BQ597" s="4"/>
      <c r="BR597" s="8"/>
      <c r="BS597" s="7"/>
      <c r="BT597" s="7"/>
      <c r="BU597" s="2" t="s">
        <v>3417</v>
      </c>
      <c r="BV597" s="2" t="s">
        <v>233</v>
      </c>
      <c r="BW597" s="2" t="s">
        <v>233</v>
      </c>
      <c r="BX597" s="2" t="s">
        <v>241</v>
      </c>
      <c r="BY597" s="2" t="s">
        <v>242</v>
      </c>
      <c r="BZ597" s="2" t="s">
        <v>230</v>
      </c>
      <c r="CA597" s="2" t="s">
        <v>2692</v>
      </c>
      <c r="CB597" s="2" t="s">
        <v>233</v>
      </c>
      <c r="CC597" s="2" t="s">
        <v>245</v>
      </c>
      <c r="CD597" s="2" t="s">
        <v>233</v>
      </c>
      <c r="CE597" s="4"/>
      <c r="CF597" s="4"/>
      <c r="CG597" s="4"/>
      <c r="CH597" s="4">
        <v>237</v>
      </c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>
        <v>237</v>
      </c>
      <c r="GD597" s="4">
        <v>226</v>
      </c>
      <c r="GE597" s="4">
        <v>215</v>
      </c>
      <c r="GF597" s="4">
        <v>204</v>
      </c>
      <c r="GG597" s="4">
        <v>193</v>
      </c>
      <c r="GH597" s="4">
        <v>182</v>
      </c>
      <c r="GI597" s="4">
        <v>171</v>
      </c>
      <c r="GJ597" s="4">
        <v>160</v>
      </c>
      <c r="GK597" s="4">
        <v>149</v>
      </c>
      <c r="GL597" s="4">
        <v>138</v>
      </c>
      <c r="GM597" s="4">
        <v>127</v>
      </c>
      <c r="GN597" s="4">
        <v>116</v>
      </c>
      <c r="GO597" s="4">
        <v>105</v>
      </c>
      <c r="GP597" s="4">
        <v>94</v>
      </c>
      <c r="GQ597" s="4">
        <v>83</v>
      </c>
      <c r="GR597" s="4">
        <v>72</v>
      </c>
      <c r="GS597" s="4">
        <v>61</v>
      </c>
      <c r="GT597" s="4">
        <v>50</v>
      </c>
      <c r="GU597" s="4">
        <v>39</v>
      </c>
      <c r="GV597" s="4">
        <v>28</v>
      </c>
      <c r="GW597" s="4">
        <v>352</v>
      </c>
      <c r="GX597" s="4">
        <v>341</v>
      </c>
      <c r="GY597" s="4">
        <v>330</v>
      </c>
      <c r="GZ597" s="4">
        <v>319</v>
      </c>
      <c r="HA597" s="4">
        <v>308</v>
      </c>
      <c r="HB597" s="4">
        <v>297</v>
      </c>
      <c r="HC597" s="19">
        <v>21.5</v>
      </c>
      <c r="HD597" s="19">
        <v>20.5</v>
      </c>
      <c r="HE597" s="19">
        <v>19.5</v>
      </c>
      <c r="HF597" s="19">
        <v>18.5</v>
      </c>
      <c r="HG597" s="19">
        <v>17.5</v>
      </c>
      <c r="HH597" s="19">
        <v>16.5</v>
      </c>
      <c r="HI597" s="19">
        <v>15.5</v>
      </c>
      <c r="HJ597" s="19">
        <v>14.5</v>
      </c>
      <c r="HK597" s="19">
        <v>13.5</v>
      </c>
      <c r="HL597" s="19">
        <v>12.5</v>
      </c>
      <c r="HM597" s="19">
        <v>11.5</v>
      </c>
      <c r="HN597" s="19">
        <v>10.5</v>
      </c>
      <c r="HO597" s="19">
        <v>9.5</v>
      </c>
      <c r="HP597" s="19">
        <v>8.5</v>
      </c>
      <c r="HQ597" s="19">
        <v>7.5</v>
      </c>
      <c r="HR597" s="19">
        <v>6.5</v>
      </c>
      <c r="HS597" s="19">
        <v>5.5</v>
      </c>
      <c r="HT597" s="19">
        <v>4.5</v>
      </c>
      <c r="HU597" s="19">
        <v>3.5</v>
      </c>
      <c r="HV597" s="19">
        <v>2.5</v>
      </c>
      <c r="HW597" s="19">
        <v>32</v>
      </c>
      <c r="HX597" s="19">
        <v>31</v>
      </c>
      <c r="HY597" s="19">
        <v>30</v>
      </c>
      <c r="HZ597" s="19">
        <v>29</v>
      </c>
      <c r="IA597" s="19">
        <v>28</v>
      </c>
      <c r="IB597" s="19">
        <v>27</v>
      </c>
    </row>
    <row r="598">
      <c r="A598" s="2" t="s">
        <v>3426</v>
      </c>
      <c r="B598" s="2" t="s">
        <v>3409</v>
      </c>
      <c r="C598" s="2" t="s">
        <v>762</v>
      </c>
      <c r="D598" s="2" t="s">
        <v>3410</v>
      </c>
      <c r="E598" s="2" t="s">
        <v>3411</v>
      </c>
      <c r="F598" s="2" t="s">
        <v>3412</v>
      </c>
      <c r="G598" s="2" t="s">
        <v>233</v>
      </c>
      <c r="H598" s="2" t="s">
        <v>233</v>
      </c>
      <c r="I598" s="2" t="s">
        <v>3413</v>
      </c>
      <c r="J598" s="2" t="s">
        <v>3414</v>
      </c>
      <c r="K598" s="2" t="s">
        <v>3427</v>
      </c>
      <c r="L598" s="3">
        <v>18.5</v>
      </c>
      <c r="M598" s="3">
        <v>19.42</v>
      </c>
      <c r="N598" s="3">
        <v>39.99</v>
      </c>
      <c r="O598" s="2" t="s">
        <v>230</v>
      </c>
      <c r="P598" s="2" t="s">
        <v>231</v>
      </c>
      <c r="Q598" s="2" t="s">
        <v>232</v>
      </c>
      <c r="R598" s="2" t="s">
        <v>233</v>
      </c>
      <c r="S598" s="2" t="s">
        <v>233</v>
      </c>
      <c r="T598" s="2" t="s">
        <v>233</v>
      </c>
      <c r="U598" s="2" t="s">
        <v>233</v>
      </c>
      <c r="V598" s="2" t="s">
        <v>236</v>
      </c>
      <c r="W598" s="2" t="s">
        <v>233</v>
      </c>
      <c r="X598" s="2" t="s">
        <v>233</v>
      </c>
      <c r="Y598" s="2" t="s">
        <v>3415</v>
      </c>
      <c r="Z598" s="4">
        <v>443</v>
      </c>
      <c r="AA598" s="4">
        <f>=ROUNDDOWN(90.4081632653061,0)</f>
      </c>
      <c r="AB598" s="5">
        <v>4.9</v>
      </c>
      <c r="AC598" s="2" t="s">
        <v>233</v>
      </c>
      <c r="AD598" s="4"/>
      <c r="AE598" s="4"/>
      <c r="AF598" s="6"/>
      <c r="AG598" s="6">
        <v>73</v>
      </c>
      <c r="AH598" s="7">
        <v>1</v>
      </c>
      <c r="AI598" s="4"/>
      <c r="AJ598" s="4">
        <f>=ROUNDDOWN({0},0)</f>
      </c>
      <c r="AK598" s="5"/>
      <c r="AL598" s="2" t="s">
        <v>233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233</v>
      </c>
      <c r="AW598" s="8" t="s">
        <v>233</v>
      </c>
      <c r="AX598" s="4" t="s">
        <v>233</v>
      </c>
      <c r="AY598" s="8" t="s">
        <v>233</v>
      </c>
      <c r="AZ598" s="7" t="s">
        <v>233</v>
      </c>
      <c r="BA598" s="7" t="s">
        <v>233</v>
      </c>
      <c r="BB598" s="7"/>
      <c r="BC598" s="4" t="s">
        <v>233</v>
      </c>
      <c r="BD598" s="8" t="s">
        <v>233</v>
      </c>
      <c r="BE598" s="4" t="s">
        <v>233</v>
      </c>
      <c r="BF598" s="8" t="s">
        <v>233</v>
      </c>
      <c r="BG598" s="7" t="s">
        <v>233</v>
      </c>
      <c r="BH598" s="7" t="s">
        <v>233</v>
      </c>
      <c r="BI598" s="7"/>
      <c r="BJ598" s="4">
        <v>24</v>
      </c>
      <c r="BK598" s="8">
        <v>439.22</v>
      </c>
      <c r="BL598" s="2" t="s">
        <v>3428</v>
      </c>
      <c r="BM598" s="7"/>
      <c r="BN598" s="7"/>
      <c r="BO598" s="4"/>
      <c r="BP598" s="8"/>
      <c r="BQ598" s="4"/>
      <c r="BR598" s="8"/>
      <c r="BS598" s="7"/>
      <c r="BT598" s="7"/>
      <c r="BU598" s="2" t="s">
        <v>3417</v>
      </c>
      <c r="BV598" s="2" t="s">
        <v>233</v>
      </c>
      <c r="BW598" s="2" t="s">
        <v>233</v>
      </c>
      <c r="BX598" s="2" t="s">
        <v>241</v>
      </c>
      <c r="BY598" s="2" t="s">
        <v>242</v>
      </c>
      <c r="BZ598" s="2" t="s">
        <v>230</v>
      </c>
      <c r="CA598" s="2" t="s">
        <v>2692</v>
      </c>
      <c r="CB598" s="2" t="s">
        <v>1408</v>
      </c>
      <c r="CC598" s="2" t="s">
        <v>245</v>
      </c>
      <c r="CD598" s="2" t="s">
        <v>233</v>
      </c>
      <c r="CE598" s="4">
        <v>93</v>
      </c>
      <c r="CF598" s="4"/>
      <c r="CG598" s="4"/>
      <c r="CH598" s="4">
        <v>350</v>
      </c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>
        <v>446</v>
      </c>
      <c r="GD598" s="4">
        <v>439</v>
      </c>
      <c r="GE598" s="4">
        <v>434</v>
      </c>
      <c r="GF598" s="4">
        <v>429</v>
      </c>
      <c r="GG598" s="4">
        <v>424</v>
      </c>
      <c r="GH598" s="4">
        <v>419</v>
      </c>
      <c r="GI598" s="4">
        <v>414</v>
      </c>
      <c r="GJ598" s="4">
        <v>409</v>
      </c>
      <c r="GK598" s="4">
        <v>404</v>
      </c>
      <c r="GL598" s="4">
        <v>399</v>
      </c>
      <c r="GM598" s="4">
        <v>394</v>
      </c>
      <c r="GN598" s="4">
        <v>389</v>
      </c>
      <c r="GO598" s="4">
        <v>384</v>
      </c>
      <c r="GP598" s="4">
        <v>379</v>
      </c>
      <c r="GQ598" s="4">
        <v>374</v>
      </c>
      <c r="GR598" s="4">
        <v>369</v>
      </c>
      <c r="GS598" s="4">
        <v>364</v>
      </c>
      <c r="GT598" s="4">
        <v>359</v>
      </c>
      <c r="GU598" s="4">
        <v>354</v>
      </c>
      <c r="GV598" s="4">
        <v>349</v>
      </c>
      <c r="GW598" s="4">
        <v>344</v>
      </c>
      <c r="GX598" s="4">
        <v>339</v>
      </c>
      <c r="GY598" s="4">
        <v>334</v>
      </c>
      <c r="GZ598" s="4">
        <v>329</v>
      </c>
      <c r="HA598" s="4">
        <v>324</v>
      </c>
      <c r="HB598" s="4">
        <v>319</v>
      </c>
      <c r="HC598" s="19">
        <v>74.3</v>
      </c>
      <c r="HD598" s="19">
        <v>87.8</v>
      </c>
      <c r="HE598" s="19">
        <v>86.8</v>
      </c>
      <c r="HF598" s="19">
        <v>85.8</v>
      </c>
      <c r="HG598" s="19">
        <v>84.8</v>
      </c>
      <c r="HH598" s="19">
        <v>83.8</v>
      </c>
      <c r="HI598" s="19">
        <v>82.8</v>
      </c>
      <c r="HJ598" s="19">
        <v>81.8</v>
      </c>
      <c r="HK598" s="19">
        <v>80.8</v>
      </c>
      <c r="HL598" s="19">
        <v>79.8</v>
      </c>
      <c r="HM598" s="19">
        <v>78.8</v>
      </c>
      <c r="HN598" s="19">
        <v>77.8</v>
      </c>
      <c r="HO598" s="19">
        <v>76.8</v>
      </c>
      <c r="HP598" s="19">
        <v>75.8</v>
      </c>
      <c r="HQ598" s="19">
        <v>74.8</v>
      </c>
      <c r="HR598" s="19">
        <v>73.8</v>
      </c>
      <c r="HS598" s="19">
        <v>72.8</v>
      </c>
      <c r="HT598" s="19">
        <v>71.8</v>
      </c>
      <c r="HU598" s="19">
        <v>70.8</v>
      </c>
      <c r="HV598" s="19">
        <v>69.8</v>
      </c>
      <c r="HW598" s="19">
        <v>68.8</v>
      </c>
      <c r="HX598" s="19">
        <v>67.8</v>
      </c>
      <c r="HY598" s="19">
        <v>66.8</v>
      </c>
      <c r="HZ598" s="19">
        <v>65.8</v>
      </c>
      <c r="IA598" s="19">
        <v>64.8</v>
      </c>
      <c r="IB598" s="19">
        <v>63.8</v>
      </c>
    </row>
    <row r="599">
      <c r="A599" s="2" t="s">
        <v>3429</v>
      </c>
      <c r="B599" s="2" t="s">
        <v>3409</v>
      </c>
      <c r="C599" s="2" t="s">
        <v>762</v>
      </c>
      <c r="D599" s="2" t="s">
        <v>3410</v>
      </c>
      <c r="E599" s="2" t="s">
        <v>3411</v>
      </c>
      <c r="F599" s="2" t="s">
        <v>3412</v>
      </c>
      <c r="G599" s="2" t="s">
        <v>233</v>
      </c>
      <c r="H599" s="2" t="s">
        <v>233</v>
      </c>
      <c r="I599" s="2" t="s">
        <v>3413</v>
      </c>
      <c r="J599" s="2" t="s">
        <v>3419</v>
      </c>
      <c r="K599" s="2" t="s">
        <v>3427</v>
      </c>
      <c r="L599" s="3">
        <v>18.5</v>
      </c>
      <c r="M599" s="3">
        <v>19.42</v>
      </c>
      <c r="N599" s="3">
        <v>39.99</v>
      </c>
      <c r="O599" s="2" t="s">
        <v>230</v>
      </c>
      <c r="P599" s="2" t="s">
        <v>231</v>
      </c>
      <c r="Q599" s="2" t="s">
        <v>232</v>
      </c>
      <c r="R599" s="2" t="s">
        <v>233</v>
      </c>
      <c r="S599" s="2" t="s">
        <v>233</v>
      </c>
      <c r="T599" s="2" t="s">
        <v>233</v>
      </c>
      <c r="U599" s="2" t="s">
        <v>233</v>
      </c>
      <c r="V599" s="2" t="s">
        <v>236</v>
      </c>
      <c r="W599" s="2" t="s">
        <v>233</v>
      </c>
      <c r="X599" s="2" t="s">
        <v>233</v>
      </c>
      <c r="Y599" s="2" t="s">
        <v>3415</v>
      </c>
      <c r="Z599" s="4">
        <v>340</v>
      </c>
      <c r="AA599" s="4">
        <f>=ROUNDDOWN(47.887323943662,0)</f>
      </c>
      <c r="AB599" s="5">
        <v>7.1</v>
      </c>
      <c r="AC599" s="2" t="s">
        <v>233</v>
      </c>
      <c r="AD599" s="4"/>
      <c r="AE599" s="4"/>
      <c r="AF599" s="6"/>
      <c r="AG599" s="6">
        <v>73</v>
      </c>
      <c r="AH599" s="7">
        <v>1</v>
      </c>
      <c r="AI599" s="4"/>
      <c r="AJ599" s="4">
        <f>=ROUNDDOWN({0},0)</f>
      </c>
      <c r="AK599" s="5"/>
      <c r="AL599" s="2" t="s">
        <v>233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233</v>
      </c>
      <c r="AW599" s="8" t="s">
        <v>233</v>
      </c>
      <c r="AX599" s="4" t="s">
        <v>233</v>
      </c>
      <c r="AY599" s="8" t="s">
        <v>233</v>
      </c>
      <c r="AZ599" s="7" t="s">
        <v>233</v>
      </c>
      <c r="BA599" s="7" t="s">
        <v>233</v>
      </c>
      <c r="BB599" s="7"/>
      <c r="BC599" s="4" t="s">
        <v>233</v>
      </c>
      <c r="BD599" s="8" t="s">
        <v>233</v>
      </c>
      <c r="BE599" s="4" t="s">
        <v>233</v>
      </c>
      <c r="BF599" s="8" t="s">
        <v>233</v>
      </c>
      <c r="BG599" s="7" t="s">
        <v>233</v>
      </c>
      <c r="BH599" s="7" t="s">
        <v>233</v>
      </c>
      <c r="BI599" s="7"/>
      <c r="BJ599" s="4">
        <v>34</v>
      </c>
      <c r="BK599" s="8">
        <v>626.61</v>
      </c>
      <c r="BL599" s="2" t="s">
        <v>3428</v>
      </c>
      <c r="BM599" s="7"/>
      <c r="BN599" s="7"/>
      <c r="BO599" s="4"/>
      <c r="BP599" s="8"/>
      <c r="BQ599" s="4"/>
      <c r="BR599" s="8"/>
      <c r="BS599" s="7"/>
      <c r="BT599" s="7"/>
      <c r="BU599" s="2" t="s">
        <v>3417</v>
      </c>
      <c r="BV599" s="2" t="s">
        <v>233</v>
      </c>
      <c r="BW599" s="2" t="s">
        <v>233</v>
      </c>
      <c r="BX599" s="2" t="s">
        <v>241</v>
      </c>
      <c r="BY599" s="2" t="s">
        <v>242</v>
      </c>
      <c r="BZ599" s="2" t="s">
        <v>230</v>
      </c>
      <c r="CA599" s="2" t="s">
        <v>2692</v>
      </c>
      <c r="CB599" s="2" t="s">
        <v>3430</v>
      </c>
      <c r="CC599" s="2" t="s">
        <v>245</v>
      </c>
      <c r="CD599" s="2" t="s">
        <v>233</v>
      </c>
      <c r="CE599" s="4"/>
      <c r="CF599" s="4"/>
      <c r="CG599" s="4"/>
      <c r="CH599" s="4">
        <v>340</v>
      </c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>
        <v>348</v>
      </c>
      <c r="GD599" s="4">
        <v>334</v>
      </c>
      <c r="GE599" s="4">
        <v>327</v>
      </c>
      <c r="GF599" s="4">
        <v>320</v>
      </c>
      <c r="GG599" s="4">
        <v>313</v>
      </c>
      <c r="GH599" s="4">
        <v>306</v>
      </c>
      <c r="GI599" s="4">
        <v>299</v>
      </c>
      <c r="GJ599" s="4">
        <v>292</v>
      </c>
      <c r="GK599" s="4">
        <v>285</v>
      </c>
      <c r="GL599" s="4">
        <v>278</v>
      </c>
      <c r="GM599" s="4">
        <v>271</v>
      </c>
      <c r="GN599" s="4">
        <v>264</v>
      </c>
      <c r="GO599" s="4">
        <v>257</v>
      </c>
      <c r="GP599" s="4">
        <v>250</v>
      </c>
      <c r="GQ599" s="4">
        <v>243</v>
      </c>
      <c r="GR599" s="4">
        <v>236</v>
      </c>
      <c r="GS599" s="4">
        <v>229</v>
      </c>
      <c r="GT599" s="4">
        <v>222</v>
      </c>
      <c r="GU599" s="4">
        <v>215</v>
      </c>
      <c r="GV599" s="4">
        <v>208</v>
      </c>
      <c r="GW599" s="4">
        <v>201</v>
      </c>
      <c r="GX599" s="4">
        <v>194</v>
      </c>
      <c r="GY599" s="4">
        <v>187</v>
      </c>
      <c r="GZ599" s="4">
        <v>180</v>
      </c>
      <c r="HA599" s="4">
        <v>173</v>
      </c>
      <c r="HB599" s="4">
        <v>166</v>
      </c>
      <c r="HC599" s="19">
        <v>38.7</v>
      </c>
      <c r="HD599" s="19">
        <v>47.7</v>
      </c>
      <c r="HE599" s="19">
        <v>46.7</v>
      </c>
      <c r="HF599" s="19">
        <v>45.7</v>
      </c>
      <c r="HG599" s="19">
        <v>44.7</v>
      </c>
      <c r="HH599" s="19">
        <v>43.7</v>
      </c>
      <c r="HI599" s="19">
        <v>42.7</v>
      </c>
      <c r="HJ599" s="19">
        <v>41.7</v>
      </c>
      <c r="HK599" s="19">
        <v>40.7</v>
      </c>
      <c r="HL599" s="19">
        <v>39.7</v>
      </c>
      <c r="HM599" s="19">
        <v>38.7</v>
      </c>
      <c r="HN599" s="19">
        <v>37.7</v>
      </c>
      <c r="HO599" s="19">
        <v>36.7</v>
      </c>
      <c r="HP599" s="19">
        <v>35.7</v>
      </c>
      <c r="HQ599" s="19">
        <v>34.7</v>
      </c>
      <c r="HR599" s="19">
        <v>33.7</v>
      </c>
      <c r="HS599" s="19">
        <v>32.7</v>
      </c>
      <c r="HT599" s="19">
        <v>31.7</v>
      </c>
      <c r="HU599" s="19">
        <v>30.7</v>
      </c>
      <c r="HV599" s="19">
        <v>29.7</v>
      </c>
      <c r="HW599" s="19">
        <v>28.7</v>
      </c>
      <c r="HX599" s="19">
        <v>27.7</v>
      </c>
      <c r="HY599" s="19">
        <v>26.7</v>
      </c>
      <c r="HZ599" s="19">
        <v>25.7</v>
      </c>
      <c r="IA599" s="19">
        <v>24.7</v>
      </c>
      <c r="IB599" s="19">
        <v>23.7</v>
      </c>
    </row>
    <row r="600">
      <c r="A600" s="2" t="s">
        <v>3431</v>
      </c>
      <c r="B600" s="2" t="s">
        <v>3409</v>
      </c>
      <c r="C600" s="2" t="s">
        <v>762</v>
      </c>
      <c r="D600" s="2" t="s">
        <v>3410</v>
      </c>
      <c r="E600" s="2" t="s">
        <v>3411</v>
      </c>
      <c r="F600" s="2" t="s">
        <v>3412</v>
      </c>
      <c r="G600" s="2" t="s">
        <v>233</v>
      </c>
      <c r="H600" s="2" t="s">
        <v>233</v>
      </c>
      <c r="I600" s="2" t="s">
        <v>3413</v>
      </c>
      <c r="J600" s="2" t="s">
        <v>3414</v>
      </c>
      <c r="K600" s="2" t="s">
        <v>266</v>
      </c>
      <c r="L600" s="3">
        <v>18.5</v>
      </c>
      <c r="M600" s="3">
        <v>19.42</v>
      </c>
      <c r="N600" s="3">
        <v>39.99</v>
      </c>
      <c r="O600" s="2" t="s">
        <v>230</v>
      </c>
      <c r="P600" s="2" t="s">
        <v>597</v>
      </c>
      <c r="Q600" s="2" t="s">
        <v>232</v>
      </c>
      <c r="R600" s="2" t="s">
        <v>233</v>
      </c>
      <c r="S600" s="2" t="s">
        <v>233</v>
      </c>
      <c r="T600" s="2" t="s">
        <v>233</v>
      </c>
      <c r="U600" s="2" t="s">
        <v>233</v>
      </c>
      <c r="V600" s="2" t="s">
        <v>236</v>
      </c>
      <c r="W600" s="2" t="s">
        <v>233</v>
      </c>
      <c r="X600" s="2" t="s">
        <v>233</v>
      </c>
      <c r="Y600" s="2" t="s">
        <v>3415</v>
      </c>
      <c r="Z600" s="4">
        <v>508</v>
      </c>
      <c r="AA600" s="4">
        <f>=ROUNDDOWN(40.64,0)</f>
      </c>
      <c r="AB600" s="5">
        <v>12.5</v>
      </c>
      <c r="AC600" s="2" t="s">
        <v>233</v>
      </c>
      <c r="AD600" s="4"/>
      <c r="AE600" s="4"/>
      <c r="AF600" s="6"/>
      <c r="AG600" s="6">
        <v>73</v>
      </c>
      <c r="AH600" s="7">
        <v>1</v>
      </c>
      <c r="AI600" s="4"/>
      <c r="AJ600" s="4">
        <f>=ROUNDDOWN({0},0)</f>
      </c>
      <c r="AK600" s="5"/>
      <c r="AL600" s="2" t="s">
        <v>233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233</v>
      </c>
      <c r="AW600" s="8" t="s">
        <v>233</v>
      </c>
      <c r="AX600" s="4" t="s">
        <v>233</v>
      </c>
      <c r="AY600" s="8" t="s">
        <v>233</v>
      </c>
      <c r="AZ600" s="7" t="s">
        <v>233</v>
      </c>
      <c r="BA600" s="7" t="s">
        <v>233</v>
      </c>
      <c r="BB600" s="7"/>
      <c r="BC600" s="4" t="s">
        <v>233</v>
      </c>
      <c r="BD600" s="8" t="s">
        <v>233</v>
      </c>
      <c r="BE600" s="4" t="s">
        <v>233</v>
      </c>
      <c r="BF600" s="8" t="s">
        <v>233</v>
      </c>
      <c r="BG600" s="7" t="s">
        <v>233</v>
      </c>
      <c r="BH600" s="7" t="s">
        <v>233</v>
      </c>
      <c r="BI600" s="7"/>
      <c r="BJ600" s="4">
        <v>9</v>
      </c>
      <c r="BK600" s="8">
        <v>167.43</v>
      </c>
      <c r="BL600" s="2" t="s">
        <v>3432</v>
      </c>
      <c r="BM600" s="7"/>
      <c r="BN600" s="7"/>
      <c r="BO600" s="4"/>
      <c r="BP600" s="8"/>
      <c r="BQ600" s="4"/>
      <c r="BR600" s="8"/>
      <c r="BS600" s="7"/>
      <c r="BT600" s="7"/>
      <c r="BU600" s="2" t="s">
        <v>3417</v>
      </c>
      <c r="BV600" s="2" t="s">
        <v>233</v>
      </c>
      <c r="BW600" s="2" t="s">
        <v>233</v>
      </c>
      <c r="BX600" s="2" t="s">
        <v>241</v>
      </c>
      <c r="BY600" s="2" t="s">
        <v>242</v>
      </c>
      <c r="BZ600" s="2" t="s">
        <v>230</v>
      </c>
      <c r="CA600" s="2" t="s">
        <v>2692</v>
      </c>
      <c r="CB600" s="2" t="s">
        <v>233</v>
      </c>
      <c r="CC600" s="2" t="s">
        <v>245</v>
      </c>
      <c r="CD600" s="2" t="s">
        <v>233</v>
      </c>
      <c r="CE600" s="4"/>
      <c r="CF600" s="4"/>
      <c r="CG600" s="4"/>
      <c r="CH600" s="4">
        <v>508</v>
      </c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>
        <v>512</v>
      </c>
      <c r="GD600" s="4">
        <v>496</v>
      </c>
      <c r="GE600" s="4">
        <v>484</v>
      </c>
      <c r="GF600" s="4">
        <v>472</v>
      </c>
      <c r="GG600" s="4">
        <v>460</v>
      </c>
      <c r="GH600" s="4">
        <v>448</v>
      </c>
      <c r="GI600" s="4">
        <v>436</v>
      </c>
      <c r="GJ600" s="4">
        <v>424</v>
      </c>
      <c r="GK600" s="4">
        <v>412</v>
      </c>
      <c r="GL600" s="4">
        <v>400</v>
      </c>
      <c r="GM600" s="4">
        <v>388</v>
      </c>
      <c r="GN600" s="4">
        <v>376</v>
      </c>
      <c r="GO600" s="4">
        <v>364</v>
      </c>
      <c r="GP600" s="4">
        <v>352</v>
      </c>
      <c r="GQ600" s="4">
        <v>340</v>
      </c>
      <c r="GR600" s="4">
        <v>328</v>
      </c>
      <c r="GS600" s="4">
        <v>316</v>
      </c>
      <c r="GT600" s="4">
        <v>304</v>
      </c>
      <c r="GU600" s="4">
        <v>292</v>
      </c>
      <c r="GV600" s="4">
        <v>280</v>
      </c>
      <c r="GW600" s="4">
        <v>268</v>
      </c>
      <c r="GX600" s="4">
        <v>256</v>
      </c>
      <c r="GY600" s="4">
        <v>244</v>
      </c>
      <c r="GZ600" s="4">
        <v>232</v>
      </c>
      <c r="HA600" s="4">
        <v>220</v>
      </c>
      <c r="HB600" s="4">
        <v>208</v>
      </c>
      <c r="HC600" s="19">
        <v>39.4</v>
      </c>
      <c r="HD600" s="19">
        <v>41.3</v>
      </c>
      <c r="HE600" s="19">
        <v>40.3</v>
      </c>
      <c r="HF600" s="19">
        <v>39.3</v>
      </c>
      <c r="HG600" s="19">
        <v>38.3</v>
      </c>
      <c r="HH600" s="19">
        <v>37.3</v>
      </c>
      <c r="HI600" s="19">
        <v>36.3</v>
      </c>
      <c r="HJ600" s="19">
        <v>35.3</v>
      </c>
      <c r="HK600" s="19">
        <v>34.3</v>
      </c>
      <c r="HL600" s="19">
        <v>33.3</v>
      </c>
      <c r="HM600" s="19">
        <v>32.3</v>
      </c>
      <c r="HN600" s="19">
        <v>31.3</v>
      </c>
      <c r="HO600" s="19">
        <v>30.3</v>
      </c>
      <c r="HP600" s="19">
        <v>29.3</v>
      </c>
      <c r="HQ600" s="19">
        <v>28.3</v>
      </c>
      <c r="HR600" s="19">
        <v>27.3</v>
      </c>
      <c r="HS600" s="19">
        <v>26.3</v>
      </c>
      <c r="HT600" s="19">
        <v>25.3</v>
      </c>
      <c r="HU600" s="19">
        <v>24.3</v>
      </c>
      <c r="HV600" s="19">
        <v>23.3</v>
      </c>
      <c r="HW600" s="19">
        <v>22.3</v>
      </c>
      <c r="HX600" s="19">
        <v>21.3</v>
      </c>
      <c r="HY600" s="19">
        <v>20.3</v>
      </c>
      <c r="HZ600" s="19">
        <v>19.3</v>
      </c>
      <c r="IA600" s="19">
        <v>18.3</v>
      </c>
      <c r="IB600" s="19">
        <v>17.3</v>
      </c>
    </row>
    <row r="601">
      <c r="A601" s="2" t="s">
        <v>3433</v>
      </c>
      <c r="B601" s="2" t="s">
        <v>3409</v>
      </c>
      <c r="C601" s="2" t="s">
        <v>762</v>
      </c>
      <c r="D601" s="2" t="s">
        <v>3410</v>
      </c>
      <c r="E601" s="2" t="s">
        <v>3411</v>
      </c>
      <c r="F601" s="2" t="s">
        <v>3412</v>
      </c>
      <c r="G601" s="2" t="s">
        <v>233</v>
      </c>
      <c r="H601" s="2" t="s">
        <v>233</v>
      </c>
      <c r="I601" s="2" t="s">
        <v>3413</v>
      </c>
      <c r="J601" s="2" t="s">
        <v>3419</v>
      </c>
      <c r="K601" s="2" t="s">
        <v>266</v>
      </c>
      <c r="L601" s="3">
        <v>18.5</v>
      </c>
      <c r="M601" s="3">
        <v>19.42</v>
      </c>
      <c r="N601" s="3">
        <v>39.99</v>
      </c>
      <c r="O601" s="2" t="s">
        <v>230</v>
      </c>
      <c r="P601" s="2" t="s">
        <v>597</v>
      </c>
      <c r="Q601" s="2" t="s">
        <v>232</v>
      </c>
      <c r="R601" s="2" t="s">
        <v>233</v>
      </c>
      <c r="S601" s="2" t="s">
        <v>233</v>
      </c>
      <c r="T601" s="2" t="s">
        <v>233</v>
      </c>
      <c r="U601" s="2" t="s">
        <v>233</v>
      </c>
      <c r="V601" s="2" t="s">
        <v>236</v>
      </c>
      <c r="W601" s="2" t="s">
        <v>233</v>
      </c>
      <c r="X601" s="2" t="s">
        <v>233</v>
      </c>
      <c r="Y601" s="2" t="s">
        <v>3415</v>
      </c>
      <c r="Z601" s="4">
        <v>473</v>
      </c>
      <c r="AA601" s="4">
        <f>=ROUNDDOWN(33.7857142857143,0)</f>
      </c>
      <c r="AB601" s="5">
        <v>14</v>
      </c>
      <c r="AC601" s="2" t="s">
        <v>233</v>
      </c>
      <c r="AD601" s="4"/>
      <c r="AE601" s="4"/>
      <c r="AF601" s="6"/>
      <c r="AG601" s="6">
        <v>73</v>
      </c>
      <c r="AH601" s="7">
        <v>1</v>
      </c>
      <c r="AI601" s="4"/>
      <c r="AJ601" s="4">
        <f>=ROUNDDOWN({0},0)</f>
      </c>
      <c r="AK601" s="5"/>
      <c r="AL601" s="2" t="s">
        <v>233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233</v>
      </c>
      <c r="AW601" s="8" t="s">
        <v>233</v>
      </c>
      <c r="AX601" s="4" t="s">
        <v>233</v>
      </c>
      <c r="AY601" s="8" t="s">
        <v>233</v>
      </c>
      <c r="AZ601" s="7" t="s">
        <v>233</v>
      </c>
      <c r="BA601" s="7" t="s">
        <v>233</v>
      </c>
      <c r="BB601" s="7"/>
      <c r="BC601" s="4" t="s">
        <v>233</v>
      </c>
      <c r="BD601" s="8" t="s">
        <v>233</v>
      </c>
      <c r="BE601" s="4" t="s">
        <v>233</v>
      </c>
      <c r="BF601" s="8" t="s">
        <v>233</v>
      </c>
      <c r="BG601" s="7" t="s">
        <v>233</v>
      </c>
      <c r="BH601" s="7" t="s">
        <v>233</v>
      </c>
      <c r="BI601" s="7"/>
      <c r="BJ601" s="4">
        <v>22</v>
      </c>
      <c r="BK601" s="8">
        <v>473.76</v>
      </c>
      <c r="BL601" s="2" t="s">
        <v>3425</v>
      </c>
      <c r="BM601" s="7"/>
      <c r="BN601" s="7"/>
      <c r="BO601" s="4"/>
      <c r="BP601" s="8"/>
      <c r="BQ601" s="4"/>
      <c r="BR601" s="8"/>
      <c r="BS601" s="7"/>
      <c r="BT601" s="7"/>
      <c r="BU601" s="2" t="s">
        <v>3417</v>
      </c>
      <c r="BV601" s="2" t="s">
        <v>233</v>
      </c>
      <c r="BW601" s="2" t="s">
        <v>233</v>
      </c>
      <c r="BX601" s="2" t="s">
        <v>241</v>
      </c>
      <c r="BY601" s="2" t="s">
        <v>242</v>
      </c>
      <c r="BZ601" s="2" t="s">
        <v>230</v>
      </c>
      <c r="CA601" s="2" t="s">
        <v>3434</v>
      </c>
      <c r="CB601" s="2" t="s">
        <v>233</v>
      </c>
      <c r="CC601" s="2" t="s">
        <v>245</v>
      </c>
      <c r="CD601" s="2" t="s">
        <v>233</v>
      </c>
      <c r="CE601" s="4"/>
      <c r="CF601" s="4"/>
      <c r="CG601" s="4"/>
      <c r="CH601" s="4">
        <v>473</v>
      </c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>
        <v>478</v>
      </c>
      <c r="GD601" s="4">
        <v>460</v>
      </c>
      <c r="GE601" s="4">
        <v>446</v>
      </c>
      <c r="GF601" s="4">
        <v>432</v>
      </c>
      <c r="GG601" s="4">
        <v>418</v>
      </c>
      <c r="GH601" s="4">
        <v>404</v>
      </c>
      <c r="GI601" s="4">
        <v>390</v>
      </c>
      <c r="GJ601" s="4">
        <v>376</v>
      </c>
      <c r="GK601" s="4">
        <v>362</v>
      </c>
      <c r="GL601" s="4">
        <v>348</v>
      </c>
      <c r="GM601" s="4">
        <v>334</v>
      </c>
      <c r="GN601" s="4">
        <v>320</v>
      </c>
      <c r="GO601" s="4">
        <v>306</v>
      </c>
      <c r="GP601" s="4">
        <v>292</v>
      </c>
      <c r="GQ601" s="4">
        <v>278</v>
      </c>
      <c r="GR601" s="4">
        <v>264</v>
      </c>
      <c r="GS601" s="4">
        <v>250</v>
      </c>
      <c r="GT601" s="4">
        <v>236</v>
      </c>
      <c r="GU601" s="4">
        <v>222</v>
      </c>
      <c r="GV601" s="4">
        <v>208</v>
      </c>
      <c r="GW601" s="4">
        <v>194</v>
      </c>
      <c r="GX601" s="4">
        <v>180</v>
      </c>
      <c r="GY601" s="4">
        <v>166</v>
      </c>
      <c r="GZ601" s="4">
        <v>152</v>
      </c>
      <c r="HA601" s="4">
        <v>138</v>
      </c>
      <c r="HB601" s="4">
        <v>124</v>
      </c>
      <c r="HC601" s="19">
        <v>31.9</v>
      </c>
      <c r="HD601" s="19">
        <v>32.9</v>
      </c>
      <c r="HE601" s="19">
        <v>31.9</v>
      </c>
      <c r="HF601" s="19">
        <v>30.9</v>
      </c>
      <c r="HG601" s="19">
        <v>29.9</v>
      </c>
      <c r="HH601" s="19">
        <v>28.9</v>
      </c>
      <c r="HI601" s="19">
        <v>27.9</v>
      </c>
      <c r="HJ601" s="19">
        <v>26.9</v>
      </c>
      <c r="HK601" s="19">
        <v>25.9</v>
      </c>
      <c r="HL601" s="19">
        <v>24.9</v>
      </c>
      <c r="HM601" s="19">
        <v>23.9</v>
      </c>
      <c r="HN601" s="19">
        <v>22.9</v>
      </c>
      <c r="HO601" s="19">
        <v>21.9</v>
      </c>
      <c r="HP601" s="19">
        <v>20.9</v>
      </c>
      <c r="HQ601" s="19">
        <v>19.9</v>
      </c>
      <c r="HR601" s="19">
        <v>18.9</v>
      </c>
      <c r="HS601" s="19">
        <v>17.9</v>
      </c>
      <c r="HT601" s="19">
        <v>16.9</v>
      </c>
      <c r="HU601" s="19">
        <v>15.9</v>
      </c>
      <c r="HV601" s="19">
        <v>14.9</v>
      </c>
      <c r="HW601" s="19">
        <v>13.9</v>
      </c>
      <c r="HX601" s="19">
        <v>12.9</v>
      </c>
      <c r="HY601" s="19">
        <v>11.9</v>
      </c>
      <c r="HZ601" s="19">
        <v>10.9</v>
      </c>
      <c r="IA601" s="19">
        <v>9.9</v>
      </c>
      <c r="IB601" s="19">
        <v>8.9</v>
      </c>
    </row>
    <row r="602">
      <c r="A602" s="2" t="s">
        <v>3435</v>
      </c>
      <c r="B602" s="2" t="s">
        <v>3409</v>
      </c>
      <c r="C602" s="2" t="s">
        <v>762</v>
      </c>
      <c r="D602" s="2" t="s">
        <v>3410</v>
      </c>
      <c r="E602" s="2" t="s">
        <v>3411</v>
      </c>
      <c r="F602" s="2" t="s">
        <v>3436</v>
      </c>
      <c r="G602" s="2" t="s">
        <v>233</v>
      </c>
      <c r="H602" s="2" t="s">
        <v>233</v>
      </c>
      <c r="I602" s="2" t="s">
        <v>3437</v>
      </c>
      <c r="J602" s="2" t="s">
        <v>3414</v>
      </c>
      <c r="K602" s="2" t="s">
        <v>3438</v>
      </c>
      <c r="L602" s="3">
        <v>9</v>
      </c>
      <c r="M602" s="3">
        <v>10.5</v>
      </c>
      <c r="N602" s="3">
        <v>19.99</v>
      </c>
      <c r="O602" s="2" t="s">
        <v>230</v>
      </c>
      <c r="P602" s="2" t="s">
        <v>597</v>
      </c>
      <c r="Q602" s="2" t="s">
        <v>232</v>
      </c>
      <c r="R602" s="2" t="s">
        <v>233</v>
      </c>
      <c r="S602" s="2" t="s">
        <v>233</v>
      </c>
      <c r="T602" s="2" t="s">
        <v>233</v>
      </c>
      <c r="U602" s="2" t="s">
        <v>233</v>
      </c>
      <c r="V602" s="2" t="s">
        <v>609</v>
      </c>
      <c r="W602" s="2" t="s">
        <v>233</v>
      </c>
      <c r="X602" s="2" t="s">
        <v>233</v>
      </c>
      <c r="Y602" s="2" t="s">
        <v>3209</v>
      </c>
      <c r="Z602" s="4">
        <v>363</v>
      </c>
      <c r="AA602" s="4">
        <f>=ROUNDDOWN(19.1052631578947,0)</f>
      </c>
      <c r="AB602" s="5">
        <v>19</v>
      </c>
      <c r="AC602" s="2" t="s">
        <v>233</v>
      </c>
      <c r="AD602" s="4"/>
      <c r="AE602" s="4"/>
      <c r="AF602" s="6"/>
      <c r="AG602" s="6">
        <v>48</v>
      </c>
      <c r="AH602" s="7">
        <v>1</v>
      </c>
      <c r="AI602" s="4"/>
      <c r="AJ602" s="4">
        <f>=ROUNDDOWN({0},0)</f>
      </c>
      <c r="AK602" s="5"/>
      <c r="AL602" s="2" t="s">
        <v>233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233</v>
      </c>
      <c r="AW602" s="8" t="s">
        <v>233</v>
      </c>
      <c r="AX602" s="4" t="s">
        <v>233</v>
      </c>
      <c r="AY602" s="8" t="s">
        <v>233</v>
      </c>
      <c r="AZ602" s="7" t="s">
        <v>233</v>
      </c>
      <c r="BA602" s="7" t="s">
        <v>233</v>
      </c>
      <c r="BB602" s="7"/>
      <c r="BC602" s="4" t="s">
        <v>233</v>
      </c>
      <c r="BD602" s="8" t="s">
        <v>233</v>
      </c>
      <c r="BE602" s="4" t="s">
        <v>233</v>
      </c>
      <c r="BF602" s="8" t="s">
        <v>233</v>
      </c>
      <c r="BG602" s="7" t="s">
        <v>233</v>
      </c>
      <c r="BH602" s="7" t="s">
        <v>233</v>
      </c>
      <c r="BI602" s="7"/>
      <c r="BJ602" s="4">
        <v>4</v>
      </c>
      <c r="BK602" s="8">
        <v>68</v>
      </c>
      <c r="BL602" s="2" t="s">
        <v>835</v>
      </c>
      <c r="BM602" s="7"/>
      <c r="BN602" s="7"/>
      <c r="BO602" s="4"/>
      <c r="BP602" s="8"/>
      <c r="BQ602" s="4"/>
      <c r="BR602" s="8"/>
      <c r="BS602" s="7"/>
      <c r="BT602" s="7"/>
      <c r="BU602" s="2" t="s">
        <v>3439</v>
      </c>
      <c r="BV602" s="2" t="s">
        <v>233</v>
      </c>
      <c r="BW602" s="2" t="s">
        <v>233</v>
      </c>
      <c r="BX602" s="2" t="s">
        <v>241</v>
      </c>
      <c r="BY602" s="2" t="s">
        <v>242</v>
      </c>
      <c r="BZ602" s="2" t="s">
        <v>230</v>
      </c>
      <c r="CA602" s="2" t="s">
        <v>3440</v>
      </c>
      <c r="CB602" s="2" t="s">
        <v>233</v>
      </c>
      <c r="CC602" s="2" t="s">
        <v>245</v>
      </c>
      <c r="CD602" s="2" t="s">
        <v>233</v>
      </c>
      <c r="CE602" s="4"/>
      <c r="CF602" s="4"/>
      <c r="CG602" s="4"/>
      <c r="CH602" s="4">
        <v>363</v>
      </c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>
        <v>363</v>
      </c>
      <c r="GD602" s="4">
        <v>345</v>
      </c>
      <c r="GE602" s="4">
        <v>327</v>
      </c>
      <c r="GF602" s="4">
        <v>309</v>
      </c>
      <c r="GG602" s="4">
        <v>291</v>
      </c>
      <c r="GH602" s="4">
        <v>273</v>
      </c>
      <c r="GI602" s="4">
        <v>255</v>
      </c>
      <c r="GJ602" s="4">
        <v>237</v>
      </c>
      <c r="GK602" s="4">
        <v>219</v>
      </c>
      <c r="GL602" s="4">
        <v>201</v>
      </c>
      <c r="GM602" s="4">
        <v>183</v>
      </c>
      <c r="GN602" s="4">
        <v>165</v>
      </c>
      <c r="GO602" s="4">
        <v>147</v>
      </c>
      <c r="GP602" s="4">
        <v>129</v>
      </c>
      <c r="GQ602" s="4">
        <v>111</v>
      </c>
      <c r="GR602" s="4">
        <v>93</v>
      </c>
      <c r="GS602" s="4">
        <v>418</v>
      </c>
      <c r="GT602" s="4">
        <v>399</v>
      </c>
      <c r="GU602" s="4">
        <v>380</v>
      </c>
      <c r="GV602" s="4">
        <v>361</v>
      </c>
      <c r="GW602" s="4">
        <v>342</v>
      </c>
      <c r="GX602" s="4">
        <v>323</v>
      </c>
      <c r="GY602" s="4">
        <v>304</v>
      </c>
      <c r="GZ602" s="4">
        <v>285</v>
      </c>
      <c r="HA602" s="4">
        <v>266</v>
      </c>
      <c r="HB602" s="4">
        <v>247</v>
      </c>
      <c r="HC602" s="19">
        <v>20.2</v>
      </c>
      <c r="HD602" s="19">
        <v>19.2</v>
      </c>
      <c r="HE602" s="19">
        <v>18.2</v>
      </c>
      <c r="HF602" s="19">
        <v>17.2</v>
      </c>
      <c r="HG602" s="19">
        <v>16.2</v>
      </c>
      <c r="HH602" s="19">
        <v>15.2</v>
      </c>
      <c r="HI602" s="19">
        <v>14.2</v>
      </c>
      <c r="HJ602" s="19">
        <v>13.2</v>
      </c>
      <c r="HK602" s="19">
        <v>12.2</v>
      </c>
      <c r="HL602" s="19">
        <v>11.2</v>
      </c>
      <c r="HM602" s="19">
        <v>10.2</v>
      </c>
      <c r="HN602" s="19">
        <v>9.2</v>
      </c>
      <c r="HO602" s="19">
        <v>8.2</v>
      </c>
      <c r="HP602" s="19">
        <v>7.2</v>
      </c>
      <c r="HQ602" s="19">
        <v>6.2</v>
      </c>
      <c r="HR602" s="19">
        <v>4.9</v>
      </c>
      <c r="HS602" s="19">
        <v>22</v>
      </c>
      <c r="HT602" s="19">
        <v>21</v>
      </c>
      <c r="HU602" s="19">
        <v>20</v>
      </c>
      <c r="HV602" s="19">
        <v>19</v>
      </c>
      <c r="HW602" s="19">
        <v>18</v>
      </c>
      <c r="HX602" s="19">
        <v>17</v>
      </c>
      <c r="HY602" s="19">
        <v>16</v>
      </c>
      <c r="HZ602" s="19">
        <v>15</v>
      </c>
      <c r="IA602" s="19">
        <v>14</v>
      </c>
      <c r="IB602" s="19">
        <v>13</v>
      </c>
    </row>
    <row r="603">
      <c r="A603" s="2" t="s">
        <v>3441</v>
      </c>
      <c r="B603" s="2" t="s">
        <v>3409</v>
      </c>
      <c r="C603" s="2" t="s">
        <v>762</v>
      </c>
      <c r="D603" s="2" t="s">
        <v>3410</v>
      </c>
      <c r="E603" s="2" t="s">
        <v>3411</v>
      </c>
      <c r="F603" s="2" t="s">
        <v>3436</v>
      </c>
      <c r="G603" s="2" t="s">
        <v>233</v>
      </c>
      <c r="H603" s="2" t="s">
        <v>233</v>
      </c>
      <c r="I603" s="2" t="s">
        <v>3437</v>
      </c>
      <c r="J603" s="2" t="s">
        <v>3419</v>
      </c>
      <c r="K603" s="2" t="s">
        <v>3438</v>
      </c>
      <c r="L603" s="3">
        <v>9</v>
      </c>
      <c r="M603" s="3">
        <v>10.5</v>
      </c>
      <c r="N603" s="3">
        <v>19.99</v>
      </c>
      <c r="O603" s="2" t="s">
        <v>230</v>
      </c>
      <c r="P603" s="2" t="s">
        <v>597</v>
      </c>
      <c r="Q603" s="2" t="s">
        <v>232</v>
      </c>
      <c r="R603" s="2" t="s">
        <v>233</v>
      </c>
      <c r="S603" s="2" t="s">
        <v>233</v>
      </c>
      <c r="T603" s="2" t="s">
        <v>233</v>
      </c>
      <c r="U603" s="2" t="s">
        <v>233</v>
      </c>
      <c r="V603" s="2" t="s">
        <v>609</v>
      </c>
      <c r="W603" s="2" t="s">
        <v>233</v>
      </c>
      <c r="X603" s="2" t="s">
        <v>233</v>
      </c>
      <c r="Y603" s="2" t="s">
        <v>3209</v>
      </c>
      <c r="Z603" s="4">
        <v>400</v>
      </c>
      <c r="AA603" s="4">
        <f>=ROUNDDOWN(133.333333333333,0)</f>
      </c>
      <c r="AB603" s="5">
        <v>3</v>
      </c>
      <c r="AC603" s="2" t="s">
        <v>233</v>
      </c>
      <c r="AD603" s="4"/>
      <c r="AE603" s="4"/>
      <c r="AF603" s="6"/>
      <c r="AG603" s="6">
        <v>48</v>
      </c>
      <c r="AH603" s="7">
        <v>1</v>
      </c>
      <c r="AI603" s="4"/>
      <c r="AJ603" s="4">
        <f>=ROUNDDOWN({0},0)</f>
      </c>
      <c r="AK603" s="5"/>
      <c r="AL603" s="2" t="s">
        <v>233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233</v>
      </c>
      <c r="AW603" s="8" t="s">
        <v>233</v>
      </c>
      <c r="AX603" s="4" t="s">
        <v>233</v>
      </c>
      <c r="AY603" s="8" t="s">
        <v>233</v>
      </c>
      <c r="AZ603" s="7" t="s">
        <v>233</v>
      </c>
      <c r="BA603" s="7" t="s">
        <v>233</v>
      </c>
      <c r="BB603" s="7"/>
      <c r="BC603" s="4" t="s">
        <v>233</v>
      </c>
      <c r="BD603" s="8" t="s">
        <v>233</v>
      </c>
      <c r="BE603" s="4" t="s">
        <v>233</v>
      </c>
      <c r="BF603" s="8" t="s">
        <v>233</v>
      </c>
      <c r="BG603" s="7" t="s">
        <v>233</v>
      </c>
      <c r="BH603" s="7" t="s">
        <v>233</v>
      </c>
      <c r="BI603" s="7"/>
      <c r="BJ603" s="4">
        <v>4</v>
      </c>
      <c r="BK603" s="8">
        <v>61</v>
      </c>
      <c r="BL603" s="2" t="s">
        <v>3442</v>
      </c>
      <c r="BM603" s="7"/>
      <c r="BN603" s="7"/>
      <c r="BO603" s="4"/>
      <c r="BP603" s="8"/>
      <c r="BQ603" s="4"/>
      <c r="BR603" s="8"/>
      <c r="BS603" s="7"/>
      <c r="BT603" s="7"/>
      <c r="BU603" s="2" t="s">
        <v>3439</v>
      </c>
      <c r="BV603" s="2" t="s">
        <v>233</v>
      </c>
      <c r="BW603" s="2" t="s">
        <v>233</v>
      </c>
      <c r="BX603" s="2" t="s">
        <v>241</v>
      </c>
      <c r="BY603" s="2" t="s">
        <v>242</v>
      </c>
      <c r="BZ603" s="2" t="s">
        <v>230</v>
      </c>
      <c r="CA603" s="2" t="s">
        <v>3440</v>
      </c>
      <c r="CB603" s="2" t="s">
        <v>233</v>
      </c>
      <c r="CC603" s="2" t="s">
        <v>245</v>
      </c>
      <c r="CD603" s="2" t="s">
        <v>233</v>
      </c>
      <c r="CE603" s="4"/>
      <c r="CF603" s="4"/>
      <c r="CG603" s="4"/>
      <c r="CH603" s="4">
        <v>400</v>
      </c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>
        <v>401</v>
      </c>
      <c r="GD603" s="4">
        <v>383</v>
      </c>
      <c r="GE603" s="4">
        <v>380</v>
      </c>
      <c r="GF603" s="4">
        <v>377</v>
      </c>
      <c r="GG603" s="4">
        <v>374</v>
      </c>
      <c r="GH603" s="4">
        <v>371</v>
      </c>
      <c r="GI603" s="4">
        <v>368</v>
      </c>
      <c r="GJ603" s="4">
        <v>365</v>
      </c>
      <c r="GK603" s="4">
        <v>362</v>
      </c>
      <c r="GL603" s="4">
        <v>359</v>
      </c>
      <c r="GM603" s="4">
        <v>356</v>
      </c>
      <c r="GN603" s="4">
        <v>353</v>
      </c>
      <c r="GO603" s="4">
        <v>350</v>
      </c>
      <c r="GP603" s="4">
        <v>347</v>
      </c>
      <c r="GQ603" s="4">
        <v>344</v>
      </c>
      <c r="GR603" s="4">
        <v>341</v>
      </c>
      <c r="GS603" s="4">
        <v>338</v>
      </c>
      <c r="GT603" s="4">
        <v>335</v>
      </c>
      <c r="GU603" s="4">
        <v>332</v>
      </c>
      <c r="GV603" s="4">
        <v>329</v>
      </c>
      <c r="GW603" s="4">
        <v>326</v>
      </c>
      <c r="GX603" s="4">
        <v>323</v>
      </c>
      <c r="GY603" s="4">
        <v>320</v>
      </c>
      <c r="GZ603" s="4">
        <v>317</v>
      </c>
      <c r="HA603" s="4">
        <v>314</v>
      </c>
      <c r="HB603" s="4">
        <v>311</v>
      </c>
      <c r="HC603" s="19">
        <v>57.3</v>
      </c>
      <c r="HD603" s="19">
        <v>127.7</v>
      </c>
      <c r="HE603" s="19">
        <v>126.7</v>
      </c>
      <c r="HF603" s="19">
        <v>125.7</v>
      </c>
      <c r="HG603" s="19">
        <v>124.7</v>
      </c>
      <c r="HH603" s="19">
        <v>123.7</v>
      </c>
      <c r="HI603" s="19">
        <v>122.7</v>
      </c>
      <c r="HJ603" s="19">
        <v>121.7</v>
      </c>
      <c r="HK603" s="19">
        <v>120.7</v>
      </c>
      <c r="HL603" s="19">
        <v>119.7</v>
      </c>
      <c r="HM603" s="19">
        <v>118.7</v>
      </c>
      <c r="HN603" s="19">
        <v>117.7</v>
      </c>
      <c r="HO603" s="19">
        <v>116.7</v>
      </c>
      <c r="HP603" s="19">
        <v>115.7</v>
      </c>
      <c r="HQ603" s="19">
        <v>114.7</v>
      </c>
      <c r="HR603" s="19">
        <v>113.7</v>
      </c>
      <c r="HS603" s="19">
        <v>112.7</v>
      </c>
      <c r="HT603" s="19">
        <v>111.7</v>
      </c>
      <c r="HU603" s="19">
        <v>110.7</v>
      </c>
      <c r="HV603" s="19">
        <v>109.7</v>
      </c>
      <c r="HW603" s="19">
        <v>108.7</v>
      </c>
      <c r="HX603" s="19">
        <v>107.7</v>
      </c>
      <c r="HY603" s="19">
        <v>106.7</v>
      </c>
      <c r="HZ603" s="19">
        <v>105.7</v>
      </c>
      <c r="IA603" s="19">
        <v>104.7</v>
      </c>
      <c r="IB603" s="19">
        <v>103.7</v>
      </c>
    </row>
    <row r="604">
      <c r="A604" s="2" t="s">
        <v>3443</v>
      </c>
      <c r="B604" s="2" t="s">
        <v>3409</v>
      </c>
      <c r="C604" s="2" t="s">
        <v>762</v>
      </c>
      <c r="D604" s="2" t="s">
        <v>3410</v>
      </c>
      <c r="E604" s="2" t="s">
        <v>3411</v>
      </c>
      <c r="F604" s="2" t="s">
        <v>3436</v>
      </c>
      <c r="G604" s="2" t="s">
        <v>233</v>
      </c>
      <c r="H604" s="2" t="s">
        <v>233</v>
      </c>
      <c r="I604" s="2" t="s">
        <v>3437</v>
      </c>
      <c r="J604" s="2" t="s">
        <v>3414</v>
      </c>
      <c r="K604" s="2" t="s">
        <v>3444</v>
      </c>
      <c r="L604" s="3">
        <v>9</v>
      </c>
      <c r="M604" s="3">
        <v>10.5</v>
      </c>
      <c r="N604" s="3">
        <v>19.99</v>
      </c>
      <c r="O604" s="2" t="s">
        <v>230</v>
      </c>
      <c r="P604" s="2" t="s">
        <v>597</v>
      </c>
      <c r="Q604" s="2" t="s">
        <v>232</v>
      </c>
      <c r="R604" s="2" t="s">
        <v>233</v>
      </c>
      <c r="S604" s="2" t="s">
        <v>233</v>
      </c>
      <c r="T604" s="2" t="s">
        <v>233</v>
      </c>
      <c r="U604" s="2" t="s">
        <v>233</v>
      </c>
      <c r="V604" s="2" t="s">
        <v>609</v>
      </c>
      <c r="W604" s="2" t="s">
        <v>233</v>
      </c>
      <c r="X604" s="2" t="s">
        <v>233</v>
      </c>
      <c r="Y604" s="2" t="s">
        <v>3209</v>
      </c>
      <c r="Z604" s="4">
        <v>363</v>
      </c>
      <c r="AA604" s="4">
        <f>=ROUNDDOWN(90.75,0)</f>
      </c>
      <c r="AB604" s="5">
        <v>4</v>
      </c>
      <c r="AC604" s="2" t="s">
        <v>233</v>
      </c>
      <c r="AD604" s="4"/>
      <c r="AE604" s="4"/>
      <c r="AF604" s="6"/>
      <c r="AG604" s="6">
        <v>48</v>
      </c>
      <c r="AH604" s="7">
        <v>1</v>
      </c>
      <c r="AI604" s="4"/>
      <c r="AJ604" s="4">
        <f>=ROUNDDOWN({0},0)</f>
      </c>
      <c r="AK604" s="5"/>
      <c r="AL604" s="2" t="s">
        <v>233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233</v>
      </c>
      <c r="AW604" s="8" t="s">
        <v>233</v>
      </c>
      <c r="AX604" s="4" t="s">
        <v>233</v>
      </c>
      <c r="AY604" s="8" t="s">
        <v>233</v>
      </c>
      <c r="AZ604" s="7" t="s">
        <v>233</v>
      </c>
      <c r="BA604" s="7" t="s">
        <v>233</v>
      </c>
      <c r="BB604" s="7"/>
      <c r="BC604" s="4" t="s">
        <v>233</v>
      </c>
      <c r="BD604" s="8" t="s">
        <v>233</v>
      </c>
      <c r="BE604" s="4" t="s">
        <v>233</v>
      </c>
      <c r="BF604" s="8" t="s">
        <v>233</v>
      </c>
      <c r="BG604" s="7" t="s">
        <v>233</v>
      </c>
      <c r="BH604" s="7" t="s">
        <v>233</v>
      </c>
      <c r="BI604" s="7"/>
      <c r="BJ604" s="4">
        <v>31</v>
      </c>
      <c r="BK604" s="8">
        <v>517</v>
      </c>
      <c r="BL604" s="2" t="s">
        <v>387</v>
      </c>
      <c r="BM604" s="7"/>
      <c r="BN604" s="7"/>
      <c r="BO604" s="4"/>
      <c r="BP604" s="8"/>
      <c r="BQ604" s="4"/>
      <c r="BR604" s="8"/>
      <c r="BS604" s="7"/>
      <c r="BT604" s="7"/>
      <c r="BU604" s="2" t="s">
        <v>3439</v>
      </c>
      <c r="BV604" s="2" t="s">
        <v>233</v>
      </c>
      <c r="BW604" s="2" t="s">
        <v>233</v>
      </c>
      <c r="BX604" s="2" t="s">
        <v>241</v>
      </c>
      <c r="BY604" s="2" t="s">
        <v>242</v>
      </c>
      <c r="BZ604" s="2" t="s">
        <v>230</v>
      </c>
      <c r="CA604" s="2" t="s">
        <v>2692</v>
      </c>
      <c r="CB604" s="2" t="s">
        <v>233</v>
      </c>
      <c r="CC604" s="2" t="s">
        <v>245</v>
      </c>
      <c r="CD604" s="2" t="s">
        <v>233</v>
      </c>
      <c r="CE604" s="4"/>
      <c r="CF604" s="4"/>
      <c r="CG604" s="4"/>
      <c r="CH604" s="4">
        <v>363</v>
      </c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>
        <v>365</v>
      </c>
      <c r="GD604" s="4">
        <v>360</v>
      </c>
      <c r="GE604" s="4">
        <v>357</v>
      </c>
      <c r="GF604" s="4">
        <v>354</v>
      </c>
      <c r="GG604" s="4">
        <v>351</v>
      </c>
      <c r="GH604" s="4">
        <v>348</v>
      </c>
      <c r="GI604" s="4">
        <v>345</v>
      </c>
      <c r="GJ604" s="4">
        <v>342</v>
      </c>
      <c r="GK604" s="4">
        <v>339</v>
      </c>
      <c r="GL604" s="4">
        <v>336</v>
      </c>
      <c r="GM604" s="4">
        <v>333</v>
      </c>
      <c r="GN604" s="4">
        <v>330</v>
      </c>
      <c r="GO604" s="4">
        <v>327</v>
      </c>
      <c r="GP604" s="4">
        <v>324</v>
      </c>
      <c r="GQ604" s="4">
        <v>321</v>
      </c>
      <c r="GR604" s="4">
        <v>318</v>
      </c>
      <c r="GS604" s="4">
        <v>315</v>
      </c>
      <c r="GT604" s="4">
        <v>312</v>
      </c>
      <c r="GU604" s="4">
        <v>309</v>
      </c>
      <c r="GV604" s="4">
        <v>306</v>
      </c>
      <c r="GW604" s="4">
        <v>303</v>
      </c>
      <c r="GX604" s="4">
        <v>300</v>
      </c>
      <c r="GY604" s="4">
        <v>297</v>
      </c>
      <c r="GZ604" s="4">
        <v>294</v>
      </c>
      <c r="HA604" s="4">
        <v>291</v>
      </c>
      <c r="HB604" s="4">
        <v>288</v>
      </c>
      <c r="HC604" s="19">
        <v>91.3</v>
      </c>
      <c r="HD604" s="19">
        <v>120</v>
      </c>
      <c r="HE604" s="19">
        <v>119</v>
      </c>
      <c r="HF604" s="19">
        <v>118</v>
      </c>
      <c r="HG604" s="19">
        <v>117</v>
      </c>
      <c r="HH604" s="19">
        <v>116</v>
      </c>
      <c r="HI604" s="19">
        <v>115</v>
      </c>
      <c r="HJ604" s="19">
        <v>114</v>
      </c>
      <c r="HK604" s="19">
        <v>113</v>
      </c>
      <c r="HL604" s="19">
        <v>112</v>
      </c>
      <c r="HM604" s="19">
        <v>111</v>
      </c>
      <c r="HN604" s="19">
        <v>110</v>
      </c>
      <c r="HO604" s="19">
        <v>109</v>
      </c>
      <c r="HP604" s="19">
        <v>108</v>
      </c>
      <c r="HQ604" s="19">
        <v>107</v>
      </c>
      <c r="HR604" s="19">
        <v>106</v>
      </c>
      <c r="HS604" s="19">
        <v>105</v>
      </c>
      <c r="HT604" s="19">
        <v>104</v>
      </c>
      <c r="HU604" s="19">
        <v>103</v>
      </c>
      <c r="HV604" s="19">
        <v>102</v>
      </c>
      <c r="HW604" s="19">
        <v>101</v>
      </c>
      <c r="HX604" s="19">
        <v>100</v>
      </c>
      <c r="HY604" s="19">
        <v>99</v>
      </c>
      <c r="HZ604" s="19">
        <v>98</v>
      </c>
      <c r="IA604" s="19">
        <v>97</v>
      </c>
      <c r="IB604" s="19">
        <v>96</v>
      </c>
    </row>
    <row r="605">
      <c r="A605" s="2" t="s">
        <v>3445</v>
      </c>
      <c r="B605" s="2" t="s">
        <v>3409</v>
      </c>
      <c r="C605" s="2" t="s">
        <v>762</v>
      </c>
      <c r="D605" s="2" t="s">
        <v>3410</v>
      </c>
      <c r="E605" s="2" t="s">
        <v>3411</v>
      </c>
      <c r="F605" s="2" t="s">
        <v>3436</v>
      </c>
      <c r="G605" s="2" t="s">
        <v>233</v>
      </c>
      <c r="H605" s="2" t="s">
        <v>233</v>
      </c>
      <c r="I605" s="2" t="s">
        <v>3437</v>
      </c>
      <c r="J605" s="2" t="s">
        <v>3419</v>
      </c>
      <c r="K605" s="2" t="s">
        <v>3444</v>
      </c>
      <c r="L605" s="3">
        <v>9</v>
      </c>
      <c r="M605" s="3">
        <v>10.5</v>
      </c>
      <c r="N605" s="3">
        <v>19.99</v>
      </c>
      <c r="O605" s="2" t="s">
        <v>230</v>
      </c>
      <c r="P605" s="2" t="s">
        <v>597</v>
      </c>
      <c r="Q605" s="2" t="s">
        <v>232</v>
      </c>
      <c r="R605" s="2" t="s">
        <v>233</v>
      </c>
      <c r="S605" s="2" t="s">
        <v>233</v>
      </c>
      <c r="T605" s="2" t="s">
        <v>233</v>
      </c>
      <c r="U605" s="2" t="s">
        <v>233</v>
      </c>
      <c r="V605" s="2" t="s">
        <v>609</v>
      </c>
      <c r="W605" s="2" t="s">
        <v>233</v>
      </c>
      <c r="X605" s="2" t="s">
        <v>233</v>
      </c>
      <c r="Y605" s="2" t="s">
        <v>3209</v>
      </c>
      <c r="Z605" s="4">
        <v>730</v>
      </c>
      <c r="AA605" s="4">
        <f>=ROUNDDOWN(243.333333333333,0)</f>
      </c>
      <c r="AB605" s="5">
        <v>3</v>
      </c>
      <c r="AC605" s="2" t="s">
        <v>233</v>
      </c>
      <c r="AD605" s="4"/>
      <c r="AE605" s="4"/>
      <c r="AF605" s="6"/>
      <c r="AG605" s="6">
        <v>48</v>
      </c>
      <c r="AH605" s="7">
        <v>1</v>
      </c>
      <c r="AI605" s="4"/>
      <c r="AJ605" s="4">
        <f>=ROUNDDOWN({0},0)</f>
      </c>
      <c r="AK605" s="5"/>
      <c r="AL605" s="2" t="s">
        <v>233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233</v>
      </c>
      <c r="AW605" s="8" t="s">
        <v>233</v>
      </c>
      <c r="AX605" s="4" t="s">
        <v>233</v>
      </c>
      <c r="AY605" s="8" t="s">
        <v>233</v>
      </c>
      <c r="AZ605" s="7" t="s">
        <v>233</v>
      </c>
      <c r="BA605" s="7" t="s">
        <v>233</v>
      </c>
      <c r="BB605" s="7"/>
      <c r="BC605" s="4" t="s">
        <v>233</v>
      </c>
      <c r="BD605" s="8" t="s">
        <v>233</v>
      </c>
      <c r="BE605" s="4" t="s">
        <v>233</v>
      </c>
      <c r="BF605" s="8" t="s">
        <v>233</v>
      </c>
      <c r="BG605" s="7" t="s">
        <v>233</v>
      </c>
      <c r="BH605" s="7" t="s">
        <v>233</v>
      </c>
      <c r="BI605" s="7"/>
      <c r="BJ605" s="4">
        <v>14</v>
      </c>
      <c r="BK605" s="8">
        <v>233</v>
      </c>
      <c r="BL605" s="2" t="s">
        <v>387</v>
      </c>
      <c r="BM605" s="7"/>
      <c r="BN605" s="7"/>
      <c r="BO605" s="4"/>
      <c r="BP605" s="8"/>
      <c r="BQ605" s="4"/>
      <c r="BR605" s="8"/>
      <c r="BS605" s="7"/>
      <c r="BT605" s="7"/>
      <c r="BU605" s="2" t="s">
        <v>3439</v>
      </c>
      <c r="BV605" s="2" t="s">
        <v>233</v>
      </c>
      <c r="BW605" s="2" t="s">
        <v>233</v>
      </c>
      <c r="BX605" s="2" t="s">
        <v>241</v>
      </c>
      <c r="BY605" s="2" t="s">
        <v>242</v>
      </c>
      <c r="BZ605" s="2" t="s">
        <v>230</v>
      </c>
      <c r="CA605" s="2" t="s">
        <v>2692</v>
      </c>
      <c r="CB605" s="2" t="s">
        <v>233</v>
      </c>
      <c r="CC605" s="2" t="s">
        <v>245</v>
      </c>
      <c r="CD605" s="2" t="s">
        <v>233</v>
      </c>
      <c r="CE605" s="4"/>
      <c r="CF605" s="4"/>
      <c r="CG605" s="4"/>
      <c r="CH605" s="4">
        <v>730</v>
      </c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>
        <v>742</v>
      </c>
      <c r="GD605" s="4">
        <v>740</v>
      </c>
      <c r="GE605" s="4">
        <v>738</v>
      </c>
      <c r="GF605" s="4">
        <v>736</v>
      </c>
      <c r="GG605" s="4">
        <v>734</v>
      </c>
      <c r="GH605" s="4">
        <v>732</v>
      </c>
      <c r="GI605" s="4">
        <v>730</v>
      </c>
      <c r="GJ605" s="4">
        <v>728</v>
      </c>
      <c r="GK605" s="4">
        <v>726</v>
      </c>
      <c r="GL605" s="4">
        <v>724</v>
      </c>
      <c r="GM605" s="4">
        <v>722</v>
      </c>
      <c r="GN605" s="4">
        <v>720</v>
      </c>
      <c r="GO605" s="4">
        <v>718</v>
      </c>
      <c r="GP605" s="4">
        <v>716</v>
      </c>
      <c r="GQ605" s="4">
        <v>714</v>
      </c>
      <c r="GR605" s="4">
        <v>712</v>
      </c>
      <c r="GS605" s="4">
        <v>710</v>
      </c>
      <c r="GT605" s="4">
        <v>708</v>
      </c>
      <c r="GU605" s="4">
        <v>706</v>
      </c>
      <c r="GV605" s="4">
        <v>704</v>
      </c>
      <c r="GW605" s="4">
        <v>702</v>
      </c>
      <c r="GX605" s="4">
        <v>700</v>
      </c>
      <c r="GY605" s="4">
        <v>698</v>
      </c>
      <c r="GZ605" s="4">
        <v>696</v>
      </c>
      <c r="HA605" s="4">
        <v>694</v>
      </c>
      <c r="HB605" s="4">
        <v>692</v>
      </c>
      <c r="HC605" s="19">
        <v>371</v>
      </c>
      <c r="HD605" s="19">
        <v>370</v>
      </c>
      <c r="HE605" s="19">
        <v>369</v>
      </c>
      <c r="HF605" s="19">
        <v>368</v>
      </c>
      <c r="HG605" s="19">
        <v>367</v>
      </c>
      <c r="HH605" s="19">
        <v>366</v>
      </c>
      <c r="HI605" s="19">
        <v>365</v>
      </c>
      <c r="HJ605" s="19">
        <v>364</v>
      </c>
      <c r="HK605" s="19">
        <v>363</v>
      </c>
      <c r="HL605" s="19">
        <v>362</v>
      </c>
      <c r="HM605" s="19">
        <v>361</v>
      </c>
      <c r="HN605" s="19">
        <v>360</v>
      </c>
      <c r="HO605" s="19">
        <v>359</v>
      </c>
      <c r="HP605" s="19">
        <v>358</v>
      </c>
      <c r="HQ605" s="19">
        <v>357</v>
      </c>
      <c r="HR605" s="19">
        <v>356</v>
      </c>
      <c r="HS605" s="19">
        <v>355</v>
      </c>
      <c r="HT605" s="19">
        <v>354</v>
      </c>
      <c r="HU605" s="19">
        <v>353</v>
      </c>
      <c r="HV605" s="19">
        <v>352</v>
      </c>
      <c r="HW605" s="19">
        <v>351</v>
      </c>
      <c r="HX605" s="19">
        <v>350</v>
      </c>
      <c r="HY605" s="19">
        <v>349</v>
      </c>
      <c r="HZ605" s="19">
        <v>348</v>
      </c>
      <c r="IA605" s="19">
        <v>347</v>
      </c>
      <c r="IB605" s="19">
        <v>346</v>
      </c>
    </row>
    <row r="606">
      <c r="A606" s="2" t="s">
        <v>3446</v>
      </c>
      <c r="B606" s="2" t="s">
        <v>3409</v>
      </c>
      <c r="C606" s="2" t="s">
        <v>762</v>
      </c>
      <c r="D606" s="2" t="s">
        <v>3410</v>
      </c>
      <c r="E606" s="2" t="s">
        <v>3411</v>
      </c>
      <c r="F606" s="2" t="s">
        <v>3447</v>
      </c>
      <c r="G606" s="2" t="s">
        <v>233</v>
      </c>
      <c r="H606" s="2" t="s">
        <v>233</v>
      </c>
      <c r="I606" s="2" t="s">
        <v>3448</v>
      </c>
      <c r="J606" s="2" t="s">
        <v>3449</v>
      </c>
      <c r="K606" s="2" t="s">
        <v>3450</v>
      </c>
      <c r="L606" s="3">
        <v>15</v>
      </c>
      <c r="M606" s="3">
        <v>15.75</v>
      </c>
      <c r="N606" s="3">
        <v>29.99</v>
      </c>
      <c r="O606" s="2" t="s">
        <v>230</v>
      </c>
      <c r="P606" s="2" t="s">
        <v>597</v>
      </c>
      <c r="Q606" s="2" t="s">
        <v>232</v>
      </c>
      <c r="R606" s="2" t="s">
        <v>233</v>
      </c>
      <c r="S606" s="2" t="s">
        <v>233</v>
      </c>
      <c r="T606" s="2" t="s">
        <v>233</v>
      </c>
      <c r="U606" s="2" t="s">
        <v>233</v>
      </c>
      <c r="V606" s="2" t="s">
        <v>609</v>
      </c>
      <c r="W606" s="2" t="s">
        <v>233</v>
      </c>
      <c r="X606" s="2" t="s">
        <v>233</v>
      </c>
      <c r="Y606" s="2" t="s">
        <v>3451</v>
      </c>
      <c r="Z606" s="4">
        <v>328</v>
      </c>
      <c r="AA606" s="4">
        <f>=ROUNDDOWN(109.333333333333,0)</f>
      </c>
      <c r="AB606" s="5">
        <v>3</v>
      </c>
      <c r="AC606" s="2" t="s">
        <v>233</v>
      </c>
      <c r="AD606" s="4"/>
      <c r="AE606" s="4"/>
      <c r="AF606" s="6"/>
      <c r="AG606" s="6">
        <v>48</v>
      </c>
      <c r="AH606" s="7">
        <v>1</v>
      </c>
      <c r="AI606" s="4"/>
      <c r="AJ606" s="4">
        <f>=ROUNDDOWN({0},0)</f>
      </c>
      <c r="AK606" s="5"/>
      <c r="AL606" s="2" t="s">
        <v>233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233</v>
      </c>
      <c r="AW606" s="8" t="s">
        <v>233</v>
      </c>
      <c r="AX606" s="4" t="s">
        <v>233</v>
      </c>
      <c r="AY606" s="8" t="s">
        <v>233</v>
      </c>
      <c r="AZ606" s="7" t="s">
        <v>233</v>
      </c>
      <c r="BA606" s="7" t="s">
        <v>233</v>
      </c>
      <c r="BB606" s="7"/>
      <c r="BC606" s="4" t="s">
        <v>233</v>
      </c>
      <c r="BD606" s="8" t="s">
        <v>233</v>
      </c>
      <c r="BE606" s="4" t="s">
        <v>233</v>
      </c>
      <c r="BF606" s="8" t="s">
        <v>233</v>
      </c>
      <c r="BG606" s="7" t="s">
        <v>233</v>
      </c>
      <c r="BH606" s="7" t="s">
        <v>233</v>
      </c>
      <c r="BI606" s="7"/>
      <c r="BJ606" s="4">
        <v>3</v>
      </c>
      <c r="BK606" s="8">
        <v>53.8</v>
      </c>
      <c r="BL606" s="2" t="s">
        <v>3452</v>
      </c>
      <c r="BM606" s="7"/>
      <c r="BN606" s="7"/>
      <c r="BO606" s="4"/>
      <c r="BP606" s="8"/>
      <c r="BQ606" s="4"/>
      <c r="BR606" s="8"/>
      <c r="BS606" s="7"/>
      <c r="BT606" s="7"/>
      <c r="BU606" s="2" t="s">
        <v>3453</v>
      </c>
      <c r="BV606" s="2" t="s">
        <v>233</v>
      </c>
      <c r="BW606" s="2" t="s">
        <v>233</v>
      </c>
      <c r="BX606" s="2" t="s">
        <v>241</v>
      </c>
      <c r="BY606" s="2" t="s">
        <v>242</v>
      </c>
      <c r="BZ606" s="2" t="s">
        <v>230</v>
      </c>
      <c r="CA606" s="2" t="s">
        <v>2692</v>
      </c>
      <c r="CB606" s="2" t="s">
        <v>233</v>
      </c>
      <c r="CC606" s="2" t="s">
        <v>245</v>
      </c>
      <c r="CD606" s="2" t="s">
        <v>233</v>
      </c>
      <c r="CE606" s="4"/>
      <c r="CF606" s="4"/>
      <c r="CG606" s="4"/>
      <c r="CH606" s="4">
        <v>328</v>
      </c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>
        <v>330</v>
      </c>
      <c r="GD606" s="4">
        <v>308</v>
      </c>
      <c r="GE606" s="4">
        <v>305</v>
      </c>
      <c r="GF606" s="4">
        <v>302</v>
      </c>
      <c r="GG606" s="4">
        <v>299</v>
      </c>
      <c r="GH606" s="4">
        <v>296</v>
      </c>
      <c r="GI606" s="4">
        <v>293</v>
      </c>
      <c r="GJ606" s="4">
        <v>290</v>
      </c>
      <c r="GK606" s="4">
        <v>287</v>
      </c>
      <c r="GL606" s="4">
        <v>284</v>
      </c>
      <c r="GM606" s="4">
        <v>281</v>
      </c>
      <c r="GN606" s="4">
        <v>278</v>
      </c>
      <c r="GO606" s="4">
        <v>275</v>
      </c>
      <c r="GP606" s="4">
        <v>272</v>
      </c>
      <c r="GQ606" s="4">
        <v>269</v>
      </c>
      <c r="GR606" s="4">
        <v>266</v>
      </c>
      <c r="GS606" s="4">
        <v>263</v>
      </c>
      <c r="GT606" s="4">
        <v>260</v>
      </c>
      <c r="GU606" s="4">
        <v>257</v>
      </c>
      <c r="GV606" s="4">
        <v>254</v>
      </c>
      <c r="GW606" s="4">
        <v>251</v>
      </c>
      <c r="GX606" s="4">
        <v>248</v>
      </c>
      <c r="GY606" s="4">
        <v>245</v>
      </c>
      <c r="GZ606" s="4">
        <v>242</v>
      </c>
      <c r="HA606" s="4">
        <v>239</v>
      </c>
      <c r="HB606" s="4">
        <v>236</v>
      </c>
      <c r="HC606" s="19">
        <v>41.3</v>
      </c>
      <c r="HD606" s="19">
        <v>102.7</v>
      </c>
      <c r="HE606" s="19">
        <v>101.7</v>
      </c>
      <c r="HF606" s="19">
        <v>100.7</v>
      </c>
      <c r="HG606" s="19">
        <v>99.7</v>
      </c>
      <c r="HH606" s="19">
        <v>98.7</v>
      </c>
      <c r="HI606" s="19">
        <v>97.7</v>
      </c>
      <c r="HJ606" s="19">
        <v>96.7</v>
      </c>
      <c r="HK606" s="19">
        <v>95.7</v>
      </c>
      <c r="HL606" s="19">
        <v>94.7</v>
      </c>
      <c r="HM606" s="19">
        <v>93.7</v>
      </c>
      <c r="HN606" s="19">
        <v>92.7</v>
      </c>
      <c r="HO606" s="19">
        <v>91.7</v>
      </c>
      <c r="HP606" s="19">
        <v>90.7</v>
      </c>
      <c r="HQ606" s="19">
        <v>89.7</v>
      </c>
      <c r="HR606" s="19">
        <v>88.7</v>
      </c>
      <c r="HS606" s="19">
        <v>87.7</v>
      </c>
      <c r="HT606" s="19">
        <v>86.7</v>
      </c>
      <c r="HU606" s="19">
        <v>85.7</v>
      </c>
      <c r="HV606" s="19">
        <v>84.7</v>
      </c>
      <c r="HW606" s="19">
        <v>83.7</v>
      </c>
      <c r="HX606" s="19">
        <v>82.7</v>
      </c>
      <c r="HY606" s="19">
        <v>81.7</v>
      </c>
      <c r="HZ606" s="19">
        <v>80.7</v>
      </c>
      <c r="IA606" s="19">
        <v>79.7</v>
      </c>
      <c r="IB606" s="19">
        <v>78.7</v>
      </c>
    </row>
    <row r="607">
      <c r="A607" s="2" t="s">
        <v>3454</v>
      </c>
      <c r="B607" s="2" t="s">
        <v>3409</v>
      </c>
      <c r="C607" s="2" t="s">
        <v>762</v>
      </c>
      <c r="D607" s="2" t="s">
        <v>3410</v>
      </c>
      <c r="E607" s="2" t="s">
        <v>3411</v>
      </c>
      <c r="F607" s="2" t="s">
        <v>3447</v>
      </c>
      <c r="G607" s="2" t="s">
        <v>233</v>
      </c>
      <c r="H607" s="2" t="s">
        <v>233</v>
      </c>
      <c r="I607" s="2" t="s">
        <v>3448</v>
      </c>
      <c r="J607" s="2" t="s">
        <v>3455</v>
      </c>
      <c r="K607" s="2" t="s">
        <v>3450</v>
      </c>
      <c r="L607" s="3">
        <v>15</v>
      </c>
      <c r="M607" s="3">
        <v>15.75</v>
      </c>
      <c r="N607" s="3">
        <v>29.99</v>
      </c>
      <c r="O607" s="2" t="s">
        <v>230</v>
      </c>
      <c r="P607" s="2" t="s">
        <v>597</v>
      </c>
      <c r="Q607" s="2" t="s">
        <v>232</v>
      </c>
      <c r="R607" s="2" t="s">
        <v>233</v>
      </c>
      <c r="S607" s="2" t="s">
        <v>233</v>
      </c>
      <c r="T607" s="2" t="s">
        <v>233</v>
      </c>
      <c r="U607" s="2" t="s">
        <v>233</v>
      </c>
      <c r="V607" s="2" t="s">
        <v>609</v>
      </c>
      <c r="W607" s="2" t="s">
        <v>233</v>
      </c>
      <c r="X607" s="2" t="s">
        <v>233</v>
      </c>
      <c r="Y607" s="2" t="s">
        <v>3451</v>
      </c>
      <c r="Z607" s="4">
        <v>428</v>
      </c>
      <c r="AA607" s="4">
        <f>=ROUNDDOWN(285.333333333333,0)</f>
      </c>
      <c r="AB607" s="5">
        <v>1.5</v>
      </c>
      <c r="AC607" s="2" t="s">
        <v>233</v>
      </c>
      <c r="AD607" s="4"/>
      <c r="AE607" s="4"/>
      <c r="AF607" s="6"/>
      <c r="AG607" s="6">
        <v>48</v>
      </c>
      <c r="AH607" s="7">
        <v>1</v>
      </c>
      <c r="AI607" s="4"/>
      <c r="AJ607" s="4">
        <f>=ROUNDDOWN({0},0)</f>
      </c>
      <c r="AK607" s="5"/>
      <c r="AL607" s="2" t="s">
        <v>233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233</v>
      </c>
      <c r="AW607" s="8" t="s">
        <v>233</v>
      </c>
      <c r="AX607" s="4" t="s">
        <v>233</v>
      </c>
      <c r="AY607" s="8" t="s">
        <v>233</v>
      </c>
      <c r="AZ607" s="7" t="s">
        <v>233</v>
      </c>
      <c r="BA607" s="7" t="s">
        <v>233</v>
      </c>
      <c r="BB607" s="7"/>
      <c r="BC607" s="4" t="s">
        <v>233</v>
      </c>
      <c r="BD607" s="8" t="s">
        <v>233</v>
      </c>
      <c r="BE607" s="4" t="s">
        <v>233</v>
      </c>
      <c r="BF607" s="8" t="s">
        <v>233</v>
      </c>
      <c r="BG607" s="7" t="s">
        <v>233</v>
      </c>
      <c r="BH607" s="7" t="s">
        <v>233</v>
      </c>
      <c r="BI607" s="7"/>
      <c r="BJ607" s="4">
        <v>7</v>
      </c>
      <c r="BK607" s="8">
        <v>131.4</v>
      </c>
      <c r="BL607" s="2" t="s">
        <v>3452</v>
      </c>
      <c r="BM607" s="7"/>
      <c r="BN607" s="7"/>
      <c r="BO607" s="4"/>
      <c r="BP607" s="8"/>
      <c r="BQ607" s="4"/>
      <c r="BR607" s="8"/>
      <c r="BS607" s="7"/>
      <c r="BT607" s="7"/>
      <c r="BU607" s="2" t="s">
        <v>3453</v>
      </c>
      <c r="BV607" s="2" t="s">
        <v>233</v>
      </c>
      <c r="BW607" s="2" t="s">
        <v>233</v>
      </c>
      <c r="BX607" s="2" t="s">
        <v>241</v>
      </c>
      <c r="BY607" s="2" t="s">
        <v>242</v>
      </c>
      <c r="BZ607" s="2" t="s">
        <v>230</v>
      </c>
      <c r="CA607" s="2" t="s">
        <v>2692</v>
      </c>
      <c r="CB607" s="2" t="s">
        <v>233</v>
      </c>
      <c r="CC607" s="2" t="s">
        <v>245</v>
      </c>
      <c r="CD607" s="2" t="s">
        <v>233</v>
      </c>
      <c r="CE607" s="4"/>
      <c r="CF607" s="4"/>
      <c r="CG607" s="4"/>
      <c r="CH607" s="4">
        <v>428</v>
      </c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>
        <v>429</v>
      </c>
      <c r="GD607" s="4">
        <v>420</v>
      </c>
      <c r="GE607" s="4">
        <v>418</v>
      </c>
      <c r="GF607" s="4">
        <v>416</v>
      </c>
      <c r="GG607" s="4">
        <v>414</v>
      </c>
      <c r="GH607" s="4">
        <v>412</v>
      </c>
      <c r="GI607" s="4">
        <v>410</v>
      </c>
      <c r="GJ607" s="4">
        <v>408</v>
      </c>
      <c r="GK607" s="4">
        <v>406</v>
      </c>
      <c r="GL607" s="4">
        <v>404</v>
      </c>
      <c r="GM607" s="4">
        <v>402</v>
      </c>
      <c r="GN607" s="4">
        <v>400</v>
      </c>
      <c r="GO607" s="4">
        <v>398</v>
      </c>
      <c r="GP607" s="4">
        <v>396</v>
      </c>
      <c r="GQ607" s="4">
        <v>394</v>
      </c>
      <c r="GR607" s="4">
        <v>392</v>
      </c>
      <c r="GS607" s="4">
        <v>390</v>
      </c>
      <c r="GT607" s="4">
        <v>388</v>
      </c>
      <c r="GU607" s="4">
        <v>386</v>
      </c>
      <c r="GV607" s="4">
        <v>384</v>
      </c>
      <c r="GW607" s="4">
        <v>382</v>
      </c>
      <c r="GX607" s="4">
        <v>380</v>
      </c>
      <c r="GY607" s="4">
        <v>378</v>
      </c>
      <c r="GZ607" s="4">
        <v>376</v>
      </c>
      <c r="HA607" s="4">
        <v>374</v>
      </c>
      <c r="HB607" s="4">
        <v>372</v>
      </c>
      <c r="HC607" s="19">
        <v>107.3</v>
      </c>
      <c r="HD607" s="19">
        <v>210</v>
      </c>
      <c r="HE607" s="19">
        <v>209</v>
      </c>
      <c r="HF607" s="19">
        <v>208</v>
      </c>
      <c r="HG607" s="19">
        <v>207</v>
      </c>
      <c r="HH607" s="19">
        <v>206</v>
      </c>
      <c r="HI607" s="19">
        <v>205</v>
      </c>
      <c r="HJ607" s="19">
        <v>204</v>
      </c>
      <c r="HK607" s="19">
        <v>203</v>
      </c>
      <c r="HL607" s="19">
        <v>202</v>
      </c>
      <c r="HM607" s="19">
        <v>201</v>
      </c>
      <c r="HN607" s="19">
        <v>200</v>
      </c>
      <c r="HO607" s="19">
        <v>199</v>
      </c>
      <c r="HP607" s="19">
        <v>198</v>
      </c>
      <c r="HQ607" s="19">
        <v>197</v>
      </c>
      <c r="HR607" s="19">
        <v>196</v>
      </c>
      <c r="HS607" s="19">
        <v>195</v>
      </c>
      <c r="HT607" s="19">
        <v>194</v>
      </c>
      <c r="HU607" s="19">
        <v>193</v>
      </c>
      <c r="HV607" s="19">
        <v>192</v>
      </c>
      <c r="HW607" s="19">
        <v>191</v>
      </c>
      <c r="HX607" s="19">
        <v>190</v>
      </c>
      <c r="HY607" s="19">
        <v>189</v>
      </c>
      <c r="HZ607" s="19">
        <v>188</v>
      </c>
      <c r="IA607" s="19">
        <v>187</v>
      </c>
      <c r="IB607" s="19">
        <v>186</v>
      </c>
    </row>
    <row r="608">
      <c r="A608" s="2" t="s">
        <v>3456</v>
      </c>
      <c r="B608" s="2" t="s">
        <v>3409</v>
      </c>
      <c r="C608" s="2" t="s">
        <v>762</v>
      </c>
      <c r="D608" s="2" t="s">
        <v>3410</v>
      </c>
      <c r="E608" s="2" t="s">
        <v>3411</v>
      </c>
      <c r="F608" s="2" t="s">
        <v>3447</v>
      </c>
      <c r="G608" s="2" t="s">
        <v>233</v>
      </c>
      <c r="H608" s="2" t="s">
        <v>233</v>
      </c>
      <c r="I608" s="2" t="s">
        <v>3448</v>
      </c>
      <c r="J608" s="2" t="s">
        <v>853</v>
      </c>
      <c r="K608" s="2" t="s">
        <v>3450</v>
      </c>
      <c r="L608" s="3">
        <v>15</v>
      </c>
      <c r="M608" s="3">
        <v>15.75</v>
      </c>
      <c r="N608" s="3">
        <v>29.99</v>
      </c>
      <c r="O608" s="2" t="s">
        <v>230</v>
      </c>
      <c r="P608" s="2" t="s">
        <v>597</v>
      </c>
      <c r="Q608" s="2" t="s">
        <v>232</v>
      </c>
      <c r="R608" s="2" t="s">
        <v>233</v>
      </c>
      <c r="S608" s="2" t="s">
        <v>233</v>
      </c>
      <c r="T608" s="2" t="s">
        <v>233</v>
      </c>
      <c r="U608" s="2" t="s">
        <v>233</v>
      </c>
      <c r="V608" s="2" t="s">
        <v>609</v>
      </c>
      <c r="W608" s="2" t="s">
        <v>233</v>
      </c>
      <c r="X608" s="2" t="s">
        <v>233</v>
      </c>
      <c r="Y608" s="2" t="s">
        <v>3451</v>
      </c>
      <c r="Z608" s="4">
        <v>543</v>
      </c>
      <c r="AA608" s="4">
        <f>=ROUNDDOWN(150.833333333333,0)</f>
      </c>
      <c r="AB608" s="5">
        <v>3.6</v>
      </c>
      <c r="AC608" s="2" t="s">
        <v>233</v>
      </c>
      <c r="AD608" s="4"/>
      <c r="AE608" s="4"/>
      <c r="AF608" s="6"/>
      <c r="AG608" s="6">
        <v>48</v>
      </c>
      <c r="AH608" s="7">
        <v>1</v>
      </c>
      <c r="AI608" s="4"/>
      <c r="AJ608" s="4">
        <f>=ROUNDDOWN({0},0)</f>
      </c>
      <c r="AK608" s="5"/>
      <c r="AL608" s="2" t="s">
        <v>233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233</v>
      </c>
      <c r="AW608" s="8" t="s">
        <v>233</v>
      </c>
      <c r="AX608" s="4" t="s">
        <v>233</v>
      </c>
      <c r="AY608" s="8" t="s">
        <v>233</v>
      </c>
      <c r="AZ608" s="7" t="s">
        <v>233</v>
      </c>
      <c r="BA608" s="7" t="s">
        <v>233</v>
      </c>
      <c r="BB608" s="7"/>
      <c r="BC608" s="4" t="s">
        <v>233</v>
      </c>
      <c r="BD608" s="8" t="s">
        <v>233</v>
      </c>
      <c r="BE608" s="4" t="s">
        <v>233</v>
      </c>
      <c r="BF608" s="8" t="s">
        <v>233</v>
      </c>
      <c r="BG608" s="7" t="s">
        <v>233</v>
      </c>
      <c r="BH608" s="7" t="s">
        <v>233</v>
      </c>
      <c r="BI608" s="7"/>
      <c r="BJ608" s="4">
        <v>14</v>
      </c>
      <c r="BK608" s="8">
        <v>262.8</v>
      </c>
      <c r="BL608" s="2" t="s">
        <v>3452</v>
      </c>
      <c r="BM608" s="7"/>
      <c r="BN608" s="7"/>
      <c r="BO608" s="4"/>
      <c r="BP608" s="8"/>
      <c r="BQ608" s="4"/>
      <c r="BR608" s="8"/>
      <c r="BS608" s="7"/>
      <c r="BT608" s="7"/>
      <c r="BU608" s="2" t="s">
        <v>3453</v>
      </c>
      <c r="BV608" s="2" t="s">
        <v>233</v>
      </c>
      <c r="BW608" s="2" t="s">
        <v>233</v>
      </c>
      <c r="BX608" s="2" t="s">
        <v>241</v>
      </c>
      <c r="BY608" s="2" t="s">
        <v>242</v>
      </c>
      <c r="BZ608" s="2" t="s">
        <v>230</v>
      </c>
      <c r="CA608" s="2" t="s">
        <v>3440</v>
      </c>
      <c r="CB608" s="2" t="s">
        <v>731</v>
      </c>
      <c r="CC608" s="2" t="s">
        <v>245</v>
      </c>
      <c r="CD608" s="2" t="s">
        <v>233</v>
      </c>
      <c r="CE608" s="4"/>
      <c r="CF608" s="4"/>
      <c r="CG608" s="4"/>
      <c r="CH608" s="4">
        <v>543</v>
      </c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>
        <v>546</v>
      </c>
      <c r="GD608" s="4">
        <v>533</v>
      </c>
      <c r="GE608" s="4">
        <v>529</v>
      </c>
      <c r="GF608" s="4">
        <v>525</v>
      </c>
      <c r="GG608" s="4">
        <v>521</v>
      </c>
      <c r="GH608" s="4">
        <v>517</v>
      </c>
      <c r="GI608" s="4">
        <v>513</v>
      </c>
      <c r="GJ608" s="4">
        <v>509</v>
      </c>
      <c r="GK608" s="4">
        <v>505</v>
      </c>
      <c r="GL608" s="4">
        <v>501</v>
      </c>
      <c r="GM608" s="4">
        <v>497</v>
      </c>
      <c r="GN608" s="4">
        <v>493</v>
      </c>
      <c r="GO608" s="4">
        <v>489</v>
      </c>
      <c r="GP608" s="4">
        <v>485</v>
      </c>
      <c r="GQ608" s="4">
        <v>481</v>
      </c>
      <c r="GR608" s="4">
        <v>477</v>
      </c>
      <c r="GS608" s="4">
        <v>473</v>
      </c>
      <c r="GT608" s="4">
        <v>469</v>
      </c>
      <c r="GU608" s="4">
        <v>465</v>
      </c>
      <c r="GV608" s="4">
        <v>461</v>
      </c>
      <c r="GW608" s="4">
        <v>457</v>
      </c>
      <c r="GX608" s="4">
        <v>453</v>
      </c>
      <c r="GY608" s="4">
        <v>449</v>
      </c>
      <c r="GZ608" s="4">
        <v>445</v>
      </c>
      <c r="HA608" s="4">
        <v>441</v>
      </c>
      <c r="HB608" s="4">
        <v>437</v>
      </c>
      <c r="HC608" s="19">
        <v>91</v>
      </c>
      <c r="HD608" s="19">
        <v>133.3</v>
      </c>
      <c r="HE608" s="19">
        <v>132.3</v>
      </c>
      <c r="HF608" s="19">
        <v>131.3</v>
      </c>
      <c r="HG608" s="19">
        <v>130.3</v>
      </c>
      <c r="HH608" s="19">
        <v>129.3</v>
      </c>
      <c r="HI608" s="19">
        <v>128.3</v>
      </c>
      <c r="HJ608" s="19">
        <v>127.3</v>
      </c>
      <c r="HK608" s="19">
        <v>126.3</v>
      </c>
      <c r="HL608" s="19">
        <v>125.3</v>
      </c>
      <c r="HM608" s="19">
        <v>124.3</v>
      </c>
      <c r="HN608" s="19">
        <v>123.3</v>
      </c>
      <c r="HO608" s="19">
        <v>122.3</v>
      </c>
      <c r="HP608" s="19">
        <v>121.3</v>
      </c>
      <c r="HQ608" s="19">
        <v>120.3</v>
      </c>
      <c r="HR608" s="19">
        <v>119.3</v>
      </c>
      <c r="HS608" s="19">
        <v>118.3</v>
      </c>
      <c r="HT608" s="19">
        <v>117.3</v>
      </c>
      <c r="HU608" s="19">
        <v>116.3</v>
      </c>
      <c r="HV608" s="19">
        <v>115.3</v>
      </c>
      <c r="HW608" s="19">
        <v>114.3</v>
      </c>
      <c r="HX608" s="19">
        <v>113.3</v>
      </c>
      <c r="HY608" s="19">
        <v>112.3</v>
      </c>
      <c r="HZ608" s="19">
        <v>111.3</v>
      </c>
      <c r="IA608" s="19">
        <v>110.3</v>
      </c>
      <c r="IB608" s="19">
        <v>109.3</v>
      </c>
    </row>
    <row r="609">
      <c r="A609" s="2" t="s">
        <v>3457</v>
      </c>
      <c r="B609" s="2" t="s">
        <v>3409</v>
      </c>
      <c r="C609" s="2" t="s">
        <v>762</v>
      </c>
      <c r="D609" s="2" t="s">
        <v>3410</v>
      </c>
      <c r="E609" s="2" t="s">
        <v>3411</v>
      </c>
      <c r="F609" s="2" t="s">
        <v>3447</v>
      </c>
      <c r="G609" s="2" t="s">
        <v>233</v>
      </c>
      <c r="H609" s="2" t="s">
        <v>233</v>
      </c>
      <c r="I609" s="2" t="s">
        <v>3448</v>
      </c>
      <c r="J609" s="2" t="s">
        <v>867</v>
      </c>
      <c r="K609" s="2" t="s">
        <v>3450</v>
      </c>
      <c r="L609" s="3">
        <v>15</v>
      </c>
      <c r="M609" s="3">
        <v>15.75</v>
      </c>
      <c r="N609" s="3">
        <v>29.99</v>
      </c>
      <c r="O609" s="2" t="s">
        <v>230</v>
      </c>
      <c r="P609" s="2" t="s">
        <v>597</v>
      </c>
      <c r="Q609" s="2" t="s">
        <v>232</v>
      </c>
      <c r="R609" s="2" t="s">
        <v>233</v>
      </c>
      <c r="S609" s="2" t="s">
        <v>233</v>
      </c>
      <c r="T609" s="2" t="s">
        <v>233</v>
      </c>
      <c r="U609" s="2" t="s">
        <v>233</v>
      </c>
      <c r="V609" s="2" t="s">
        <v>609</v>
      </c>
      <c r="W609" s="2" t="s">
        <v>233</v>
      </c>
      <c r="X609" s="2" t="s">
        <v>233</v>
      </c>
      <c r="Y609" s="2" t="s">
        <v>3451</v>
      </c>
      <c r="Z609" s="4">
        <v>360</v>
      </c>
      <c r="AA609" s="4">
        <f>=ROUNDDOWN(163.636363636364,0)</f>
      </c>
      <c r="AB609" s="5">
        <v>2.2</v>
      </c>
      <c r="AC609" s="2" t="s">
        <v>233</v>
      </c>
      <c r="AD609" s="4"/>
      <c r="AE609" s="4"/>
      <c r="AF609" s="6"/>
      <c r="AG609" s="6">
        <v>48</v>
      </c>
      <c r="AH609" s="7">
        <v>1</v>
      </c>
      <c r="AI609" s="4"/>
      <c r="AJ609" s="4">
        <f>=ROUNDDOWN({0},0)</f>
      </c>
      <c r="AK609" s="5"/>
      <c r="AL609" s="2" t="s">
        <v>233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233</v>
      </c>
      <c r="AW609" s="8" t="s">
        <v>233</v>
      </c>
      <c r="AX609" s="4" t="s">
        <v>233</v>
      </c>
      <c r="AY609" s="8" t="s">
        <v>233</v>
      </c>
      <c r="AZ609" s="7" t="s">
        <v>233</v>
      </c>
      <c r="BA609" s="7" t="s">
        <v>233</v>
      </c>
      <c r="BB609" s="7"/>
      <c r="BC609" s="4" t="s">
        <v>233</v>
      </c>
      <c r="BD609" s="8" t="s">
        <v>233</v>
      </c>
      <c r="BE609" s="4" t="s">
        <v>233</v>
      </c>
      <c r="BF609" s="8" t="s">
        <v>233</v>
      </c>
      <c r="BG609" s="7" t="s">
        <v>233</v>
      </c>
      <c r="BH609" s="7" t="s">
        <v>233</v>
      </c>
      <c r="BI609" s="7"/>
      <c r="BJ609" s="4">
        <v>12</v>
      </c>
      <c r="BK609" s="8">
        <v>250.4</v>
      </c>
      <c r="BL609" s="2" t="s">
        <v>3458</v>
      </c>
      <c r="BM609" s="7"/>
      <c r="BN609" s="7"/>
      <c r="BO609" s="4"/>
      <c r="BP609" s="8"/>
      <c r="BQ609" s="4"/>
      <c r="BR609" s="8"/>
      <c r="BS609" s="7"/>
      <c r="BT609" s="7"/>
      <c r="BU609" s="2" t="s">
        <v>3453</v>
      </c>
      <c r="BV609" s="2" t="s">
        <v>233</v>
      </c>
      <c r="BW609" s="2" t="s">
        <v>233</v>
      </c>
      <c r="BX609" s="2" t="s">
        <v>241</v>
      </c>
      <c r="BY609" s="2" t="s">
        <v>242</v>
      </c>
      <c r="BZ609" s="2" t="s">
        <v>230</v>
      </c>
      <c r="CA609" s="2" t="s">
        <v>3440</v>
      </c>
      <c r="CB609" s="2" t="s">
        <v>233</v>
      </c>
      <c r="CC609" s="2" t="s">
        <v>245</v>
      </c>
      <c r="CD609" s="2" t="s">
        <v>233</v>
      </c>
      <c r="CE609" s="4"/>
      <c r="CF609" s="4"/>
      <c r="CG609" s="4"/>
      <c r="CH609" s="4">
        <v>360</v>
      </c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>
        <v>360</v>
      </c>
      <c r="GD609" s="4">
        <v>351</v>
      </c>
      <c r="GE609" s="4">
        <v>349</v>
      </c>
      <c r="GF609" s="4">
        <v>347</v>
      </c>
      <c r="GG609" s="4">
        <v>345</v>
      </c>
      <c r="GH609" s="4">
        <v>343</v>
      </c>
      <c r="GI609" s="4">
        <v>341</v>
      </c>
      <c r="GJ609" s="4">
        <v>339</v>
      </c>
      <c r="GK609" s="4">
        <v>337</v>
      </c>
      <c r="GL609" s="4">
        <v>335</v>
      </c>
      <c r="GM609" s="4">
        <v>333</v>
      </c>
      <c r="GN609" s="4">
        <v>331</v>
      </c>
      <c r="GO609" s="4">
        <v>329</v>
      </c>
      <c r="GP609" s="4">
        <v>327</v>
      </c>
      <c r="GQ609" s="4">
        <v>325</v>
      </c>
      <c r="GR609" s="4">
        <v>323</v>
      </c>
      <c r="GS609" s="4">
        <v>321</v>
      </c>
      <c r="GT609" s="4">
        <v>319</v>
      </c>
      <c r="GU609" s="4">
        <v>317</v>
      </c>
      <c r="GV609" s="4">
        <v>315</v>
      </c>
      <c r="GW609" s="4">
        <v>313</v>
      </c>
      <c r="GX609" s="4">
        <v>311</v>
      </c>
      <c r="GY609" s="4">
        <v>309</v>
      </c>
      <c r="GZ609" s="4">
        <v>307</v>
      </c>
      <c r="HA609" s="4">
        <v>305</v>
      </c>
      <c r="HB609" s="4">
        <v>303</v>
      </c>
      <c r="HC609" s="19">
        <v>90</v>
      </c>
      <c r="HD609" s="19">
        <v>175.5</v>
      </c>
      <c r="HE609" s="19">
        <v>174.5</v>
      </c>
      <c r="HF609" s="19">
        <v>173.5</v>
      </c>
      <c r="HG609" s="19">
        <v>172.5</v>
      </c>
      <c r="HH609" s="19">
        <v>171.5</v>
      </c>
      <c r="HI609" s="19">
        <v>170.5</v>
      </c>
      <c r="HJ609" s="19">
        <v>169.5</v>
      </c>
      <c r="HK609" s="19">
        <v>168.5</v>
      </c>
      <c r="HL609" s="19">
        <v>167.5</v>
      </c>
      <c r="HM609" s="19">
        <v>166.5</v>
      </c>
      <c r="HN609" s="19">
        <v>165.5</v>
      </c>
      <c r="HO609" s="19">
        <v>164.5</v>
      </c>
      <c r="HP609" s="19">
        <v>163.5</v>
      </c>
      <c r="HQ609" s="19">
        <v>162.5</v>
      </c>
      <c r="HR609" s="19">
        <v>161.5</v>
      </c>
      <c r="HS609" s="19">
        <v>160.5</v>
      </c>
      <c r="HT609" s="19">
        <v>159.5</v>
      </c>
      <c r="HU609" s="19">
        <v>158.5</v>
      </c>
      <c r="HV609" s="19">
        <v>157.5</v>
      </c>
      <c r="HW609" s="19">
        <v>156.5</v>
      </c>
      <c r="HX609" s="19">
        <v>155.5</v>
      </c>
      <c r="HY609" s="19">
        <v>154.5</v>
      </c>
      <c r="HZ609" s="19">
        <v>153.5</v>
      </c>
      <c r="IA609" s="19">
        <v>152.5</v>
      </c>
      <c r="IB609" s="19">
        <v>151.5</v>
      </c>
    </row>
    <row r="610">
      <c r="A610" s="2" t="s">
        <v>3459</v>
      </c>
      <c r="B610" s="2" t="s">
        <v>3409</v>
      </c>
      <c r="C610" s="2" t="s">
        <v>762</v>
      </c>
      <c r="D610" s="2" t="s">
        <v>3410</v>
      </c>
      <c r="E610" s="2" t="s">
        <v>3411</v>
      </c>
      <c r="F610" s="2" t="s">
        <v>3447</v>
      </c>
      <c r="G610" s="2" t="s">
        <v>233</v>
      </c>
      <c r="H610" s="2" t="s">
        <v>233</v>
      </c>
      <c r="I610" s="2" t="s">
        <v>3448</v>
      </c>
      <c r="J610" s="2" t="s">
        <v>3460</v>
      </c>
      <c r="K610" s="2" t="s">
        <v>3450</v>
      </c>
      <c r="L610" s="3">
        <v>15</v>
      </c>
      <c r="M610" s="3">
        <v>15.75</v>
      </c>
      <c r="N610" s="3">
        <v>29.99</v>
      </c>
      <c r="O610" s="2" t="s">
        <v>230</v>
      </c>
      <c r="P610" s="2" t="s">
        <v>597</v>
      </c>
      <c r="Q610" s="2" t="s">
        <v>232</v>
      </c>
      <c r="R610" s="2" t="s">
        <v>233</v>
      </c>
      <c r="S610" s="2" t="s">
        <v>233</v>
      </c>
      <c r="T610" s="2" t="s">
        <v>233</v>
      </c>
      <c r="U610" s="2" t="s">
        <v>233</v>
      </c>
      <c r="V610" s="2" t="s">
        <v>609</v>
      </c>
      <c r="W610" s="2" t="s">
        <v>233</v>
      </c>
      <c r="X610" s="2" t="s">
        <v>233</v>
      </c>
      <c r="Y610" s="2" t="s">
        <v>3451</v>
      </c>
      <c r="Z610" s="4">
        <v>361</v>
      </c>
      <c r="AA610" s="4">
        <f>=ROUNDDOWN(40.1111111111111,0)</f>
      </c>
      <c r="AB610" s="5">
        <v>9</v>
      </c>
      <c r="AC610" s="2" t="s">
        <v>233</v>
      </c>
      <c r="AD610" s="4"/>
      <c r="AE610" s="4"/>
      <c r="AF610" s="6"/>
      <c r="AG610" s="6">
        <v>48</v>
      </c>
      <c r="AH610" s="7">
        <v>1</v>
      </c>
      <c r="AI610" s="4"/>
      <c r="AJ610" s="4">
        <f>=ROUNDDOWN({0},0)</f>
      </c>
      <c r="AK610" s="5"/>
      <c r="AL610" s="2" t="s">
        <v>233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233</v>
      </c>
      <c r="AW610" s="8" t="s">
        <v>233</v>
      </c>
      <c r="AX610" s="4" t="s">
        <v>233</v>
      </c>
      <c r="AY610" s="8" t="s">
        <v>233</v>
      </c>
      <c r="AZ610" s="7" t="s">
        <v>233</v>
      </c>
      <c r="BA610" s="7" t="s">
        <v>233</v>
      </c>
      <c r="BB610" s="7"/>
      <c r="BC610" s="4" t="s">
        <v>233</v>
      </c>
      <c r="BD610" s="8" t="s">
        <v>233</v>
      </c>
      <c r="BE610" s="4" t="s">
        <v>233</v>
      </c>
      <c r="BF610" s="8" t="s">
        <v>233</v>
      </c>
      <c r="BG610" s="7" t="s">
        <v>233</v>
      </c>
      <c r="BH610" s="7" t="s">
        <v>233</v>
      </c>
      <c r="BI610" s="7"/>
      <c r="BJ610" s="4">
        <v>4</v>
      </c>
      <c r="BK610" s="8">
        <v>86.4</v>
      </c>
      <c r="BL610" s="2" t="s">
        <v>3452</v>
      </c>
      <c r="BM610" s="7"/>
      <c r="BN610" s="7"/>
      <c r="BO610" s="4"/>
      <c r="BP610" s="8"/>
      <c r="BQ610" s="4"/>
      <c r="BR610" s="8"/>
      <c r="BS610" s="7"/>
      <c r="BT610" s="7"/>
      <c r="BU610" s="2" t="s">
        <v>3453</v>
      </c>
      <c r="BV610" s="2" t="s">
        <v>233</v>
      </c>
      <c r="BW610" s="2" t="s">
        <v>233</v>
      </c>
      <c r="BX610" s="2" t="s">
        <v>241</v>
      </c>
      <c r="BY610" s="2" t="s">
        <v>242</v>
      </c>
      <c r="BZ610" s="2" t="s">
        <v>230</v>
      </c>
      <c r="CA610" s="2" t="s">
        <v>2692</v>
      </c>
      <c r="CB610" s="2" t="s">
        <v>233</v>
      </c>
      <c r="CC610" s="2" t="s">
        <v>245</v>
      </c>
      <c r="CD610" s="2" t="s">
        <v>233</v>
      </c>
      <c r="CE610" s="4"/>
      <c r="CF610" s="4"/>
      <c r="CG610" s="4"/>
      <c r="CH610" s="4">
        <v>361</v>
      </c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>
        <v>362</v>
      </c>
      <c r="GD610" s="4">
        <v>298</v>
      </c>
      <c r="GE610" s="4">
        <v>289</v>
      </c>
      <c r="GF610" s="4">
        <v>280</v>
      </c>
      <c r="GG610" s="4">
        <v>271</v>
      </c>
      <c r="GH610" s="4">
        <v>262</v>
      </c>
      <c r="GI610" s="4">
        <v>253</v>
      </c>
      <c r="GJ610" s="4">
        <v>244</v>
      </c>
      <c r="GK610" s="4">
        <v>235</v>
      </c>
      <c r="GL610" s="4">
        <v>226</v>
      </c>
      <c r="GM610" s="4">
        <v>217</v>
      </c>
      <c r="GN610" s="4">
        <v>208</v>
      </c>
      <c r="GO610" s="4">
        <v>199</v>
      </c>
      <c r="GP610" s="4">
        <v>190</v>
      </c>
      <c r="GQ610" s="4">
        <v>181</v>
      </c>
      <c r="GR610" s="4">
        <v>172</v>
      </c>
      <c r="GS610" s="4">
        <v>163</v>
      </c>
      <c r="GT610" s="4">
        <v>154</v>
      </c>
      <c r="GU610" s="4">
        <v>145</v>
      </c>
      <c r="GV610" s="4">
        <v>136</v>
      </c>
      <c r="GW610" s="4">
        <v>127</v>
      </c>
      <c r="GX610" s="4">
        <v>118</v>
      </c>
      <c r="GY610" s="4">
        <v>109</v>
      </c>
      <c r="GZ610" s="4">
        <v>100</v>
      </c>
      <c r="HA610" s="4">
        <v>91</v>
      </c>
      <c r="HB610" s="4">
        <v>82</v>
      </c>
      <c r="HC610" s="19">
        <v>15.7</v>
      </c>
      <c r="HD610" s="19">
        <v>33.1</v>
      </c>
      <c r="HE610" s="19">
        <v>32.1</v>
      </c>
      <c r="HF610" s="19">
        <v>31.1</v>
      </c>
      <c r="HG610" s="19">
        <v>30.1</v>
      </c>
      <c r="HH610" s="19">
        <v>29.1</v>
      </c>
      <c r="HI610" s="19">
        <v>28.1</v>
      </c>
      <c r="HJ610" s="19">
        <v>27.1</v>
      </c>
      <c r="HK610" s="19">
        <v>26.1</v>
      </c>
      <c r="HL610" s="19">
        <v>25.1</v>
      </c>
      <c r="HM610" s="19">
        <v>24.1</v>
      </c>
      <c r="HN610" s="19">
        <v>23.1</v>
      </c>
      <c r="HO610" s="19">
        <v>22.1</v>
      </c>
      <c r="HP610" s="19">
        <v>21.1</v>
      </c>
      <c r="HQ610" s="19">
        <v>20.1</v>
      </c>
      <c r="HR610" s="19">
        <v>19.1</v>
      </c>
      <c r="HS610" s="19">
        <v>18.1</v>
      </c>
      <c r="HT610" s="19">
        <v>17.1</v>
      </c>
      <c r="HU610" s="19">
        <v>16.1</v>
      </c>
      <c r="HV610" s="19">
        <v>15.1</v>
      </c>
      <c r="HW610" s="19">
        <v>14.1</v>
      </c>
      <c r="HX610" s="19">
        <v>13.1</v>
      </c>
      <c r="HY610" s="19">
        <v>12.1</v>
      </c>
      <c r="HZ610" s="19">
        <v>11.1</v>
      </c>
      <c r="IA610" s="19">
        <v>10.1</v>
      </c>
      <c r="IB610" s="19">
        <v>9.1</v>
      </c>
    </row>
    <row r="611">
      <c r="A611" s="2" t="s">
        <v>3461</v>
      </c>
      <c r="B611" s="2" t="s">
        <v>3409</v>
      </c>
      <c r="C611" s="2" t="s">
        <v>762</v>
      </c>
      <c r="D611" s="2" t="s">
        <v>3410</v>
      </c>
      <c r="E611" s="2" t="s">
        <v>3411</v>
      </c>
      <c r="F611" s="2" t="s">
        <v>3447</v>
      </c>
      <c r="G611" s="2" t="s">
        <v>233</v>
      </c>
      <c r="H611" s="2" t="s">
        <v>233</v>
      </c>
      <c r="I611" s="2" t="s">
        <v>3448</v>
      </c>
      <c r="J611" s="2" t="s">
        <v>3449</v>
      </c>
      <c r="K611" s="2" t="s">
        <v>3462</v>
      </c>
      <c r="L611" s="3">
        <v>15</v>
      </c>
      <c r="M611" s="3">
        <v>15.75</v>
      </c>
      <c r="N611" s="3">
        <v>29.99</v>
      </c>
      <c r="O611" s="2" t="s">
        <v>230</v>
      </c>
      <c r="P611" s="2" t="s">
        <v>597</v>
      </c>
      <c r="Q611" s="2" t="s">
        <v>232</v>
      </c>
      <c r="R611" s="2" t="s">
        <v>233</v>
      </c>
      <c r="S611" s="2" t="s">
        <v>233</v>
      </c>
      <c r="T611" s="2" t="s">
        <v>233</v>
      </c>
      <c r="U611" s="2" t="s">
        <v>233</v>
      </c>
      <c r="V611" s="2" t="s">
        <v>609</v>
      </c>
      <c r="W611" s="2" t="s">
        <v>233</v>
      </c>
      <c r="X611" s="2" t="s">
        <v>233</v>
      </c>
      <c r="Y611" s="2" t="s">
        <v>3451</v>
      </c>
      <c r="Z611" s="4">
        <v>233</v>
      </c>
      <c r="AA611" s="4">
        <f>=ROUNDDOWN(116.5,0)</f>
      </c>
      <c r="AB611" s="5">
        <v>2</v>
      </c>
      <c r="AC611" s="2" t="s">
        <v>233</v>
      </c>
      <c r="AD611" s="4"/>
      <c r="AE611" s="4"/>
      <c r="AF611" s="6"/>
      <c r="AG611" s="6">
        <v>48</v>
      </c>
      <c r="AH611" s="7">
        <v>1</v>
      </c>
      <c r="AI611" s="4"/>
      <c r="AJ611" s="4">
        <f>=ROUNDDOWN({0},0)</f>
      </c>
      <c r="AK611" s="5"/>
      <c r="AL611" s="2" t="s">
        <v>233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233</v>
      </c>
      <c r="AW611" s="8" t="s">
        <v>233</v>
      </c>
      <c r="AX611" s="4" t="s">
        <v>233</v>
      </c>
      <c r="AY611" s="8" t="s">
        <v>233</v>
      </c>
      <c r="AZ611" s="7" t="s">
        <v>233</v>
      </c>
      <c r="BA611" s="7" t="s">
        <v>233</v>
      </c>
      <c r="BB611" s="7"/>
      <c r="BC611" s="4" t="s">
        <v>233</v>
      </c>
      <c r="BD611" s="8" t="s">
        <v>233</v>
      </c>
      <c r="BE611" s="4" t="s">
        <v>233</v>
      </c>
      <c r="BF611" s="8" t="s">
        <v>233</v>
      </c>
      <c r="BG611" s="7" t="s">
        <v>233</v>
      </c>
      <c r="BH611" s="7" t="s">
        <v>233</v>
      </c>
      <c r="BI611" s="7"/>
      <c r="BJ611" s="4">
        <v>3</v>
      </c>
      <c r="BK611" s="8">
        <v>45</v>
      </c>
      <c r="BL611" s="2" t="s">
        <v>1996</v>
      </c>
      <c r="BM611" s="7"/>
      <c r="BN611" s="7"/>
      <c r="BO611" s="4"/>
      <c r="BP611" s="8"/>
      <c r="BQ611" s="4"/>
      <c r="BR611" s="8"/>
      <c r="BS611" s="7"/>
      <c r="BT611" s="7"/>
      <c r="BU611" s="2" t="s">
        <v>3453</v>
      </c>
      <c r="BV611" s="2" t="s">
        <v>233</v>
      </c>
      <c r="BW611" s="2" t="s">
        <v>233</v>
      </c>
      <c r="BX611" s="2" t="s">
        <v>241</v>
      </c>
      <c r="BY611" s="2" t="s">
        <v>242</v>
      </c>
      <c r="BZ611" s="2" t="s">
        <v>230</v>
      </c>
      <c r="CA611" s="2" t="s">
        <v>2692</v>
      </c>
      <c r="CB611" s="2" t="s">
        <v>3463</v>
      </c>
      <c r="CC611" s="2" t="s">
        <v>245</v>
      </c>
      <c r="CD611" s="2" t="s">
        <v>233</v>
      </c>
      <c r="CE611" s="4"/>
      <c r="CF611" s="4"/>
      <c r="CG611" s="4"/>
      <c r="CH611" s="4">
        <v>233</v>
      </c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>
        <v>235</v>
      </c>
      <c r="GD611" s="4">
        <v>220</v>
      </c>
      <c r="GE611" s="4">
        <v>218</v>
      </c>
      <c r="GF611" s="4">
        <v>216</v>
      </c>
      <c r="GG611" s="4">
        <v>214</v>
      </c>
      <c r="GH611" s="4">
        <v>212</v>
      </c>
      <c r="GI611" s="4">
        <v>210</v>
      </c>
      <c r="GJ611" s="4">
        <v>208</v>
      </c>
      <c r="GK611" s="4">
        <v>206</v>
      </c>
      <c r="GL611" s="4">
        <v>204</v>
      </c>
      <c r="GM611" s="4">
        <v>202</v>
      </c>
      <c r="GN611" s="4">
        <v>200</v>
      </c>
      <c r="GO611" s="4">
        <v>198</v>
      </c>
      <c r="GP611" s="4">
        <v>196</v>
      </c>
      <c r="GQ611" s="4">
        <v>194</v>
      </c>
      <c r="GR611" s="4">
        <v>192</v>
      </c>
      <c r="GS611" s="4">
        <v>190</v>
      </c>
      <c r="GT611" s="4">
        <v>188</v>
      </c>
      <c r="GU611" s="4">
        <v>186</v>
      </c>
      <c r="GV611" s="4">
        <v>184</v>
      </c>
      <c r="GW611" s="4">
        <v>182</v>
      </c>
      <c r="GX611" s="4">
        <v>180</v>
      </c>
      <c r="GY611" s="4">
        <v>178</v>
      </c>
      <c r="GZ611" s="4">
        <v>176</v>
      </c>
      <c r="HA611" s="4">
        <v>174</v>
      </c>
      <c r="HB611" s="4">
        <v>172</v>
      </c>
      <c r="HC611" s="19">
        <v>47</v>
      </c>
      <c r="HD611" s="19">
        <v>110</v>
      </c>
      <c r="HE611" s="19">
        <v>109</v>
      </c>
      <c r="HF611" s="19">
        <v>108</v>
      </c>
      <c r="HG611" s="19">
        <v>107</v>
      </c>
      <c r="HH611" s="19">
        <v>106</v>
      </c>
      <c r="HI611" s="19">
        <v>105</v>
      </c>
      <c r="HJ611" s="19">
        <v>104</v>
      </c>
      <c r="HK611" s="19">
        <v>103</v>
      </c>
      <c r="HL611" s="19">
        <v>102</v>
      </c>
      <c r="HM611" s="19">
        <v>101</v>
      </c>
      <c r="HN611" s="19">
        <v>100</v>
      </c>
      <c r="HO611" s="19">
        <v>99</v>
      </c>
      <c r="HP611" s="19">
        <v>98</v>
      </c>
      <c r="HQ611" s="19">
        <v>97</v>
      </c>
      <c r="HR611" s="19">
        <v>96</v>
      </c>
      <c r="HS611" s="19">
        <v>95</v>
      </c>
      <c r="HT611" s="19">
        <v>94</v>
      </c>
      <c r="HU611" s="19">
        <v>93</v>
      </c>
      <c r="HV611" s="19">
        <v>92</v>
      </c>
      <c r="HW611" s="19">
        <v>91</v>
      </c>
      <c r="HX611" s="19">
        <v>90</v>
      </c>
      <c r="HY611" s="19">
        <v>89</v>
      </c>
      <c r="HZ611" s="19">
        <v>88</v>
      </c>
      <c r="IA611" s="19">
        <v>87</v>
      </c>
      <c r="IB611" s="19">
        <v>86</v>
      </c>
    </row>
    <row r="612">
      <c r="A612" s="2" t="s">
        <v>3464</v>
      </c>
      <c r="B612" s="2" t="s">
        <v>3409</v>
      </c>
      <c r="C612" s="2" t="s">
        <v>762</v>
      </c>
      <c r="D612" s="2" t="s">
        <v>3410</v>
      </c>
      <c r="E612" s="2" t="s">
        <v>3411</v>
      </c>
      <c r="F612" s="2" t="s">
        <v>3447</v>
      </c>
      <c r="G612" s="2" t="s">
        <v>233</v>
      </c>
      <c r="H612" s="2" t="s">
        <v>233</v>
      </c>
      <c r="I612" s="2" t="s">
        <v>3448</v>
      </c>
      <c r="J612" s="2" t="s">
        <v>860</v>
      </c>
      <c r="K612" s="2" t="s">
        <v>3462</v>
      </c>
      <c r="L612" s="3">
        <v>15</v>
      </c>
      <c r="M612" s="3">
        <v>15.75</v>
      </c>
      <c r="N612" s="3">
        <v>29.99</v>
      </c>
      <c r="O612" s="2" t="s">
        <v>230</v>
      </c>
      <c r="P612" s="2" t="s">
        <v>597</v>
      </c>
      <c r="Q612" s="2" t="s">
        <v>232</v>
      </c>
      <c r="R612" s="2" t="s">
        <v>233</v>
      </c>
      <c r="S612" s="2" t="s">
        <v>233</v>
      </c>
      <c r="T612" s="2" t="s">
        <v>233</v>
      </c>
      <c r="U612" s="2" t="s">
        <v>233</v>
      </c>
      <c r="V612" s="2" t="s">
        <v>609</v>
      </c>
      <c r="W612" s="2" t="s">
        <v>233</v>
      </c>
      <c r="X612" s="2" t="s">
        <v>233</v>
      </c>
      <c r="Y612" s="2" t="s">
        <v>3451</v>
      </c>
      <c r="Z612" s="4">
        <v>388</v>
      </c>
      <c r="AA612" s="4">
        <f>=ROUNDDOWN(97,0)</f>
      </c>
      <c r="AB612" s="5">
        <v>4</v>
      </c>
      <c r="AC612" s="2" t="s">
        <v>233</v>
      </c>
      <c r="AD612" s="4"/>
      <c r="AE612" s="4"/>
      <c r="AF612" s="6"/>
      <c r="AG612" s="6">
        <v>48</v>
      </c>
      <c r="AH612" s="7">
        <v>1</v>
      </c>
      <c r="AI612" s="4"/>
      <c r="AJ612" s="4">
        <f>=ROUNDDOWN({0},0)</f>
      </c>
      <c r="AK612" s="5"/>
      <c r="AL612" s="2" t="s">
        <v>233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233</v>
      </c>
      <c r="AW612" s="8" t="s">
        <v>233</v>
      </c>
      <c r="AX612" s="4" t="s">
        <v>233</v>
      </c>
      <c r="AY612" s="8" t="s">
        <v>233</v>
      </c>
      <c r="AZ612" s="7" t="s">
        <v>233</v>
      </c>
      <c r="BA612" s="7" t="s">
        <v>233</v>
      </c>
      <c r="BB612" s="7"/>
      <c r="BC612" s="4" t="s">
        <v>233</v>
      </c>
      <c r="BD612" s="8" t="s">
        <v>233</v>
      </c>
      <c r="BE612" s="4" t="s">
        <v>233</v>
      </c>
      <c r="BF612" s="8" t="s">
        <v>233</v>
      </c>
      <c r="BG612" s="7" t="s">
        <v>233</v>
      </c>
      <c r="BH612" s="7" t="s">
        <v>233</v>
      </c>
      <c r="BI612" s="7"/>
      <c r="BJ612" s="4">
        <v>9</v>
      </c>
      <c r="BK612" s="8">
        <v>179</v>
      </c>
      <c r="BL612" s="2" t="s">
        <v>3458</v>
      </c>
      <c r="BM612" s="7"/>
      <c r="BN612" s="7"/>
      <c r="BO612" s="4"/>
      <c r="BP612" s="8"/>
      <c r="BQ612" s="4"/>
      <c r="BR612" s="8"/>
      <c r="BS612" s="7"/>
      <c r="BT612" s="7"/>
      <c r="BU612" s="2" t="s">
        <v>3453</v>
      </c>
      <c r="BV612" s="2" t="s">
        <v>233</v>
      </c>
      <c r="BW612" s="2" t="s">
        <v>233</v>
      </c>
      <c r="BX612" s="2" t="s">
        <v>241</v>
      </c>
      <c r="BY612" s="2" t="s">
        <v>242</v>
      </c>
      <c r="BZ612" s="2" t="s">
        <v>230</v>
      </c>
      <c r="CA612" s="2" t="s">
        <v>2692</v>
      </c>
      <c r="CB612" s="2" t="s">
        <v>3430</v>
      </c>
      <c r="CC612" s="2" t="s">
        <v>245</v>
      </c>
      <c r="CD612" s="2" t="s">
        <v>233</v>
      </c>
      <c r="CE612" s="4"/>
      <c r="CF612" s="4"/>
      <c r="CG612" s="4"/>
      <c r="CH612" s="4">
        <v>388</v>
      </c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>
        <v>391</v>
      </c>
      <c r="GD612" s="4">
        <v>363</v>
      </c>
      <c r="GE612" s="4">
        <v>359</v>
      </c>
      <c r="GF612" s="4">
        <v>355</v>
      </c>
      <c r="GG612" s="4">
        <v>351</v>
      </c>
      <c r="GH612" s="4">
        <v>347</v>
      </c>
      <c r="GI612" s="4">
        <v>343</v>
      </c>
      <c r="GJ612" s="4">
        <v>339</v>
      </c>
      <c r="GK612" s="4">
        <v>335</v>
      </c>
      <c r="GL612" s="4">
        <v>331</v>
      </c>
      <c r="GM612" s="4">
        <v>327</v>
      </c>
      <c r="GN612" s="4">
        <v>323</v>
      </c>
      <c r="GO612" s="4">
        <v>319</v>
      </c>
      <c r="GP612" s="4">
        <v>315</v>
      </c>
      <c r="GQ612" s="4">
        <v>311</v>
      </c>
      <c r="GR612" s="4">
        <v>307</v>
      </c>
      <c r="GS612" s="4">
        <v>303</v>
      </c>
      <c r="GT612" s="4">
        <v>299</v>
      </c>
      <c r="GU612" s="4">
        <v>295</v>
      </c>
      <c r="GV612" s="4">
        <v>291</v>
      </c>
      <c r="GW612" s="4">
        <v>287</v>
      </c>
      <c r="GX612" s="4">
        <v>283</v>
      </c>
      <c r="GY612" s="4">
        <v>279</v>
      </c>
      <c r="GZ612" s="4">
        <v>275</v>
      </c>
      <c r="HA612" s="4">
        <v>271</v>
      </c>
      <c r="HB612" s="4">
        <v>267</v>
      </c>
      <c r="HC612" s="19">
        <v>39.1</v>
      </c>
      <c r="HD612" s="19">
        <v>90.8</v>
      </c>
      <c r="HE612" s="19">
        <v>89.8</v>
      </c>
      <c r="HF612" s="19">
        <v>88.8</v>
      </c>
      <c r="HG612" s="19">
        <v>87.8</v>
      </c>
      <c r="HH612" s="19">
        <v>86.8</v>
      </c>
      <c r="HI612" s="19">
        <v>85.8</v>
      </c>
      <c r="HJ612" s="19">
        <v>84.8</v>
      </c>
      <c r="HK612" s="19">
        <v>83.8</v>
      </c>
      <c r="HL612" s="19">
        <v>82.8</v>
      </c>
      <c r="HM612" s="19">
        <v>81.8</v>
      </c>
      <c r="HN612" s="19">
        <v>80.8</v>
      </c>
      <c r="HO612" s="19">
        <v>79.8</v>
      </c>
      <c r="HP612" s="19">
        <v>78.8</v>
      </c>
      <c r="HQ612" s="19">
        <v>77.8</v>
      </c>
      <c r="HR612" s="19">
        <v>76.8</v>
      </c>
      <c r="HS612" s="19">
        <v>75.8</v>
      </c>
      <c r="HT612" s="19">
        <v>74.8</v>
      </c>
      <c r="HU612" s="19">
        <v>73.8</v>
      </c>
      <c r="HV612" s="19">
        <v>72.8</v>
      </c>
      <c r="HW612" s="19">
        <v>71.8</v>
      </c>
      <c r="HX612" s="19">
        <v>70.8</v>
      </c>
      <c r="HY612" s="19">
        <v>69.8</v>
      </c>
      <c r="HZ612" s="19">
        <v>68.8</v>
      </c>
      <c r="IA612" s="19">
        <v>67.8</v>
      </c>
      <c r="IB612" s="19">
        <v>66.8</v>
      </c>
    </row>
    <row r="613">
      <c r="A613" s="2" t="s">
        <v>3465</v>
      </c>
      <c r="B613" s="2" t="s">
        <v>3409</v>
      </c>
      <c r="C613" s="2" t="s">
        <v>762</v>
      </c>
      <c r="D613" s="2" t="s">
        <v>3410</v>
      </c>
      <c r="E613" s="2" t="s">
        <v>3411</v>
      </c>
      <c r="F613" s="2" t="s">
        <v>3447</v>
      </c>
      <c r="G613" s="2" t="s">
        <v>233</v>
      </c>
      <c r="H613" s="2" t="s">
        <v>233</v>
      </c>
      <c r="I613" s="2" t="s">
        <v>3448</v>
      </c>
      <c r="J613" s="2" t="s">
        <v>867</v>
      </c>
      <c r="K613" s="2" t="s">
        <v>3462</v>
      </c>
      <c r="L613" s="3">
        <v>15</v>
      </c>
      <c r="M613" s="3">
        <v>15.75</v>
      </c>
      <c r="N613" s="3">
        <v>29.99</v>
      </c>
      <c r="O613" s="2" t="s">
        <v>230</v>
      </c>
      <c r="P613" s="2" t="s">
        <v>597</v>
      </c>
      <c r="Q613" s="2" t="s">
        <v>232</v>
      </c>
      <c r="R613" s="2" t="s">
        <v>233</v>
      </c>
      <c r="S613" s="2" t="s">
        <v>233</v>
      </c>
      <c r="T613" s="2" t="s">
        <v>233</v>
      </c>
      <c r="U613" s="2" t="s">
        <v>233</v>
      </c>
      <c r="V613" s="2" t="s">
        <v>609</v>
      </c>
      <c r="W613" s="2" t="s">
        <v>233</v>
      </c>
      <c r="X613" s="2" t="s">
        <v>233</v>
      </c>
      <c r="Y613" s="2" t="s">
        <v>3451</v>
      </c>
      <c r="Z613" s="4">
        <v>370</v>
      </c>
      <c r="AA613" s="4">
        <f>=ROUNDDOWN(46.25,0)</f>
      </c>
      <c r="AB613" s="5">
        <v>8</v>
      </c>
      <c r="AC613" s="2" t="s">
        <v>233</v>
      </c>
      <c r="AD613" s="4"/>
      <c r="AE613" s="4"/>
      <c r="AF613" s="6"/>
      <c r="AG613" s="6">
        <v>48</v>
      </c>
      <c r="AH613" s="7">
        <v>1</v>
      </c>
      <c r="AI613" s="4"/>
      <c r="AJ613" s="4">
        <f>=ROUNDDOWN({0},0)</f>
      </c>
      <c r="AK613" s="5"/>
      <c r="AL613" s="2" t="s">
        <v>233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233</v>
      </c>
      <c r="AW613" s="8" t="s">
        <v>233</v>
      </c>
      <c r="AX613" s="4" t="s">
        <v>233</v>
      </c>
      <c r="AY613" s="8" t="s">
        <v>233</v>
      </c>
      <c r="AZ613" s="7" t="s">
        <v>233</v>
      </c>
      <c r="BA613" s="7" t="s">
        <v>233</v>
      </c>
      <c r="BB613" s="7"/>
      <c r="BC613" s="4" t="s">
        <v>233</v>
      </c>
      <c r="BD613" s="8" t="s">
        <v>233</v>
      </c>
      <c r="BE613" s="4" t="s">
        <v>233</v>
      </c>
      <c r="BF613" s="8" t="s">
        <v>233</v>
      </c>
      <c r="BG613" s="7" t="s">
        <v>233</v>
      </c>
      <c r="BH613" s="7" t="s">
        <v>233</v>
      </c>
      <c r="BI613" s="7"/>
      <c r="BJ613" s="4">
        <v>6</v>
      </c>
      <c r="BK613" s="8">
        <v>116.4</v>
      </c>
      <c r="BL613" s="2" t="s">
        <v>3452</v>
      </c>
      <c r="BM613" s="7"/>
      <c r="BN613" s="7"/>
      <c r="BO613" s="4"/>
      <c r="BP613" s="8"/>
      <c r="BQ613" s="4"/>
      <c r="BR613" s="8"/>
      <c r="BS613" s="7"/>
      <c r="BT613" s="7"/>
      <c r="BU613" s="2" t="s">
        <v>3453</v>
      </c>
      <c r="BV613" s="2" t="s">
        <v>233</v>
      </c>
      <c r="BW613" s="2" t="s">
        <v>233</v>
      </c>
      <c r="BX613" s="2" t="s">
        <v>241</v>
      </c>
      <c r="BY613" s="2" t="s">
        <v>242</v>
      </c>
      <c r="BZ613" s="2" t="s">
        <v>230</v>
      </c>
      <c r="CA613" s="2" t="s">
        <v>3440</v>
      </c>
      <c r="CB613" s="2" t="s">
        <v>233</v>
      </c>
      <c r="CC613" s="2" t="s">
        <v>245</v>
      </c>
      <c r="CD613" s="2" t="s">
        <v>233</v>
      </c>
      <c r="CE613" s="4"/>
      <c r="CF613" s="4"/>
      <c r="CG613" s="4"/>
      <c r="CH613" s="4">
        <v>370</v>
      </c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>
        <v>370</v>
      </c>
      <c r="GD613" s="4">
        <v>306</v>
      </c>
      <c r="GE613" s="4">
        <v>298</v>
      </c>
      <c r="GF613" s="4">
        <v>290</v>
      </c>
      <c r="GG613" s="4">
        <v>282</v>
      </c>
      <c r="GH613" s="4">
        <v>274</v>
      </c>
      <c r="GI613" s="4">
        <v>266</v>
      </c>
      <c r="GJ613" s="4">
        <v>258</v>
      </c>
      <c r="GK613" s="4">
        <v>250</v>
      </c>
      <c r="GL613" s="4">
        <v>242</v>
      </c>
      <c r="GM613" s="4">
        <v>234</v>
      </c>
      <c r="GN613" s="4">
        <v>226</v>
      </c>
      <c r="GO613" s="4">
        <v>218</v>
      </c>
      <c r="GP613" s="4">
        <v>210</v>
      </c>
      <c r="GQ613" s="4">
        <v>202</v>
      </c>
      <c r="GR613" s="4">
        <v>194</v>
      </c>
      <c r="GS613" s="4">
        <v>186</v>
      </c>
      <c r="GT613" s="4">
        <v>178</v>
      </c>
      <c r="GU613" s="4">
        <v>170</v>
      </c>
      <c r="GV613" s="4">
        <v>162</v>
      </c>
      <c r="GW613" s="4">
        <v>154</v>
      </c>
      <c r="GX613" s="4">
        <v>146</v>
      </c>
      <c r="GY613" s="4">
        <v>138</v>
      </c>
      <c r="GZ613" s="4">
        <v>130</v>
      </c>
      <c r="HA613" s="4">
        <v>122</v>
      </c>
      <c r="HB613" s="4">
        <v>114</v>
      </c>
      <c r="HC613" s="19">
        <v>16.8</v>
      </c>
      <c r="HD613" s="19">
        <v>38.3</v>
      </c>
      <c r="HE613" s="19">
        <v>37.3</v>
      </c>
      <c r="HF613" s="19">
        <v>36.3</v>
      </c>
      <c r="HG613" s="19">
        <v>35.3</v>
      </c>
      <c r="HH613" s="19">
        <v>34.3</v>
      </c>
      <c r="HI613" s="19">
        <v>33.3</v>
      </c>
      <c r="HJ613" s="19">
        <v>32.3</v>
      </c>
      <c r="HK613" s="19">
        <v>31.3</v>
      </c>
      <c r="HL613" s="19">
        <v>30.3</v>
      </c>
      <c r="HM613" s="19">
        <v>29.3</v>
      </c>
      <c r="HN613" s="19">
        <v>28.3</v>
      </c>
      <c r="HO613" s="19">
        <v>27.3</v>
      </c>
      <c r="HP613" s="19">
        <v>26.3</v>
      </c>
      <c r="HQ613" s="19">
        <v>25.3</v>
      </c>
      <c r="HR613" s="19">
        <v>24.3</v>
      </c>
      <c r="HS613" s="19">
        <v>23.3</v>
      </c>
      <c r="HT613" s="19">
        <v>22.3</v>
      </c>
      <c r="HU613" s="19">
        <v>21.3</v>
      </c>
      <c r="HV613" s="19">
        <v>20.3</v>
      </c>
      <c r="HW613" s="19">
        <v>19.3</v>
      </c>
      <c r="HX613" s="19">
        <v>18.3</v>
      </c>
      <c r="HY613" s="19">
        <v>17.3</v>
      </c>
      <c r="HZ613" s="19">
        <v>16.3</v>
      </c>
      <c r="IA613" s="19">
        <v>15.3</v>
      </c>
      <c r="IB613" s="19">
        <v>14.3</v>
      </c>
    </row>
    <row r="614">
      <c r="A614" s="2" t="s">
        <v>3466</v>
      </c>
      <c r="B614" s="2" t="s">
        <v>3409</v>
      </c>
      <c r="C614" s="2" t="s">
        <v>762</v>
      </c>
      <c r="D614" s="2" t="s">
        <v>3410</v>
      </c>
      <c r="E614" s="2" t="s">
        <v>3411</v>
      </c>
      <c r="F614" s="2" t="s">
        <v>3447</v>
      </c>
      <c r="G614" s="2" t="s">
        <v>233</v>
      </c>
      <c r="H614" s="2" t="s">
        <v>233</v>
      </c>
      <c r="I614" s="2" t="s">
        <v>3448</v>
      </c>
      <c r="J614" s="2" t="s">
        <v>3460</v>
      </c>
      <c r="K614" s="2" t="s">
        <v>3462</v>
      </c>
      <c r="L614" s="3">
        <v>15</v>
      </c>
      <c r="M614" s="3">
        <v>15.75</v>
      </c>
      <c r="N614" s="3">
        <v>29.99</v>
      </c>
      <c r="O614" s="2" t="s">
        <v>230</v>
      </c>
      <c r="P614" s="2" t="s">
        <v>597</v>
      </c>
      <c r="Q614" s="2" t="s">
        <v>232</v>
      </c>
      <c r="R614" s="2" t="s">
        <v>233</v>
      </c>
      <c r="S614" s="2" t="s">
        <v>233</v>
      </c>
      <c r="T614" s="2" t="s">
        <v>233</v>
      </c>
      <c r="U614" s="2" t="s">
        <v>233</v>
      </c>
      <c r="V614" s="2" t="s">
        <v>609</v>
      </c>
      <c r="W614" s="2" t="s">
        <v>233</v>
      </c>
      <c r="X614" s="2" t="s">
        <v>233</v>
      </c>
      <c r="Y614" s="2" t="s">
        <v>3451</v>
      </c>
      <c r="Z614" s="4">
        <v>99</v>
      </c>
      <c r="AA614" s="4">
        <f>=ROUNDDOWN(33,0)</f>
      </c>
      <c r="AB614" s="5">
        <v>3</v>
      </c>
      <c r="AC614" s="2" t="s">
        <v>233</v>
      </c>
      <c r="AD614" s="4"/>
      <c r="AE614" s="4"/>
      <c r="AF614" s="6"/>
      <c r="AG614" s="6">
        <v>48</v>
      </c>
      <c r="AH614" s="7">
        <v>1</v>
      </c>
      <c r="AI614" s="4"/>
      <c r="AJ614" s="4">
        <f>=ROUNDDOWN({0},0)</f>
      </c>
      <c r="AK614" s="5"/>
      <c r="AL614" s="2" t="s">
        <v>233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233</v>
      </c>
      <c r="AW614" s="8" t="s">
        <v>233</v>
      </c>
      <c r="AX614" s="4" t="s">
        <v>233</v>
      </c>
      <c r="AY614" s="8" t="s">
        <v>233</v>
      </c>
      <c r="AZ614" s="7" t="s">
        <v>233</v>
      </c>
      <c r="BA614" s="7" t="s">
        <v>233</v>
      </c>
      <c r="BB614" s="7"/>
      <c r="BC614" s="4" t="s">
        <v>233</v>
      </c>
      <c r="BD614" s="8" t="s">
        <v>233</v>
      </c>
      <c r="BE614" s="4" t="s">
        <v>233</v>
      </c>
      <c r="BF614" s="8" t="s">
        <v>233</v>
      </c>
      <c r="BG614" s="7" t="s">
        <v>233</v>
      </c>
      <c r="BH614" s="7" t="s">
        <v>233</v>
      </c>
      <c r="BI614" s="7"/>
      <c r="BJ614" s="4">
        <v>3</v>
      </c>
      <c r="BK614" s="8">
        <v>71.4</v>
      </c>
      <c r="BL614" s="2" t="s">
        <v>835</v>
      </c>
      <c r="BM614" s="7"/>
      <c r="BN614" s="7"/>
      <c r="BO614" s="4"/>
      <c r="BP614" s="8"/>
      <c r="BQ614" s="4"/>
      <c r="BR614" s="8"/>
      <c r="BS614" s="7"/>
      <c r="BT614" s="7"/>
      <c r="BU614" s="2" t="s">
        <v>3453</v>
      </c>
      <c r="BV614" s="2" t="s">
        <v>233</v>
      </c>
      <c r="BW614" s="2" t="s">
        <v>233</v>
      </c>
      <c r="BX614" s="2" t="s">
        <v>241</v>
      </c>
      <c r="BY614" s="2" t="s">
        <v>242</v>
      </c>
      <c r="BZ614" s="2" t="s">
        <v>230</v>
      </c>
      <c r="CA614" s="2" t="s">
        <v>2692</v>
      </c>
      <c r="CB614" s="2" t="s">
        <v>233</v>
      </c>
      <c r="CC614" s="2" t="s">
        <v>245</v>
      </c>
      <c r="CD614" s="2" t="s">
        <v>233</v>
      </c>
      <c r="CE614" s="4"/>
      <c r="CF614" s="4"/>
      <c r="CG614" s="4"/>
      <c r="CH614" s="4">
        <v>99</v>
      </c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>
        <v>99</v>
      </c>
      <c r="GD614" s="4">
        <v>82</v>
      </c>
      <c r="GE614" s="4">
        <v>79</v>
      </c>
      <c r="GF614" s="4">
        <v>76</v>
      </c>
      <c r="GG614" s="4">
        <v>73</v>
      </c>
      <c r="GH614" s="4">
        <v>70</v>
      </c>
      <c r="GI614" s="4">
        <v>67</v>
      </c>
      <c r="GJ614" s="4">
        <v>64</v>
      </c>
      <c r="GK614" s="4">
        <v>61</v>
      </c>
      <c r="GL614" s="4">
        <v>58</v>
      </c>
      <c r="GM614" s="4">
        <v>55</v>
      </c>
      <c r="GN614" s="4">
        <v>52</v>
      </c>
      <c r="GO614" s="4">
        <v>49</v>
      </c>
      <c r="GP614" s="4">
        <v>46</v>
      </c>
      <c r="GQ614" s="4">
        <v>43</v>
      </c>
      <c r="GR614" s="4">
        <v>40</v>
      </c>
      <c r="GS614" s="4">
        <v>37</v>
      </c>
      <c r="GT614" s="4">
        <v>34</v>
      </c>
      <c r="GU614" s="4">
        <v>31</v>
      </c>
      <c r="GV614" s="4">
        <v>28</v>
      </c>
      <c r="GW614" s="4">
        <v>25</v>
      </c>
      <c r="GX614" s="4">
        <v>22</v>
      </c>
      <c r="GY614" s="4">
        <v>19</v>
      </c>
      <c r="GZ614" s="4">
        <v>16</v>
      </c>
      <c r="HA614" s="4">
        <v>27</v>
      </c>
      <c r="HB614" s="4">
        <v>24</v>
      </c>
      <c r="HC614" s="19">
        <v>16.5</v>
      </c>
      <c r="HD614" s="19">
        <v>27.3</v>
      </c>
      <c r="HE614" s="19">
        <v>26.3</v>
      </c>
      <c r="HF614" s="19">
        <v>25.3</v>
      </c>
      <c r="HG614" s="19">
        <v>24.3</v>
      </c>
      <c r="HH614" s="19">
        <v>23.3</v>
      </c>
      <c r="HI614" s="19">
        <v>22.3</v>
      </c>
      <c r="HJ614" s="19">
        <v>21.3</v>
      </c>
      <c r="HK614" s="19">
        <v>20.3</v>
      </c>
      <c r="HL614" s="19">
        <v>19.3</v>
      </c>
      <c r="HM614" s="19">
        <v>18.3</v>
      </c>
      <c r="HN614" s="19">
        <v>17.3</v>
      </c>
      <c r="HO614" s="19">
        <v>16.3</v>
      </c>
      <c r="HP614" s="19">
        <v>15.3</v>
      </c>
      <c r="HQ614" s="19">
        <v>14.3</v>
      </c>
      <c r="HR614" s="19">
        <v>13.3</v>
      </c>
      <c r="HS614" s="19">
        <v>12.3</v>
      </c>
      <c r="HT614" s="19">
        <v>11.3</v>
      </c>
      <c r="HU614" s="19">
        <v>10.3</v>
      </c>
      <c r="HV614" s="19">
        <v>9.3</v>
      </c>
      <c r="HW614" s="19">
        <v>8.3</v>
      </c>
      <c r="HX614" s="19">
        <v>7.3</v>
      </c>
      <c r="HY614" s="19">
        <v>6.3</v>
      </c>
      <c r="HZ614" s="19">
        <v>5.3</v>
      </c>
      <c r="IA614" s="19">
        <v>9</v>
      </c>
      <c r="IB614" s="19">
        <v>8</v>
      </c>
    </row>
    <row r="615">
      <c r="A615" s="2" t="s">
        <v>3467</v>
      </c>
      <c r="B615" s="2" t="s">
        <v>3409</v>
      </c>
      <c r="C615" s="2" t="s">
        <v>762</v>
      </c>
      <c r="D615" s="2" t="s">
        <v>3410</v>
      </c>
      <c r="E615" s="2" t="s">
        <v>3411</v>
      </c>
      <c r="F615" s="2" t="s">
        <v>3447</v>
      </c>
      <c r="G615" s="2" t="s">
        <v>233</v>
      </c>
      <c r="H615" s="2" t="s">
        <v>233</v>
      </c>
      <c r="I615" s="2" t="s">
        <v>3448</v>
      </c>
      <c r="J615" s="2" t="s">
        <v>3449</v>
      </c>
      <c r="K615" s="2" t="s">
        <v>3468</v>
      </c>
      <c r="L615" s="3">
        <v>15</v>
      </c>
      <c r="M615" s="3">
        <v>15.75</v>
      </c>
      <c r="N615" s="3">
        <v>29.99</v>
      </c>
      <c r="O615" s="2" t="s">
        <v>230</v>
      </c>
      <c r="P615" s="2" t="s">
        <v>597</v>
      </c>
      <c r="Q615" s="2" t="s">
        <v>232</v>
      </c>
      <c r="R615" s="2" t="s">
        <v>233</v>
      </c>
      <c r="S615" s="2" t="s">
        <v>233</v>
      </c>
      <c r="T615" s="2" t="s">
        <v>233</v>
      </c>
      <c r="U615" s="2" t="s">
        <v>233</v>
      </c>
      <c r="V615" s="2" t="s">
        <v>609</v>
      </c>
      <c r="W615" s="2" t="s">
        <v>233</v>
      </c>
      <c r="X615" s="2" t="s">
        <v>233</v>
      </c>
      <c r="Y615" s="2" t="s">
        <v>3451</v>
      </c>
      <c r="Z615" s="4">
        <v>225</v>
      </c>
      <c r="AA615" s="4">
        <f>=ROUNDDOWN(281.25,0)</f>
      </c>
      <c r="AB615" s="5">
        <v>0.8</v>
      </c>
      <c r="AC615" s="2" t="s">
        <v>233</v>
      </c>
      <c r="AD615" s="4"/>
      <c r="AE615" s="4"/>
      <c r="AF615" s="6"/>
      <c r="AG615" s="6">
        <v>48</v>
      </c>
      <c r="AH615" s="7">
        <v>1</v>
      </c>
      <c r="AI615" s="4"/>
      <c r="AJ615" s="4">
        <f>=ROUNDDOWN({0},0)</f>
      </c>
      <c r="AK615" s="5"/>
      <c r="AL615" s="2" t="s">
        <v>233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233</v>
      </c>
      <c r="AW615" s="8" t="s">
        <v>233</v>
      </c>
      <c r="AX615" s="4" t="s">
        <v>233</v>
      </c>
      <c r="AY615" s="8" t="s">
        <v>233</v>
      </c>
      <c r="AZ615" s="7" t="s">
        <v>233</v>
      </c>
      <c r="BA615" s="7" t="s">
        <v>233</v>
      </c>
      <c r="BB615" s="7"/>
      <c r="BC615" s="4" t="s">
        <v>233</v>
      </c>
      <c r="BD615" s="8" t="s">
        <v>233</v>
      </c>
      <c r="BE615" s="4" t="s">
        <v>233</v>
      </c>
      <c r="BF615" s="8" t="s">
        <v>233</v>
      </c>
      <c r="BG615" s="7" t="s">
        <v>233</v>
      </c>
      <c r="BH615" s="7" t="s">
        <v>233</v>
      </c>
      <c r="BI615" s="7"/>
      <c r="BJ615" s="4">
        <v>1</v>
      </c>
      <c r="BK615" s="8">
        <v>15</v>
      </c>
      <c r="BL615" s="2" t="s">
        <v>1996</v>
      </c>
      <c r="BM615" s="7"/>
      <c r="BN615" s="7"/>
      <c r="BO615" s="4"/>
      <c r="BP615" s="8"/>
      <c r="BQ615" s="4"/>
      <c r="BR615" s="8"/>
      <c r="BS615" s="7"/>
      <c r="BT615" s="7"/>
      <c r="BU615" s="2" t="s">
        <v>3453</v>
      </c>
      <c r="BV615" s="2" t="s">
        <v>233</v>
      </c>
      <c r="BW615" s="2" t="s">
        <v>233</v>
      </c>
      <c r="BX615" s="2" t="s">
        <v>241</v>
      </c>
      <c r="BY615" s="2" t="s">
        <v>242</v>
      </c>
      <c r="BZ615" s="2" t="s">
        <v>230</v>
      </c>
      <c r="CA615" s="2" t="s">
        <v>2692</v>
      </c>
      <c r="CB615" s="2" t="s">
        <v>233</v>
      </c>
      <c r="CC615" s="2" t="s">
        <v>245</v>
      </c>
      <c r="CD615" s="2" t="s">
        <v>233</v>
      </c>
      <c r="CE615" s="4"/>
      <c r="CF615" s="4"/>
      <c r="CG615" s="4"/>
      <c r="CH615" s="4">
        <v>225</v>
      </c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>
        <v>225</v>
      </c>
      <c r="GD615" s="4">
        <v>217</v>
      </c>
      <c r="GE615" s="4">
        <v>216</v>
      </c>
      <c r="GF615" s="4">
        <v>215</v>
      </c>
      <c r="GG615" s="4">
        <v>214</v>
      </c>
      <c r="GH615" s="4">
        <v>213</v>
      </c>
      <c r="GI615" s="4">
        <v>212</v>
      </c>
      <c r="GJ615" s="4">
        <v>211</v>
      </c>
      <c r="GK615" s="4">
        <v>210</v>
      </c>
      <c r="GL615" s="4">
        <v>209</v>
      </c>
      <c r="GM615" s="4">
        <v>208</v>
      </c>
      <c r="GN615" s="4">
        <v>207</v>
      </c>
      <c r="GO615" s="4">
        <v>206</v>
      </c>
      <c r="GP615" s="4">
        <v>205</v>
      </c>
      <c r="GQ615" s="4">
        <v>204</v>
      </c>
      <c r="GR615" s="4">
        <v>203</v>
      </c>
      <c r="GS615" s="4">
        <v>202</v>
      </c>
      <c r="GT615" s="4">
        <v>201</v>
      </c>
      <c r="GU615" s="4">
        <v>200</v>
      </c>
      <c r="GV615" s="4">
        <v>199</v>
      </c>
      <c r="GW615" s="4">
        <v>198</v>
      </c>
      <c r="GX615" s="4">
        <v>197</v>
      </c>
      <c r="GY615" s="4">
        <v>196</v>
      </c>
      <c r="GZ615" s="4">
        <v>195</v>
      </c>
      <c r="HA615" s="4">
        <v>194</v>
      </c>
      <c r="HB615" s="4">
        <v>193</v>
      </c>
      <c r="HC615" s="19">
        <v>75</v>
      </c>
      <c r="HD615" s="19">
        <v>217</v>
      </c>
      <c r="HE615" s="19">
        <v>216</v>
      </c>
      <c r="HF615" s="19">
        <v>215</v>
      </c>
      <c r="HG615" s="19">
        <v>214</v>
      </c>
      <c r="HH615" s="19">
        <v>213</v>
      </c>
      <c r="HI615" s="19">
        <v>212</v>
      </c>
      <c r="HJ615" s="19">
        <v>211</v>
      </c>
      <c r="HK615" s="19">
        <v>210</v>
      </c>
      <c r="HL615" s="19">
        <v>209</v>
      </c>
      <c r="HM615" s="19">
        <v>208</v>
      </c>
      <c r="HN615" s="19">
        <v>207</v>
      </c>
      <c r="HO615" s="19">
        <v>206</v>
      </c>
      <c r="HP615" s="19">
        <v>205</v>
      </c>
      <c r="HQ615" s="19">
        <v>204</v>
      </c>
      <c r="HR615" s="19">
        <v>203</v>
      </c>
      <c r="HS615" s="19">
        <v>202</v>
      </c>
      <c r="HT615" s="19">
        <v>201</v>
      </c>
      <c r="HU615" s="19">
        <v>200</v>
      </c>
      <c r="HV615" s="19">
        <v>199</v>
      </c>
      <c r="HW615" s="19">
        <v>198</v>
      </c>
      <c r="HX615" s="19">
        <v>197</v>
      </c>
      <c r="HY615" s="19">
        <v>196</v>
      </c>
      <c r="HZ615" s="19">
        <v>195</v>
      </c>
      <c r="IA615" s="19">
        <v>194</v>
      </c>
      <c r="IB615" s="19">
        <v>193</v>
      </c>
    </row>
    <row r="616">
      <c r="A616" s="2" t="s">
        <v>3469</v>
      </c>
      <c r="B616" s="2" t="s">
        <v>3409</v>
      </c>
      <c r="C616" s="2" t="s">
        <v>762</v>
      </c>
      <c r="D616" s="2" t="s">
        <v>3410</v>
      </c>
      <c r="E616" s="2" t="s">
        <v>3411</v>
      </c>
      <c r="F616" s="2" t="s">
        <v>3447</v>
      </c>
      <c r="G616" s="2" t="s">
        <v>233</v>
      </c>
      <c r="H616" s="2" t="s">
        <v>233</v>
      </c>
      <c r="I616" s="2" t="s">
        <v>3448</v>
      </c>
      <c r="J616" s="2" t="s">
        <v>3455</v>
      </c>
      <c r="K616" s="2" t="s">
        <v>3468</v>
      </c>
      <c r="L616" s="3">
        <v>15</v>
      </c>
      <c r="M616" s="3">
        <v>15.75</v>
      </c>
      <c r="N616" s="3">
        <v>29.99</v>
      </c>
      <c r="O616" s="2" t="s">
        <v>230</v>
      </c>
      <c r="P616" s="2" t="s">
        <v>597</v>
      </c>
      <c r="Q616" s="2" t="s">
        <v>232</v>
      </c>
      <c r="R616" s="2" t="s">
        <v>233</v>
      </c>
      <c r="S616" s="2" t="s">
        <v>233</v>
      </c>
      <c r="T616" s="2" t="s">
        <v>233</v>
      </c>
      <c r="U616" s="2" t="s">
        <v>233</v>
      </c>
      <c r="V616" s="2" t="s">
        <v>609</v>
      </c>
      <c r="W616" s="2" t="s">
        <v>233</v>
      </c>
      <c r="X616" s="2" t="s">
        <v>233</v>
      </c>
      <c r="Y616" s="2" t="s">
        <v>3451</v>
      </c>
      <c r="Z616" s="4">
        <v>303</v>
      </c>
      <c r="AA616" s="4">
        <f>=ROUNDDOWN(151.5,0)</f>
      </c>
      <c r="AB616" s="5">
        <v>2</v>
      </c>
      <c r="AC616" s="2" t="s">
        <v>233</v>
      </c>
      <c r="AD616" s="4"/>
      <c r="AE616" s="4"/>
      <c r="AF616" s="6"/>
      <c r="AG616" s="6">
        <v>48</v>
      </c>
      <c r="AH616" s="7">
        <v>1</v>
      </c>
      <c r="AI616" s="4"/>
      <c r="AJ616" s="4">
        <f>=ROUNDDOWN({0},0)</f>
      </c>
      <c r="AK616" s="5"/>
      <c r="AL616" s="2" t="s">
        <v>233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233</v>
      </c>
      <c r="AW616" s="8" t="s">
        <v>233</v>
      </c>
      <c r="AX616" s="4" t="s">
        <v>233</v>
      </c>
      <c r="AY616" s="8" t="s">
        <v>233</v>
      </c>
      <c r="AZ616" s="7" t="s">
        <v>233</v>
      </c>
      <c r="BA616" s="7" t="s">
        <v>233</v>
      </c>
      <c r="BB616" s="7"/>
      <c r="BC616" s="4" t="s">
        <v>233</v>
      </c>
      <c r="BD616" s="8" t="s">
        <v>233</v>
      </c>
      <c r="BE616" s="4" t="s">
        <v>233</v>
      </c>
      <c r="BF616" s="8" t="s">
        <v>233</v>
      </c>
      <c r="BG616" s="7" t="s">
        <v>233</v>
      </c>
      <c r="BH616" s="7" t="s">
        <v>233</v>
      </c>
      <c r="BI616" s="7"/>
      <c r="BJ616" s="4">
        <v>3</v>
      </c>
      <c r="BK616" s="8">
        <v>62.6</v>
      </c>
      <c r="BL616" s="2" t="s">
        <v>3452</v>
      </c>
      <c r="BM616" s="7"/>
      <c r="BN616" s="7"/>
      <c r="BO616" s="4"/>
      <c r="BP616" s="8"/>
      <c r="BQ616" s="4"/>
      <c r="BR616" s="8"/>
      <c r="BS616" s="7"/>
      <c r="BT616" s="7"/>
      <c r="BU616" s="2" t="s">
        <v>3453</v>
      </c>
      <c r="BV616" s="2" t="s">
        <v>233</v>
      </c>
      <c r="BW616" s="2" t="s">
        <v>233</v>
      </c>
      <c r="BX616" s="2" t="s">
        <v>241</v>
      </c>
      <c r="BY616" s="2" t="s">
        <v>242</v>
      </c>
      <c r="BZ616" s="2" t="s">
        <v>230</v>
      </c>
      <c r="CA616" s="2" t="s">
        <v>2692</v>
      </c>
      <c r="CB616" s="2" t="s">
        <v>1806</v>
      </c>
      <c r="CC616" s="2" t="s">
        <v>245</v>
      </c>
      <c r="CD616" s="2" t="s">
        <v>233</v>
      </c>
      <c r="CE616" s="4"/>
      <c r="CF616" s="4"/>
      <c r="CG616" s="4"/>
      <c r="CH616" s="4">
        <v>303</v>
      </c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>
        <v>304</v>
      </c>
      <c r="GD616" s="4">
        <v>295</v>
      </c>
      <c r="GE616" s="4">
        <v>293</v>
      </c>
      <c r="GF616" s="4">
        <v>291</v>
      </c>
      <c r="GG616" s="4">
        <v>289</v>
      </c>
      <c r="GH616" s="4">
        <v>287</v>
      </c>
      <c r="GI616" s="4">
        <v>285</v>
      </c>
      <c r="GJ616" s="4">
        <v>283</v>
      </c>
      <c r="GK616" s="4">
        <v>281</v>
      </c>
      <c r="GL616" s="4">
        <v>279</v>
      </c>
      <c r="GM616" s="4">
        <v>277</v>
      </c>
      <c r="GN616" s="4">
        <v>275</v>
      </c>
      <c r="GO616" s="4">
        <v>273</v>
      </c>
      <c r="GP616" s="4">
        <v>271</v>
      </c>
      <c r="GQ616" s="4">
        <v>269</v>
      </c>
      <c r="GR616" s="4">
        <v>267</v>
      </c>
      <c r="GS616" s="4">
        <v>265</v>
      </c>
      <c r="GT616" s="4">
        <v>263</v>
      </c>
      <c r="GU616" s="4">
        <v>261</v>
      </c>
      <c r="GV616" s="4">
        <v>259</v>
      </c>
      <c r="GW616" s="4">
        <v>257</v>
      </c>
      <c r="GX616" s="4">
        <v>255</v>
      </c>
      <c r="GY616" s="4">
        <v>253</v>
      </c>
      <c r="GZ616" s="4">
        <v>251</v>
      </c>
      <c r="HA616" s="4">
        <v>249</v>
      </c>
      <c r="HB616" s="4">
        <v>247</v>
      </c>
      <c r="HC616" s="19">
        <v>76</v>
      </c>
      <c r="HD616" s="19">
        <v>147.5</v>
      </c>
      <c r="HE616" s="19">
        <v>146.5</v>
      </c>
      <c r="HF616" s="19">
        <v>145.5</v>
      </c>
      <c r="HG616" s="19">
        <v>144.5</v>
      </c>
      <c r="HH616" s="19">
        <v>143.5</v>
      </c>
      <c r="HI616" s="19">
        <v>142.5</v>
      </c>
      <c r="HJ616" s="19">
        <v>141.5</v>
      </c>
      <c r="HK616" s="19">
        <v>140.5</v>
      </c>
      <c r="HL616" s="19">
        <v>139.5</v>
      </c>
      <c r="HM616" s="19">
        <v>138.5</v>
      </c>
      <c r="HN616" s="19">
        <v>137.5</v>
      </c>
      <c r="HO616" s="19">
        <v>136.5</v>
      </c>
      <c r="HP616" s="19">
        <v>135.5</v>
      </c>
      <c r="HQ616" s="19">
        <v>134.5</v>
      </c>
      <c r="HR616" s="19">
        <v>133.5</v>
      </c>
      <c r="HS616" s="19">
        <v>132.5</v>
      </c>
      <c r="HT616" s="19">
        <v>131.5</v>
      </c>
      <c r="HU616" s="19">
        <v>130.5</v>
      </c>
      <c r="HV616" s="19">
        <v>129.5</v>
      </c>
      <c r="HW616" s="19">
        <v>128.5</v>
      </c>
      <c r="HX616" s="19">
        <v>127.5</v>
      </c>
      <c r="HY616" s="19">
        <v>126.5</v>
      </c>
      <c r="HZ616" s="19">
        <v>125.5</v>
      </c>
      <c r="IA616" s="19">
        <v>124.5</v>
      </c>
      <c r="IB616" s="19">
        <v>123.5</v>
      </c>
    </row>
    <row r="617">
      <c r="A617" s="2" t="s">
        <v>3470</v>
      </c>
      <c r="B617" s="2" t="s">
        <v>3409</v>
      </c>
      <c r="C617" s="2" t="s">
        <v>762</v>
      </c>
      <c r="D617" s="2" t="s">
        <v>3410</v>
      </c>
      <c r="E617" s="2" t="s">
        <v>3411</v>
      </c>
      <c r="F617" s="2" t="s">
        <v>3471</v>
      </c>
      <c r="G617" s="2" t="s">
        <v>3471</v>
      </c>
      <c r="H617" s="2" t="s">
        <v>3471</v>
      </c>
      <c r="I617" s="2" t="s">
        <v>3472</v>
      </c>
      <c r="J617" s="2" t="s">
        <v>3473</v>
      </c>
      <c r="K617" s="2" t="s">
        <v>3474</v>
      </c>
      <c r="L617" s="3">
        <v>20</v>
      </c>
      <c r="M617" s="3">
        <v>21</v>
      </c>
      <c r="N617" s="3">
        <v>41.99</v>
      </c>
      <c r="O617" s="2" t="s">
        <v>230</v>
      </c>
      <c r="P617" s="2" t="s">
        <v>597</v>
      </c>
      <c r="Q617" s="2" t="s">
        <v>232</v>
      </c>
      <c r="R617" s="2" t="s">
        <v>233</v>
      </c>
      <c r="S617" s="2" t="s">
        <v>233</v>
      </c>
      <c r="T617" s="2" t="s">
        <v>233</v>
      </c>
      <c r="U617" s="2" t="s">
        <v>329</v>
      </c>
      <c r="V617" s="2" t="s">
        <v>609</v>
      </c>
      <c r="W617" s="2" t="s">
        <v>233</v>
      </c>
      <c r="X617" s="2" t="s">
        <v>233</v>
      </c>
      <c r="Y617" s="2" t="s">
        <v>1277</v>
      </c>
      <c r="Z617" s="4">
        <v>154</v>
      </c>
      <c r="AA617" s="4">
        <f>=ROUNDDOWN(154,0)</f>
      </c>
      <c r="AB617" s="5">
        <v>1</v>
      </c>
      <c r="AC617" s="2" t="s">
        <v>233</v>
      </c>
      <c r="AD617" s="4"/>
      <c r="AE617" s="4"/>
      <c r="AF617" s="6"/>
      <c r="AG617" s="6">
        <v>73</v>
      </c>
      <c r="AH617" s="7">
        <v>1</v>
      </c>
      <c r="AI617" s="4"/>
      <c r="AJ617" s="4">
        <f>=ROUNDDOWN({0},0)</f>
      </c>
      <c r="AK617" s="5"/>
      <c r="AL617" s="2" t="s">
        <v>233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233</v>
      </c>
      <c r="AW617" s="8" t="s">
        <v>233</v>
      </c>
      <c r="AX617" s="4" t="s">
        <v>233</v>
      </c>
      <c r="AY617" s="8" t="s">
        <v>233</v>
      </c>
      <c r="AZ617" s="7" t="s">
        <v>233</v>
      </c>
      <c r="BA617" s="7" t="s">
        <v>233</v>
      </c>
      <c r="BB617" s="7"/>
      <c r="BC617" s="4" t="s">
        <v>233</v>
      </c>
      <c r="BD617" s="8" t="s">
        <v>233</v>
      </c>
      <c r="BE617" s="4" t="s">
        <v>233</v>
      </c>
      <c r="BF617" s="8" t="s">
        <v>233</v>
      </c>
      <c r="BG617" s="7" t="s">
        <v>233</v>
      </c>
      <c r="BH617" s="7" t="s">
        <v>233</v>
      </c>
      <c r="BI617" s="7"/>
      <c r="BJ617" s="4">
        <v>4</v>
      </c>
      <c r="BK617" s="8">
        <v>100.38</v>
      </c>
      <c r="BL617" s="2" t="s">
        <v>3475</v>
      </c>
      <c r="BM617" s="7"/>
      <c r="BN617" s="7"/>
      <c r="BO617" s="4"/>
      <c r="BP617" s="8"/>
      <c r="BQ617" s="4"/>
      <c r="BR617" s="8"/>
      <c r="BS617" s="7"/>
      <c r="BT617" s="7"/>
      <c r="BU617" s="2" t="s">
        <v>3476</v>
      </c>
      <c r="BV617" s="2" t="s">
        <v>233</v>
      </c>
      <c r="BW617" s="2" t="s">
        <v>233</v>
      </c>
      <c r="BX617" s="2" t="s">
        <v>241</v>
      </c>
      <c r="BY617" s="2" t="s">
        <v>242</v>
      </c>
      <c r="BZ617" s="2" t="s">
        <v>230</v>
      </c>
      <c r="CA617" s="2" t="s">
        <v>2692</v>
      </c>
      <c r="CB617" s="2" t="s">
        <v>233</v>
      </c>
      <c r="CC617" s="2" t="s">
        <v>245</v>
      </c>
      <c r="CD617" s="2" t="s">
        <v>233</v>
      </c>
      <c r="CE617" s="4"/>
      <c r="CF617" s="4"/>
      <c r="CG617" s="4"/>
      <c r="CH617" s="4">
        <v>154</v>
      </c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>
        <v>156</v>
      </c>
      <c r="GD617" s="4">
        <v>154</v>
      </c>
      <c r="GE617" s="4">
        <v>153</v>
      </c>
      <c r="GF617" s="4">
        <v>152</v>
      </c>
      <c r="GG617" s="4">
        <v>151</v>
      </c>
      <c r="GH617" s="4">
        <v>150</v>
      </c>
      <c r="GI617" s="4">
        <v>149</v>
      </c>
      <c r="GJ617" s="4">
        <v>148</v>
      </c>
      <c r="GK617" s="4">
        <v>147</v>
      </c>
      <c r="GL617" s="4">
        <v>146</v>
      </c>
      <c r="GM617" s="4">
        <v>145</v>
      </c>
      <c r="GN617" s="4">
        <v>144</v>
      </c>
      <c r="GO617" s="4">
        <v>143</v>
      </c>
      <c r="GP617" s="4">
        <v>142</v>
      </c>
      <c r="GQ617" s="4">
        <v>141</v>
      </c>
      <c r="GR617" s="4">
        <v>140</v>
      </c>
      <c r="GS617" s="4">
        <v>139</v>
      </c>
      <c r="GT617" s="4">
        <v>138</v>
      </c>
      <c r="GU617" s="4">
        <v>137</v>
      </c>
      <c r="GV617" s="4">
        <v>136</v>
      </c>
      <c r="GW617" s="4">
        <v>135</v>
      </c>
      <c r="GX617" s="4">
        <v>134</v>
      </c>
      <c r="GY617" s="4">
        <v>133</v>
      </c>
      <c r="GZ617" s="4">
        <v>132</v>
      </c>
      <c r="HA617" s="4">
        <v>131</v>
      </c>
      <c r="HB617" s="4">
        <v>130</v>
      </c>
      <c r="HC617" s="19">
        <v>156</v>
      </c>
      <c r="HD617" s="19">
        <v>154</v>
      </c>
      <c r="HE617" s="19">
        <v>153</v>
      </c>
      <c r="HF617" s="19">
        <v>152</v>
      </c>
      <c r="HG617" s="19">
        <v>151</v>
      </c>
      <c r="HH617" s="19">
        <v>150</v>
      </c>
      <c r="HI617" s="19">
        <v>149</v>
      </c>
      <c r="HJ617" s="19">
        <v>148</v>
      </c>
      <c r="HK617" s="19">
        <v>147</v>
      </c>
      <c r="HL617" s="19">
        <v>146</v>
      </c>
      <c r="HM617" s="19">
        <v>145</v>
      </c>
      <c r="HN617" s="19">
        <v>144</v>
      </c>
      <c r="HO617" s="19">
        <v>143</v>
      </c>
      <c r="HP617" s="19">
        <v>142</v>
      </c>
      <c r="HQ617" s="19">
        <v>141</v>
      </c>
      <c r="HR617" s="19">
        <v>140</v>
      </c>
      <c r="HS617" s="19">
        <v>139</v>
      </c>
      <c r="HT617" s="19">
        <v>138</v>
      </c>
      <c r="HU617" s="19">
        <v>137</v>
      </c>
      <c r="HV617" s="19">
        <v>136</v>
      </c>
      <c r="HW617" s="19">
        <v>135</v>
      </c>
      <c r="HX617" s="19">
        <v>134</v>
      </c>
      <c r="HY617" s="19">
        <v>133</v>
      </c>
      <c r="HZ617" s="19">
        <v>132</v>
      </c>
      <c r="IA617" s="19">
        <v>131</v>
      </c>
      <c r="IB617" s="19">
        <v>130</v>
      </c>
    </row>
    <row r="618">
      <c r="A618" s="2" t="s">
        <v>3477</v>
      </c>
      <c r="B618" s="2" t="s">
        <v>3409</v>
      </c>
      <c r="C618" s="2" t="s">
        <v>762</v>
      </c>
      <c r="D618" s="2" t="s">
        <v>3410</v>
      </c>
      <c r="E618" s="2" t="s">
        <v>3411</v>
      </c>
      <c r="F618" s="2" t="s">
        <v>3471</v>
      </c>
      <c r="G618" s="2" t="s">
        <v>3471</v>
      </c>
      <c r="H618" s="2" t="s">
        <v>3471</v>
      </c>
      <c r="I618" s="2" t="s">
        <v>3478</v>
      </c>
      <c r="J618" s="2" t="s">
        <v>3479</v>
      </c>
      <c r="K618" s="2" t="s">
        <v>3474</v>
      </c>
      <c r="L618" s="3">
        <v>20</v>
      </c>
      <c r="M618" s="3">
        <v>21</v>
      </c>
      <c r="N618" s="3">
        <v>41.99</v>
      </c>
      <c r="O618" s="2" t="s">
        <v>230</v>
      </c>
      <c r="P618" s="2" t="s">
        <v>597</v>
      </c>
      <c r="Q618" s="2" t="s">
        <v>232</v>
      </c>
      <c r="R618" s="2" t="s">
        <v>233</v>
      </c>
      <c r="S618" s="2" t="s">
        <v>233</v>
      </c>
      <c r="T618" s="2" t="s">
        <v>233</v>
      </c>
      <c r="U618" s="2" t="s">
        <v>329</v>
      </c>
      <c r="V618" s="2" t="s">
        <v>609</v>
      </c>
      <c r="W618" s="2" t="s">
        <v>233</v>
      </c>
      <c r="X618" s="2" t="s">
        <v>233</v>
      </c>
      <c r="Y618" s="2" t="s">
        <v>1277</v>
      </c>
      <c r="Z618" s="4">
        <v>195</v>
      </c>
      <c r="AA618" s="4">
        <f>=ROUNDDOWN(35.4545454545455,0)</f>
      </c>
      <c r="AB618" s="5">
        <v>5.5</v>
      </c>
      <c r="AC618" s="2" t="s">
        <v>233</v>
      </c>
      <c r="AD618" s="4"/>
      <c r="AE618" s="4"/>
      <c r="AF618" s="6"/>
      <c r="AG618" s="6">
        <v>73</v>
      </c>
      <c r="AH618" s="7">
        <v>1</v>
      </c>
      <c r="AI618" s="4"/>
      <c r="AJ618" s="4">
        <f>=ROUNDDOWN({0},0)</f>
      </c>
      <c r="AK618" s="5"/>
      <c r="AL618" s="2" t="s">
        <v>233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233</v>
      </c>
      <c r="AW618" s="8" t="s">
        <v>233</v>
      </c>
      <c r="AX618" s="4" t="s">
        <v>233</v>
      </c>
      <c r="AY618" s="8" t="s">
        <v>233</v>
      </c>
      <c r="AZ618" s="7" t="s">
        <v>233</v>
      </c>
      <c r="BA618" s="7" t="s">
        <v>233</v>
      </c>
      <c r="BB618" s="7"/>
      <c r="BC618" s="4" t="s">
        <v>233</v>
      </c>
      <c r="BD618" s="8" t="s">
        <v>233</v>
      </c>
      <c r="BE618" s="4" t="s">
        <v>233</v>
      </c>
      <c r="BF618" s="8" t="s">
        <v>233</v>
      </c>
      <c r="BG618" s="7" t="s">
        <v>233</v>
      </c>
      <c r="BH618" s="7" t="s">
        <v>233</v>
      </c>
      <c r="BI618" s="7"/>
      <c r="BJ618" s="4">
        <v>19</v>
      </c>
      <c r="BK618" s="8">
        <v>473.34</v>
      </c>
      <c r="BL618" s="2" t="s">
        <v>3432</v>
      </c>
      <c r="BM618" s="7"/>
      <c r="BN618" s="7"/>
      <c r="BO618" s="4"/>
      <c r="BP618" s="8"/>
      <c r="BQ618" s="4"/>
      <c r="BR618" s="8"/>
      <c r="BS618" s="7"/>
      <c r="BT618" s="7"/>
      <c r="BU618" s="2" t="s">
        <v>3476</v>
      </c>
      <c r="BV618" s="2" t="s">
        <v>233</v>
      </c>
      <c r="BW618" s="2" t="s">
        <v>233</v>
      </c>
      <c r="BX618" s="2" t="s">
        <v>241</v>
      </c>
      <c r="BY618" s="2" t="s">
        <v>242</v>
      </c>
      <c r="BZ618" s="2" t="s">
        <v>230</v>
      </c>
      <c r="CA618" s="2" t="s">
        <v>2692</v>
      </c>
      <c r="CB618" s="2" t="s">
        <v>233</v>
      </c>
      <c r="CC618" s="2" t="s">
        <v>245</v>
      </c>
      <c r="CD618" s="2" t="s">
        <v>233</v>
      </c>
      <c r="CE618" s="4"/>
      <c r="CF618" s="4"/>
      <c r="CG618" s="4"/>
      <c r="CH618" s="4">
        <v>195</v>
      </c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>
        <v>202</v>
      </c>
      <c r="GD618" s="4">
        <v>184</v>
      </c>
      <c r="GE618" s="4">
        <v>178</v>
      </c>
      <c r="GF618" s="4">
        <v>172</v>
      </c>
      <c r="GG618" s="4">
        <v>166</v>
      </c>
      <c r="GH618" s="4">
        <v>160</v>
      </c>
      <c r="GI618" s="4">
        <v>154</v>
      </c>
      <c r="GJ618" s="4">
        <v>148</v>
      </c>
      <c r="GK618" s="4">
        <v>142</v>
      </c>
      <c r="GL618" s="4">
        <v>136</v>
      </c>
      <c r="GM618" s="4">
        <v>130</v>
      </c>
      <c r="GN618" s="4">
        <v>124</v>
      </c>
      <c r="GO618" s="4">
        <v>118</v>
      </c>
      <c r="GP618" s="4">
        <v>112</v>
      </c>
      <c r="GQ618" s="4">
        <v>106</v>
      </c>
      <c r="GR618" s="4">
        <v>100</v>
      </c>
      <c r="GS618" s="4">
        <v>94</v>
      </c>
      <c r="GT618" s="4">
        <v>88</v>
      </c>
      <c r="GU618" s="4">
        <v>82</v>
      </c>
      <c r="GV618" s="4">
        <v>76</v>
      </c>
      <c r="GW618" s="4">
        <v>70</v>
      </c>
      <c r="GX618" s="4">
        <v>64</v>
      </c>
      <c r="GY618" s="4">
        <v>58</v>
      </c>
      <c r="GZ618" s="4">
        <v>52</v>
      </c>
      <c r="HA618" s="4">
        <v>54</v>
      </c>
      <c r="HB618" s="4">
        <v>48</v>
      </c>
      <c r="HC618" s="19">
        <v>22.4</v>
      </c>
      <c r="HD618" s="19">
        <v>30.7</v>
      </c>
      <c r="HE618" s="19">
        <v>29.7</v>
      </c>
      <c r="HF618" s="19">
        <v>28.7</v>
      </c>
      <c r="HG618" s="19">
        <v>27.7</v>
      </c>
      <c r="HH618" s="19">
        <v>26.7</v>
      </c>
      <c r="HI618" s="19">
        <v>25.7</v>
      </c>
      <c r="HJ618" s="19">
        <v>24.7</v>
      </c>
      <c r="HK618" s="19">
        <v>23.7</v>
      </c>
      <c r="HL618" s="19">
        <v>22.7</v>
      </c>
      <c r="HM618" s="19">
        <v>21.7</v>
      </c>
      <c r="HN618" s="19">
        <v>20.7</v>
      </c>
      <c r="HO618" s="19">
        <v>19.7</v>
      </c>
      <c r="HP618" s="19">
        <v>18.7</v>
      </c>
      <c r="HQ618" s="19">
        <v>17.7</v>
      </c>
      <c r="HR618" s="19">
        <v>16.7</v>
      </c>
      <c r="HS618" s="19">
        <v>15.7</v>
      </c>
      <c r="HT618" s="19">
        <v>14.7</v>
      </c>
      <c r="HU618" s="19">
        <v>13.7</v>
      </c>
      <c r="HV618" s="19">
        <v>12.7</v>
      </c>
      <c r="HW618" s="19">
        <v>11.7</v>
      </c>
      <c r="HX618" s="19">
        <v>10.7</v>
      </c>
      <c r="HY618" s="19">
        <v>9.7</v>
      </c>
      <c r="HZ618" s="19">
        <v>8.7</v>
      </c>
      <c r="IA618" s="19">
        <v>9</v>
      </c>
      <c r="IB618" s="19">
        <v>8</v>
      </c>
    </row>
    <row r="619">
      <c r="A619" s="2" t="s">
        <v>3480</v>
      </c>
      <c r="B619" s="2" t="s">
        <v>3409</v>
      </c>
      <c r="C619" s="2" t="s">
        <v>762</v>
      </c>
      <c r="D619" s="2" t="s">
        <v>3410</v>
      </c>
      <c r="E619" s="2" t="s">
        <v>3411</v>
      </c>
      <c r="F619" s="2" t="s">
        <v>3471</v>
      </c>
      <c r="G619" s="2" t="s">
        <v>3471</v>
      </c>
      <c r="H619" s="2" t="s">
        <v>3471</v>
      </c>
      <c r="I619" s="2" t="s">
        <v>3481</v>
      </c>
      <c r="J619" s="2" t="s">
        <v>3482</v>
      </c>
      <c r="K619" s="2" t="s">
        <v>3474</v>
      </c>
      <c r="L619" s="3">
        <v>20</v>
      </c>
      <c r="M619" s="3">
        <v>21</v>
      </c>
      <c r="N619" s="3">
        <v>41.99</v>
      </c>
      <c r="O619" s="2" t="s">
        <v>230</v>
      </c>
      <c r="P619" s="2" t="s">
        <v>597</v>
      </c>
      <c r="Q619" s="2" t="s">
        <v>232</v>
      </c>
      <c r="R619" s="2" t="s">
        <v>233</v>
      </c>
      <c r="S619" s="2" t="s">
        <v>233</v>
      </c>
      <c r="T619" s="2" t="s">
        <v>233</v>
      </c>
      <c r="U619" s="2" t="s">
        <v>329</v>
      </c>
      <c r="V619" s="2" t="s">
        <v>609</v>
      </c>
      <c r="W619" s="2" t="s">
        <v>233</v>
      </c>
      <c r="X619" s="2" t="s">
        <v>233</v>
      </c>
      <c r="Y619" s="2" t="s">
        <v>1277</v>
      </c>
      <c r="Z619" s="4">
        <v>173</v>
      </c>
      <c r="AA619" s="4">
        <f>=ROUNDDOWN(30.3508771929825,0)</f>
      </c>
      <c r="AB619" s="5">
        <v>5.7</v>
      </c>
      <c r="AC619" s="2" t="s">
        <v>233</v>
      </c>
      <c r="AD619" s="4"/>
      <c r="AE619" s="4"/>
      <c r="AF619" s="6"/>
      <c r="AG619" s="6">
        <v>73</v>
      </c>
      <c r="AH619" s="7">
        <v>1</v>
      </c>
      <c r="AI619" s="4"/>
      <c r="AJ619" s="4">
        <f>=ROUNDDOWN({0},0)</f>
      </c>
      <c r="AK619" s="5"/>
      <c r="AL619" s="2" t="s">
        <v>233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233</v>
      </c>
      <c r="AW619" s="8" t="s">
        <v>233</v>
      </c>
      <c r="AX619" s="4" t="s">
        <v>233</v>
      </c>
      <c r="AY619" s="8" t="s">
        <v>233</v>
      </c>
      <c r="AZ619" s="7" t="s">
        <v>233</v>
      </c>
      <c r="BA619" s="7" t="s">
        <v>233</v>
      </c>
      <c r="BB619" s="7"/>
      <c r="BC619" s="4" t="s">
        <v>233</v>
      </c>
      <c r="BD619" s="8" t="s">
        <v>233</v>
      </c>
      <c r="BE619" s="4" t="s">
        <v>233</v>
      </c>
      <c r="BF619" s="8" t="s">
        <v>233</v>
      </c>
      <c r="BG619" s="7" t="s">
        <v>233</v>
      </c>
      <c r="BH619" s="7" t="s">
        <v>233</v>
      </c>
      <c r="BI619" s="7"/>
      <c r="BJ619" s="4">
        <v>21</v>
      </c>
      <c r="BK619" s="8">
        <v>523.11</v>
      </c>
      <c r="BL619" s="2" t="s">
        <v>3432</v>
      </c>
      <c r="BM619" s="7"/>
      <c r="BN619" s="7"/>
      <c r="BO619" s="4"/>
      <c r="BP619" s="8"/>
      <c r="BQ619" s="4"/>
      <c r="BR619" s="8"/>
      <c r="BS619" s="7"/>
      <c r="BT619" s="7"/>
      <c r="BU619" s="2" t="s">
        <v>3476</v>
      </c>
      <c r="BV619" s="2" t="s">
        <v>233</v>
      </c>
      <c r="BW619" s="2" t="s">
        <v>233</v>
      </c>
      <c r="BX619" s="2" t="s">
        <v>241</v>
      </c>
      <c r="BY619" s="2" t="s">
        <v>242</v>
      </c>
      <c r="BZ619" s="2" t="s">
        <v>230</v>
      </c>
      <c r="CA619" s="2" t="s">
        <v>2692</v>
      </c>
      <c r="CB619" s="2" t="s">
        <v>233</v>
      </c>
      <c r="CC619" s="2" t="s">
        <v>245</v>
      </c>
      <c r="CD619" s="2" t="s">
        <v>233</v>
      </c>
      <c r="CE619" s="4"/>
      <c r="CF619" s="4"/>
      <c r="CG619" s="4"/>
      <c r="CH619" s="4">
        <v>173</v>
      </c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>
        <v>176</v>
      </c>
      <c r="GD619" s="4">
        <v>160</v>
      </c>
      <c r="GE619" s="4">
        <v>154</v>
      </c>
      <c r="GF619" s="4">
        <v>148</v>
      </c>
      <c r="GG619" s="4">
        <v>142</v>
      </c>
      <c r="GH619" s="4">
        <v>136</v>
      </c>
      <c r="GI619" s="4">
        <v>130</v>
      </c>
      <c r="GJ619" s="4">
        <v>124</v>
      </c>
      <c r="GK619" s="4">
        <v>118</v>
      </c>
      <c r="GL619" s="4">
        <v>112</v>
      </c>
      <c r="GM619" s="4">
        <v>106</v>
      </c>
      <c r="GN619" s="4">
        <v>100</v>
      </c>
      <c r="GO619" s="4">
        <v>94</v>
      </c>
      <c r="GP619" s="4">
        <v>88</v>
      </c>
      <c r="GQ619" s="4">
        <v>82</v>
      </c>
      <c r="GR619" s="4">
        <v>76</v>
      </c>
      <c r="GS619" s="4">
        <v>70</v>
      </c>
      <c r="GT619" s="4">
        <v>64</v>
      </c>
      <c r="GU619" s="4">
        <v>58</v>
      </c>
      <c r="GV619" s="4">
        <v>52</v>
      </c>
      <c r="GW619" s="4">
        <v>46</v>
      </c>
      <c r="GX619" s="4">
        <v>40</v>
      </c>
      <c r="GY619" s="4">
        <v>34</v>
      </c>
      <c r="GZ619" s="4">
        <v>28</v>
      </c>
      <c r="HA619" s="4">
        <v>54</v>
      </c>
      <c r="HB619" s="4">
        <v>48</v>
      </c>
      <c r="HC619" s="19">
        <v>22</v>
      </c>
      <c r="HD619" s="19">
        <v>26.7</v>
      </c>
      <c r="HE619" s="19">
        <v>25.7</v>
      </c>
      <c r="HF619" s="19">
        <v>24.7</v>
      </c>
      <c r="HG619" s="19">
        <v>23.7</v>
      </c>
      <c r="HH619" s="19">
        <v>22.7</v>
      </c>
      <c r="HI619" s="19">
        <v>21.7</v>
      </c>
      <c r="HJ619" s="19">
        <v>20.7</v>
      </c>
      <c r="HK619" s="19">
        <v>19.7</v>
      </c>
      <c r="HL619" s="19">
        <v>18.7</v>
      </c>
      <c r="HM619" s="19">
        <v>17.7</v>
      </c>
      <c r="HN619" s="19">
        <v>16.7</v>
      </c>
      <c r="HO619" s="19">
        <v>15.7</v>
      </c>
      <c r="HP619" s="19">
        <v>14.7</v>
      </c>
      <c r="HQ619" s="19">
        <v>13.7</v>
      </c>
      <c r="HR619" s="19">
        <v>12.7</v>
      </c>
      <c r="HS619" s="19">
        <v>11.7</v>
      </c>
      <c r="HT619" s="19">
        <v>10.7</v>
      </c>
      <c r="HU619" s="19">
        <v>9.7</v>
      </c>
      <c r="HV619" s="19">
        <v>8.7</v>
      </c>
      <c r="HW619" s="19">
        <v>7.7</v>
      </c>
      <c r="HX619" s="19">
        <v>6.7</v>
      </c>
      <c r="HY619" s="19">
        <v>5.7</v>
      </c>
      <c r="HZ619" s="19">
        <v>4.7</v>
      </c>
      <c r="IA619" s="19">
        <v>9</v>
      </c>
      <c r="IB619" s="19">
        <v>8</v>
      </c>
    </row>
    <row r="620">
      <c r="A620" s="2" t="s">
        <v>3483</v>
      </c>
      <c r="B620" s="2" t="s">
        <v>3409</v>
      </c>
      <c r="C620" s="2" t="s">
        <v>762</v>
      </c>
      <c r="D620" s="2" t="s">
        <v>3410</v>
      </c>
      <c r="E620" s="2" t="s">
        <v>3411</v>
      </c>
      <c r="F620" s="2" t="s">
        <v>3471</v>
      </c>
      <c r="G620" s="2" t="s">
        <v>3471</v>
      </c>
      <c r="H620" s="2" t="s">
        <v>3471</v>
      </c>
      <c r="I620" s="2" t="s">
        <v>3484</v>
      </c>
      <c r="J620" s="2" t="s">
        <v>3473</v>
      </c>
      <c r="K620" s="2" t="s">
        <v>3485</v>
      </c>
      <c r="L620" s="3">
        <v>20</v>
      </c>
      <c r="M620" s="3">
        <v>21</v>
      </c>
      <c r="N620" s="3">
        <v>41.99</v>
      </c>
      <c r="O620" s="2" t="s">
        <v>230</v>
      </c>
      <c r="P620" s="2" t="s">
        <v>597</v>
      </c>
      <c r="Q620" s="2" t="s">
        <v>232</v>
      </c>
      <c r="R620" s="2" t="s">
        <v>233</v>
      </c>
      <c r="S620" s="2" t="s">
        <v>233</v>
      </c>
      <c r="T620" s="2" t="s">
        <v>233</v>
      </c>
      <c r="U620" s="2" t="s">
        <v>329</v>
      </c>
      <c r="V620" s="2" t="s">
        <v>609</v>
      </c>
      <c r="W620" s="2" t="s">
        <v>233</v>
      </c>
      <c r="X620" s="2" t="s">
        <v>233</v>
      </c>
      <c r="Y620" s="2" t="s">
        <v>3486</v>
      </c>
      <c r="Z620" s="4">
        <v>118</v>
      </c>
      <c r="AA620" s="4">
        <f>=ROUNDDOWN(84.2857142857143,0)</f>
      </c>
      <c r="AB620" s="5">
        <v>1.4</v>
      </c>
      <c r="AC620" s="2" t="s">
        <v>233</v>
      </c>
      <c r="AD620" s="4"/>
      <c r="AE620" s="4"/>
      <c r="AF620" s="6"/>
      <c r="AG620" s="6">
        <v>73</v>
      </c>
      <c r="AH620" s="7">
        <v>1</v>
      </c>
      <c r="AI620" s="4"/>
      <c r="AJ620" s="4">
        <f>=ROUNDDOWN({0},0)</f>
      </c>
      <c r="AK620" s="5"/>
      <c r="AL620" s="2" t="s">
        <v>233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233</v>
      </c>
      <c r="AW620" s="8" t="s">
        <v>233</v>
      </c>
      <c r="AX620" s="4" t="s">
        <v>233</v>
      </c>
      <c r="AY620" s="8" t="s">
        <v>233</v>
      </c>
      <c r="AZ620" s="7" t="s">
        <v>233</v>
      </c>
      <c r="BA620" s="7" t="s">
        <v>233</v>
      </c>
      <c r="BB620" s="7"/>
      <c r="BC620" s="4" t="s">
        <v>233</v>
      </c>
      <c r="BD620" s="8" t="s">
        <v>233</v>
      </c>
      <c r="BE620" s="4" t="s">
        <v>233</v>
      </c>
      <c r="BF620" s="8" t="s">
        <v>233</v>
      </c>
      <c r="BG620" s="7" t="s">
        <v>233</v>
      </c>
      <c r="BH620" s="7" t="s">
        <v>233</v>
      </c>
      <c r="BI620" s="7"/>
      <c r="BJ620" s="4">
        <v>5</v>
      </c>
      <c r="BK620" s="8">
        <v>125.79</v>
      </c>
      <c r="BL620" s="2" t="s">
        <v>3475</v>
      </c>
      <c r="BM620" s="7"/>
      <c r="BN620" s="7"/>
      <c r="BO620" s="4"/>
      <c r="BP620" s="8"/>
      <c r="BQ620" s="4"/>
      <c r="BR620" s="8"/>
      <c r="BS620" s="7"/>
      <c r="BT620" s="7"/>
      <c r="BU620" s="2" t="s">
        <v>3476</v>
      </c>
      <c r="BV620" s="2" t="s">
        <v>233</v>
      </c>
      <c r="BW620" s="2" t="s">
        <v>233</v>
      </c>
      <c r="BX620" s="2" t="s">
        <v>241</v>
      </c>
      <c r="BY620" s="2" t="s">
        <v>242</v>
      </c>
      <c r="BZ620" s="2" t="s">
        <v>230</v>
      </c>
      <c r="CA620" s="2" t="s">
        <v>2692</v>
      </c>
      <c r="CB620" s="2" t="s">
        <v>233</v>
      </c>
      <c r="CC620" s="2" t="s">
        <v>245</v>
      </c>
      <c r="CD620" s="2" t="s">
        <v>233</v>
      </c>
      <c r="CE620" s="4"/>
      <c r="CF620" s="4"/>
      <c r="CG620" s="4"/>
      <c r="CH620" s="4">
        <v>118</v>
      </c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>
        <v>120</v>
      </c>
      <c r="GD620" s="4">
        <v>110</v>
      </c>
      <c r="GE620" s="4">
        <v>108</v>
      </c>
      <c r="GF620" s="4">
        <v>106</v>
      </c>
      <c r="GG620" s="4">
        <v>104</v>
      </c>
      <c r="GH620" s="4">
        <v>102</v>
      </c>
      <c r="GI620" s="4">
        <v>100</v>
      </c>
      <c r="GJ620" s="4">
        <v>98</v>
      </c>
      <c r="GK620" s="4">
        <v>96</v>
      </c>
      <c r="GL620" s="4">
        <v>94</v>
      </c>
      <c r="GM620" s="4">
        <v>92</v>
      </c>
      <c r="GN620" s="4">
        <v>90</v>
      </c>
      <c r="GO620" s="4">
        <v>88</v>
      </c>
      <c r="GP620" s="4">
        <v>86</v>
      </c>
      <c r="GQ620" s="4">
        <v>84</v>
      </c>
      <c r="GR620" s="4">
        <v>82</v>
      </c>
      <c r="GS620" s="4">
        <v>80</v>
      </c>
      <c r="GT620" s="4">
        <v>78</v>
      </c>
      <c r="GU620" s="4">
        <v>76</v>
      </c>
      <c r="GV620" s="4">
        <v>74</v>
      </c>
      <c r="GW620" s="4">
        <v>72</v>
      </c>
      <c r="GX620" s="4">
        <v>70</v>
      </c>
      <c r="GY620" s="4">
        <v>68</v>
      </c>
      <c r="GZ620" s="4">
        <v>66</v>
      </c>
      <c r="HA620" s="4">
        <v>64</v>
      </c>
      <c r="HB620" s="4">
        <v>62</v>
      </c>
      <c r="HC620" s="19">
        <v>30</v>
      </c>
      <c r="HD620" s="19">
        <v>55</v>
      </c>
      <c r="HE620" s="19">
        <v>54</v>
      </c>
      <c r="HF620" s="19">
        <v>53</v>
      </c>
      <c r="HG620" s="19">
        <v>52</v>
      </c>
      <c r="HH620" s="19">
        <v>51</v>
      </c>
      <c r="HI620" s="19">
        <v>50</v>
      </c>
      <c r="HJ620" s="19">
        <v>49</v>
      </c>
      <c r="HK620" s="19">
        <v>48</v>
      </c>
      <c r="HL620" s="19">
        <v>47</v>
      </c>
      <c r="HM620" s="19">
        <v>46</v>
      </c>
      <c r="HN620" s="19">
        <v>45</v>
      </c>
      <c r="HO620" s="19">
        <v>44</v>
      </c>
      <c r="HP620" s="19">
        <v>43</v>
      </c>
      <c r="HQ620" s="19">
        <v>42</v>
      </c>
      <c r="HR620" s="19">
        <v>41</v>
      </c>
      <c r="HS620" s="19">
        <v>40</v>
      </c>
      <c r="HT620" s="19">
        <v>39</v>
      </c>
      <c r="HU620" s="19">
        <v>38</v>
      </c>
      <c r="HV620" s="19">
        <v>37</v>
      </c>
      <c r="HW620" s="19">
        <v>36</v>
      </c>
      <c r="HX620" s="19">
        <v>35</v>
      </c>
      <c r="HY620" s="19">
        <v>34</v>
      </c>
      <c r="HZ620" s="19">
        <v>33</v>
      </c>
      <c r="IA620" s="19">
        <v>32</v>
      </c>
      <c r="IB620" s="19">
        <v>31</v>
      </c>
    </row>
    <row r="621">
      <c r="A621" s="2" t="s">
        <v>3487</v>
      </c>
      <c r="B621" s="2" t="s">
        <v>3409</v>
      </c>
      <c r="C621" s="2" t="s">
        <v>762</v>
      </c>
      <c r="D621" s="2" t="s">
        <v>3410</v>
      </c>
      <c r="E621" s="2" t="s">
        <v>3411</v>
      </c>
      <c r="F621" s="2" t="s">
        <v>3471</v>
      </c>
      <c r="G621" s="2" t="s">
        <v>3471</v>
      </c>
      <c r="H621" s="2" t="s">
        <v>3471</v>
      </c>
      <c r="I621" s="2" t="s">
        <v>3484</v>
      </c>
      <c r="J621" s="2" t="s">
        <v>3479</v>
      </c>
      <c r="K621" s="2" t="s">
        <v>3485</v>
      </c>
      <c r="L621" s="3">
        <v>20</v>
      </c>
      <c r="M621" s="3">
        <v>21</v>
      </c>
      <c r="N621" s="3">
        <v>41.99</v>
      </c>
      <c r="O621" s="2" t="s">
        <v>230</v>
      </c>
      <c r="P621" s="2" t="s">
        <v>597</v>
      </c>
      <c r="Q621" s="2" t="s">
        <v>232</v>
      </c>
      <c r="R621" s="2" t="s">
        <v>233</v>
      </c>
      <c r="S621" s="2" t="s">
        <v>233</v>
      </c>
      <c r="T621" s="2" t="s">
        <v>233</v>
      </c>
      <c r="U621" s="2" t="s">
        <v>329</v>
      </c>
      <c r="V621" s="2" t="s">
        <v>609</v>
      </c>
      <c r="W621" s="2" t="s">
        <v>233</v>
      </c>
      <c r="X621" s="2" t="s">
        <v>233</v>
      </c>
      <c r="Y621" s="2" t="s">
        <v>3486</v>
      </c>
      <c r="Z621" s="4">
        <v>297</v>
      </c>
      <c r="AA621" s="4">
        <f>=ROUNDDOWN(80.2702702702703,0)</f>
      </c>
      <c r="AB621" s="5">
        <v>3.7</v>
      </c>
      <c r="AC621" s="2" t="s">
        <v>233</v>
      </c>
      <c r="AD621" s="4"/>
      <c r="AE621" s="4"/>
      <c r="AF621" s="6"/>
      <c r="AG621" s="6">
        <v>73</v>
      </c>
      <c r="AH621" s="7">
        <v>1</v>
      </c>
      <c r="AI621" s="4"/>
      <c r="AJ621" s="4">
        <f>=ROUNDDOWN({0},0)</f>
      </c>
      <c r="AK621" s="5"/>
      <c r="AL621" s="2" t="s">
        <v>233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233</v>
      </c>
      <c r="AW621" s="8" t="s">
        <v>233</v>
      </c>
      <c r="AX621" s="4" t="s">
        <v>233</v>
      </c>
      <c r="AY621" s="8" t="s">
        <v>233</v>
      </c>
      <c r="AZ621" s="7" t="s">
        <v>233</v>
      </c>
      <c r="BA621" s="7" t="s">
        <v>233</v>
      </c>
      <c r="BB621" s="7"/>
      <c r="BC621" s="4" t="s">
        <v>233</v>
      </c>
      <c r="BD621" s="8" t="s">
        <v>233</v>
      </c>
      <c r="BE621" s="4" t="s">
        <v>233</v>
      </c>
      <c r="BF621" s="8" t="s">
        <v>233</v>
      </c>
      <c r="BG621" s="7" t="s">
        <v>233</v>
      </c>
      <c r="BH621" s="7" t="s">
        <v>233</v>
      </c>
      <c r="BI621" s="7"/>
      <c r="BJ621" s="4">
        <v>17</v>
      </c>
      <c r="BK621" s="8">
        <v>427.14</v>
      </c>
      <c r="BL621" s="2" t="s">
        <v>3416</v>
      </c>
      <c r="BM621" s="7"/>
      <c r="BN621" s="7"/>
      <c r="BO621" s="4"/>
      <c r="BP621" s="8"/>
      <c r="BQ621" s="4"/>
      <c r="BR621" s="8"/>
      <c r="BS621" s="7"/>
      <c r="BT621" s="7"/>
      <c r="BU621" s="2" t="s">
        <v>3476</v>
      </c>
      <c r="BV621" s="2" t="s">
        <v>233</v>
      </c>
      <c r="BW621" s="2" t="s">
        <v>233</v>
      </c>
      <c r="BX621" s="2" t="s">
        <v>241</v>
      </c>
      <c r="BY621" s="2" t="s">
        <v>242</v>
      </c>
      <c r="BZ621" s="2" t="s">
        <v>230</v>
      </c>
      <c r="CA621" s="2" t="s">
        <v>2692</v>
      </c>
      <c r="CB621" s="2" t="s">
        <v>233</v>
      </c>
      <c r="CC621" s="2" t="s">
        <v>245</v>
      </c>
      <c r="CD621" s="2" t="s">
        <v>233</v>
      </c>
      <c r="CE621" s="4"/>
      <c r="CF621" s="4"/>
      <c r="CG621" s="4"/>
      <c r="CH621" s="4">
        <v>297</v>
      </c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>
        <v>297</v>
      </c>
      <c r="GD621" s="4">
        <v>286</v>
      </c>
      <c r="GE621" s="4">
        <v>282</v>
      </c>
      <c r="GF621" s="4">
        <v>278</v>
      </c>
      <c r="GG621" s="4">
        <v>274</v>
      </c>
      <c r="GH621" s="4">
        <v>270</v>
      </c>
      <c r="GI621" s="4">
        <v>266</v>
      </c>
      <c r="GJ621" s="4">
        <v>262</v>
      </c>
      <c r="GK621" s="4">
        <v>258</v>
      </c>
      <c r="GL621" s="4">
        <v>254</v>
      </c>
      <c r="GM621" s="4">
        <v>250</v>
      </c>
      <c r="GN621" s="4">
        <v>246</v>
      </c>
      <c r="GO621" s="4">
        <v>242</v>
      </c>
      <c r="GP621" s="4">
        <v>238</v>
      </c>
      <c r="GQ621" s="4">
        <v>234</v>
      </c>
      <c r="GR621" s="4">
        <v>230</v>
      </c>
      <c r="GS621" s="4">
        <v>226</v>
      </c>
      <c r="GT621" s="4">
        <v>222</v>
      </c>
      <c r="GU621" s="4">
        <v>218</v>
      </c>
      <c r="GV621" s="4">
        <v>214</v>
      </c>
      <c r="GW621" s="4">
        <v>210</v>
      </c>
      <c r="GX621" s="4">
        <v>206</v>
      </c>
      <c r="GY621" s="4">
        <v>202</v>
      </c>
      <c r="GZ621" s="4">
        <v>198</v>
      </c>
      <c r="HA621" s="4">
        <v>194</v>
      </c>
      <c r="HB621" s="4">
        <v>190</v>
      </c>
      <c r="HC621" s="19">
        <v>49.5</v>
      </c>
      <c r="HD621" s="19">
        <v>71.5</v>
      </c>
      <c r="HE621" s="19">
        <v>70.5</v>
      </c>
      <c r="HF621" s="19">
        <v>69.5</v>
      </c>
      <c r="HG621" s="19">
        <v>68.5</v>
      </c>
      <c r="HH621" s="19">
        <v>67.5</v>
      </c>
      <c r="HI621" s="19">
        <v>66.5</v>
      </c>
      <c r="HJ621" s="19">
        <v>65.5</v>
      </c>
      <c r="HK621" s="19">
        <v>64.5</v>
      </c>
      <c r="HL621" s="19">
        <v>63.5</v>
      </c>
      <c r="HM621" s="19">
        <v>62.5</v>
      </c>
      <c r="HN621" s="19">
        <v>61.5</v>
      </c>
      <c r="HO621" s="19">
        <v>60.5</v>
      </c>
      <c r="HP621" s="19">
        <v>59.5</v>
      </c>
      <c r="HQ621" s="19">
        <v>58.5</v>
      </c>
      <c r="HR621" s="19">
        <v>57.5</v>
      </c>
      <c r="HS621" s="19">
        <v>56.5</v>
      </c>
      <c r="HT621" s="19">
        <v>55.5</v>
      </c>
      <c r="HU621" s="19">
        <v>54.5</v>
      </c>
      <c r="HV621" s="19">
        <v>53.5</v>
      </c>
      <c r="HW621" s="19">
        <v>52.5</v>
      </c>
      <c r="HX621" s="19">
        <v>51.5</v>
      </c>
      <c r="HY621" s="19">
        <v>50.5</v>
      </c>
      <c r="HZ621" s="19">
        <v>49.5</v>
      </c>
      <c r="IA621" s="19">
        <v>48.5</v>
      </c>
      <c r="IB621" s="19">
        <v>47.5</v>
      </c>
    </row>
    <row r="622">
      <c r="A622" s="2" t="s">
        <v>3488</v>
      </c>
      <c r="B622" s="2" t="s">
        <v>3409</v>
      </c>
      <c r="C622" s="2" t="s">
        <v>762</v>
      </c>
      <c r="D622" s="2" t="s">
        <v>3410</v>
      </c>
      <c r="E622" s="2" t="s">
        <v>3411</v>
      </c>
      <c r="F622" s="2" t="s">
        <v>3471</v>
      </c>
      <c r="G622" s="2" t="s">
        <v>3471</v>
      </c>
      <c r="H622" s="2" t="s">
        <v>3471</v>
      </c>
      <c r="I622" s="2" t="s">
        <v>3484</v>
      </c>
      <c r="J622" s="2" t="s">
        <v>3482</v>
      </c>
      <c r="K622" s="2" t="s">
        <v>3485</v>
      </c>
      <c r="L622" s="3">
        <v>20</v>
      </c>
      <c r="M622" s="3">
        <v>21</v>
      </c>
      <c r="N622" s="3">
        <v>41.99</v>
      </c>
      <c r="O622" s="2" t="s">
        <v>230</v>
      </c>
      <c r="P622" s="2" t="s">
        <v>597</v>
      </c>
      <c r="Q622" s="2" t="s">
        <v>232</v>
      </c>
      <c r="R622" s="2" t="s">
        <v>233</v>
      </c>
      <c r="S622" s="2" t="s">
        <v>233</v>
      </c>
      <c r="T622" s="2" t="s">
        <v>233</v>
      </c>
      <c r="U622" s="2" t="s">
        <v>329</v>
      </c>
      <c r="V622" s="2" t="s">
        <v>609</v>
      </c>
      <c r="W622" s="2" t="s">
        <v>233</v>
      </c>
      <c r="X622" s="2" t="s">
        <v>233</v>
      </c>
      <c r="Y622" s="2" t="s">
        <v>3486</v>
      </c>
      <c r="Z622" s="4">
        <v>292</v>
      </c>
      <c r="AA622" s="4">
        <f>=ROUNDDOWN(78.9189189189189,0)</f>
      </c>
      <c r="AB622" s="5">
        <v>3.7</v>
      </c>
      <c r="AC622" s="2" t="s">
        <v>233</v>
      </c>
      <c r="AD622" s="4"/>
      <c r="AE622" s="4"/>
      <c r="AF622" s="6"/>
      <c r="AG622" s="6">
        <v>73</v>
      </c>
      <c r="AH622" s="7">
        <v>1</v>
      </c>
      <c r="AI622" s="4"/>
      <c r="AJ622" s="4">
        <f>=ROUNDDOWN({0},0)</f>
      </c>
      <c r="AK622" s="5"/>
      <c r="AL622" s="2" t="s">
        <v>233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233</v>
      </c>
      <c r="AW622" s="8" t="s">
        <v>233</v>
      </c>
      <c r="AX622" s="4" t="s">
        <v>233</v>
      </c>
      <c r="AY622" s="8" t="s">
        <v>233</v>
      </c>
      <c r="AZ622" s="7" t="s">
        <v>233</v>
      </c>
      <c r="BA622" s="7" t="s">
        <v>233</v>
      </c>
      <c r="BB622" s="7"/>
      <c r="BC622" s="4" t="s">
        <v>233</v>
      </c>
      <c r="BD622" s="8" t="s">
        <v>233</v>
      </c>
      <c r="BE622" s="4" t="s">
        <v>233</v>
      </c>
      <c r="BF622" s="8" t="s">
        <v>233</v>
      </c>
      <c r="BG622" s="7" t="s">
        <v>233</v>
      </c>
      <c r="BH622" s="7" t="s">
        <v>233</v>
      </c>
      <c r="BI622" s="7"/>
      <c r="BJ622" s="4">
        <v>13</v>
      </c>
      <c r="BK622" s="8">
        <v>326.76</v>
      </c>
      <c r="BL622" s="2" t="s">
        <v>3475</v>
      </c>
      <c r="BM622" s="7"/>
      <c r="BN622" s="7"/>
      <c r="BO622" s="4"/>
      <c r="BP622" s="8"/>
      <c r="BQ622" s="4"/>
      <c r="BR622" s="8"/>
      <c r="BS622" s="7"/>
      <c r="BT622" s="7"/>
      <c r="BU622" s="2" t="s">
        <v>3476</v>
      </c>
      <c r="BV622" s="2" t="s">
        <v>233</v>
      </c>
      <c r="BW622" s="2" t="s">
        <v>233</v>
      </c>
      <c r="BX622" s="2" t="s">
        <v>241</v>
      </c>
      <c r="BY622" s="2" t="s">
        <v>242</v>
      </c>
      <c r="BZ622" s="2" t="s">
        <v>230</v>
      </c>
      <c r="CA622" s="2" t="s">
        <v>2692</v>
      </c>
      <c r="CB622" s="2" t="s">
        <v>233</v>
      </c>
      <c r="CC622" s="2" t="s">
        <v>245</v>
      </c>
      <c r="CD622" s="2" t="s">
        <v>233</v>
      </c>
      <c r="CE622" s="4"/>
      <c r="CF622" s="4"/>
      <c r="CG622" s="4"/>
      <c r="CH622" s="4">
        <v>292</v>
      </c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>
        <v>296</v>
      </c>
      <c r="GD622" s="4">
        <v>281</v>
      </c>
      <c r="GE622" s="4">
        <v>277</v>
      </c>
      <c r="GF622" s="4">
        <v>273</v>
      </c>
      <c r="GG622" s="4">
        <v>269</v>
      </c>
      <c r="GH622" s="4">
        <v>265</v>
      </c>
      <c r="GI622" s="4">
        <v>261</v>
      </c>
      <c r="GJ622" s="4">
        <v>257</v>
      </c>
      <c r="GK622" s="4">
        <v>253</v>
      </c>
      <c r="GL622" s="4">
        <v>249</v>
      </c>
      <c r="GM622" s="4">
        <v>245</v>
      </c>
      <c r="GN622" s="4">
        <v>241</v>
      </c>
      <c r="GO622" s="4">
        <v>237</v>
      </c>
      <c r="GP622" s="4">
        <v>233</v>
      </c>
      <c r="GQ622" s="4">
        <v>229</v>
      </c>
      <c r="GR622" s="4">
        <v>225</v>
      </c>
      <c r="GS622" s="4">
        <v>221</v>
      </c>
      <c r="GT622" s="4">
        <v>217</v>
      </c>
      <c r="GU622" s="4">
        <v>213</v>
      </c>
      <c r="GV622" s="4">
        <v>209</v>
      </c>
      <c r="GW622" s="4">
        <v>205</v>
      </c>
      <c r="GX622" s="4">
        <v>201</v>
      </c>
      <c r="GY622" s="4">
        <v>197</v>
      </c>
      <c r="GZ622" s="4">
        <v>193</v>
      </c>
      <c r="HA622" s="4">
        <v>189</v>
      </c>
      <c r="HB622" s="4">
        <v>185</v>
      </c>
      <c r="HC622" s="19">
        <v>42.3</v>
      </c>
      <c r="HD622" s="19">
        <v>70.3</v>
      </c>
      <c r="HE622" s="19">
        <v>69.3</v>
      </c>
      <c r="HF622" s="19">
        <v>68.3</v>
      </c>
      <c r="HG622" s="19">
        <v>67.3</v>
      </c>
      <c r="HH622" s="19">
        <v>66.3</v>
      </c>
      <c r="HI622" s="19">
        <v>65.3</v>
      </c>
      <c r="HJ622" s="19">
        <v>64.3</v>
      </c>
      <c r="HK622" s="19">
        <v>63.3</v>
      </c>
      <c r="HL622" s="19">
        <v>62.3</v>
      </c>
      <c r="HM622" s="19">
        <v>61.3</v>
      </c>
      <c r="HN622" s="19">
        <v>60.3</v>
      </c>
      <c r="HO622" s="19">
        <v>59.3</v>
      </c>
      <c r="HP622" s="19">
        <v>58.3</v>
      </c>
      <c r="HQ622" s="19">
        <v>57.3</v>
      </c>
      <c r="HR622" s="19">
        <v>56.3</v>
      </c>
      <c r="HS622" s="19">
        <v>55.3</v>
      </c>
      <c r="HT622" s="19">
        <v>54.3</v>
      </c>
      <c r="HU622" s="19">
        <v>53.3</v>
      </c>
      <c r="HV622" s="19">
        <v>52.3</v>
      </c>
      <c r="HW622" s="19">
        <v>51.3</v>
      </c>
      <c r="HX622" s="19">
        <v>50.3</v>
      </c>
      <c r="HY622" s="19">
        <v>49.3</v>
      </c>
      <c r="HZ622" s="19">
        <v>48.3</v>
      </c>
      <c r="IA622" s="19">
        <v>47.3</v>
      </c>
      <c r="IB622" s="19">
        <v>46.3</v>
      </c>
    </row>
    <row r="623">
      <c r="A623" s="2" t="s">
        <v>3489</v>
      </c>
      <c r="B623" s="2" t="s">
        <v>3409</v>
      </c>
      <c r="C623" s="2" t="s">
        <v>762</v>
      </c>
      <c r="D623" s="2" t="s">
        <v>3410</v>
      </c>
      <c r="E623" s="2" t="s">
        <v>3411</v>
      </c>
      <c r="F623" s="2" t="s">
        <v>3471</v>
      </c>
      <c r="G623" s="2" t="s">
        <v>3471</v>
      </c>
      <c r="H623" s="2" t="s">
        <v>3471</v>
      </c>
      <c r="I623" s="2" t="s">
        <v>3484</v>
      </c>
      <c r="J623" s="2" t="s">
        <v>3473</v>
      </c>
      <c r="K623" s="2" t="s">
        <v>3490</v>
      </c>
      <c r="L623" s="3">
        <v>20</v>
      </c>
      <c r="M623" s="3">
        <v>21</v>
      </c>
      <c r="N623" s="3">
        <v>41.99</v>
      </c>
      <c r="O623" s="2" t="s">
        <v>230</v>
      </c>
      <c r="P623" s="2" t="s">
        <v>597</v>
      </c>
      <c r="Q623" s="2" t="s">
        <v>232</v>
      </c>
      <c r="R623" s="2" t="s">
        <v>233</v>
      </c>
      <c r="S623" s="2" t="s">
        <v>233</v>
      </c>
      <c r="T623" s="2" t="s">
        <v>233</v>
      </c>
      <c r="U623" s="2" t="s">
        <v>329</v>
      </c>
      <c r="V623" s="2" t="s">
        <v>609</v>
      </c>
      <c r="W623" s="2" t="s">
        <v>233</v>
      </c>
      <c r="X623" s="2" t="s">
        <v>233</v>
      </c>
      <c r="Y623" s="2" t="s">
        <v>3486</v>
      </c>
      <c r="Z623" s="4">
        <v>67</v>
      </c>
      <c r="AA623" s="4">
        <f>=ROUNDDOWN(60.9090909090909,0)</f>
      </c>
      <c r="AB623" s="5">
        <v>1.1</v>
      </c>
      <c r="AC623" s="2" t="s">
        <v>233</v>
      </c>
      <c r="AD623" s="4"/>
      <c r="AE623" s="4"/>
      <c r="AF623" s="6"/>
      <c r="AG623" s="6">
        <v>73</v>
      </c>
      <c r="AH623" s="7">
        <v>1</v>
      </c>
      <c r="AI623" s="4"/>
      <c r="AJ623" s="4">
        <f>=ROUNDDOWN({0},0)</f>
      </c>
      <c r="AK623" s="5"/>
      <c r="AL623" s="2" t="s">
        <v>233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233</v>
      </c>
      <c r="AW623" s="8" t="s">
        <v>233</v>
      </c>
      <c r="AX623" s="4" t="s">
        <v>233</v>
      </c>
      <c r="AY623" s="8" t="s">
        <v>233</v>
      </c>
      <c r="AZ623" s="7" t="s">
        <v>233</v>
      </c>
      <c r="BA623" s="7" t="s">
        <v>233</v>
      </c>
      <c r="BB623" s="7"/>
      <c r="BC623" s="4" t="s">
        <v>233</v>
      </c>
      <c r="BD623" s="8" t="s">
        <v>233</v>
      </c>
      <c r="BE623" s="4" t="s">
        <v>233</v>
      </c>
      <c r="BF623" s="8" t="s">
        <v>233</v>
      </c>
      <c r="BG623" s="7" t="s">
        <v>233</v>
      </c>
      <c r="BH623" s="7" t="s">
        <v>233</v>
      </c>
      <c r="BI623" s="7"/>
      <c r="BJ623" s="4">
        <v>3</v>
      </c>
      <c r="BK623" s="8">
        <v>75.6</v>
      </c>
      <c r="BL623" s="2" t="s">
        <v>835</v>
      </c>
      <c r="BM623" s="7"/>
      <c r="BN623" s="7"/>
      <c r="BO623" s="4"/>
      <c r="BP623" s="8"/>
      <c r="BQ623" s="4"/>
      <c r="BR623" s="8"/>
      <c r="BS623" s="7"/>
      <c r="BT623" s="7"/>
      <c r="BU623" s="2" t="s">
        <v>3476</v>
      </c>
      <c r="BV623" s="2" t="s">
        <v>233</v>
      </c>
      <c r="BW623" s="2" t="s">
        <v>233</v>
      </c>
      <c r="BX623" s="2" t="s">
        <v>241</v>
      </c>
      <c r="BY623" s="2" t="s">
        <v>242</v>
      </c>
      <c r="BZ623" s="2" t="s">
        <v>230</v>
      </c>
      <c r="CA623" s="2" t="s">
        <v>2692</v>
      </c>
      <c r="CB623" s="2" t="s">
        <v>233</v>
      </c>
      <c r="CC623" s="2" t="s">
        <v>245</v>
      </c>
      <c r="CD623" s="2" t="s">
        <v>233</v>
      </c>
      <c r="CE623" s="4"/>
      <c r="CF623" s="4"/>
      <c r="CG623" s="4"/>
      <c r="CH623" s="4">
        <v>67</v>
      </c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>
        <v>67</v>
      </c>
      <c r="GD623" s="4">
        <v>58</v>
      </c>
      <c r="GE623" s="4">
        <v>56</v>
      </c>
      <c r="GF623" s="4">
        <v>54</v>
      </c>
      <c r="GG623" s="4">
        <v>52</v>
      </c>
      <c r="GH623" s="4">
        <v>50</v>
      </c>
      <c r="GI623" s="4">
        <v>48</v>
      </c>
      <c r="GJ623" s="4">
        <v>46</v>
      </c>
      <c r="GK623" s="4">
        <v>44</v>
      </c>
      <c r="GL623" s="4">
        <v>42</v>
      </c>
      <c r="GM623" s="4">
        <v>40</v>
      </c>
      <c r="GN623" s="4">
        <v>38</v>
      </c>
      <c r="GO623" s="4">
        <v>36</v>
      </c>
      <c r="GP623" s="4">
        <v>34</v>
      </c>
      <c r="GQ623" s="4">
        <v>32</v>
      </c>
      <c r="GR623" s="4">
        <v>30</v>
      </c>
      <c r="GS623" s="4">
        <v>28</v>
      </c>
      <c r="GT623" s="4">
        <v>26</v>
      </c>
      <c r="GU623" s="4">
        <v>24</v>
      </c>
      <c r="GV623" s="4">
        <v>22</v>
      </c>
      <c r="GW623" s="4">
        <v>20</v>
      </c>
      <c r="GX623" s="4">
        <v>18</v>
      </c>
      <c r="GY623" s="4">
        <v>16</v>
      </c>
      <c r="GZ623" s="4">
        <v>14</v>
      </c>
      <c r="HA623" s="4">
        <v>12</v>
      </c>
      <c r="HB623" s="4">
        <v>10</v>
      </c>
      <c r="HC623" s="19">
        <v>16.8</v>
      </c>
      <c r="HD623" s="19">
        <v>29</v>
      </c>
      <c r="HE623" s="19">
        <v>28</v>
      </c>
      <c r="HF623" s="19">
        <v>27</v>
      </c>
      <c r="HG623" s="19">
        <v>26</v>
      </c>
      <c r="HH623" s="19">
        <v>25</v>
      </c>
      <c r="HI623" s="19">
        <v>24</v>
      </c>
      <c r="HJ623" s="19">
        <v>23</v>
      </c>
      <c r="HK623" s="19">
        <v>22</v>
      </c>
      <c r="HL623" s="19">
        <v>21</v>
      </c>
      <c r="HM623" s="19">
        <v>20</v>
      </c>
      <c r="HN623" s="19">
        <v>19</v>
      </c>
      <c r="HO623" s="19">
        <v>18</v>
      </c>
      <c r="HP623" s="19">
        <v>17</v>
      </c>
      <c r="HQ623" s="19">
        <v>16</v>
      </c>
      <c r="HR623" s="19">
        <v>15</v>
      </c>
      <c r="HS623" s="19">
        <v>14</v>
      </c>
      <c r="HT623" s="19">
        <v>13</v>
      </c>
      <c r="HU623" s="19">
        <v>12</v>
      </c>
      <c r="HV623" s="19">
        <v>11</v>
      </c>
      <c r="HW623" s="19">
        <v>10</v>
      </c>
      <c r="HX623" s="19">
        <v>9</v>
      </c>
      <c r="HY623" s="19">
        <v>8</v>
      </c>
      <c r="HZ623" s="19">
        <v>7</v>
      </c>
      <c r="IA623" s="19">
        <v>6</v>
      </c>
      <c r="IB623" s="19">
        <v>5</v>
      </c>
    </row>
    <row r="624">
      <c r="A624" s="2" t="s">
        <v>3491</v>
      </c>
      <c r="B624" s="2" t="s">
        <v>3409</v>
      </c>
      <c r="C624" s="2" t="s">
        <v>762</v>
      </c>
      <c r="D624" s="2" t="s">
        <v>3410</v>
      </c>
      <c r="E624" s="2" t="s">
        <v>3411</v>
      </c>
      <c r="F624" s="2" t="s">
        <v>3471</v>
      </c>
      <c r="G624" s="2" t="s">
        <v>3471</v>
      </c>
      <c r="H624" s="2" t="s">
        <v>3471</v>
      </c>
      <c r="I624" s="2" t="s">
        <v>3484</v>
      </c>
      <c r="J624" s="2" t="s">
        <v>3479</v>
      </c>
      <c r="K624" s="2" t="s">
        <v>3490</v>
      </c>
      <c r="L624" s="3">
        <v>20</v>
      </c>
      <c r="M624" s="3">
        <v>21</v>
      </c>
      <c r="N624" s="3">
        <v>41.99</v>
      </c>
      <c r="O624" s="2" t="s">
        <v>230</v>
      </c>
      <c r="P624" s="2" t="s">
        <v>597</v>
      </c>
      <c r="Q624" s="2" t="s">
        <v>232</v>
      </c>
      <c r="R624" s="2" t="s">
        <v>233</v>
      </c>
      <c r="S624" s="2" t="s">
        <v>233</v>
      </c>
      <c r="T624" s="2" t="s">
        <v>233</v>
      </c>
      <c r="U624" s="2" t="s">
        <v>329</v>
      </c>
      <c r="V624" s="2" t="s">
        <v>609</v>
      </c>
      <c r="W624" s="2" t="s">
        <v>233</v>
      </c>
      <c r="X624" s="2" t="s">
        <v>233</v>
      </c>
      <c r="Y624" s="2" t="s">
        <v>3486</v>
      </c>
      <c r="Z624" s="4">
        <v>254</v>
      </c>
      <c r="AA624" s="4">
        <f>=ROUNDDOWN(72.5714285714286,0)</f>
      </c>
      <c r="AB624" s="5">
        <v>3.5</v>
      </c>
      <c r="AC624" s="2" t="s">
        <v>233</v>
      </c>
      <c r="AD624" s="4"/>
      <c r="AE624" s="4"/>
      <c r="AF624" s="6"/>
      <c r="AG624" s="6">
        <v>73</v>
      </c>
      <c r="AH624" s="7">
        <v>1</v>
      </c>
      <c r="AI624" s="4"/>
      <c r="AJ624" s="4">
        <f>=ROUNDDOWN({0},0)</f>
      </c>
      <c r="AK624" s="5"/>
      <c r="AL624" s="2" t="s">
        <v>233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233</v>
      </c>
      <c r="AW624" s="8" t="s">
        <v>233</v>
      </c>
      <c r="AX624" s="4" t="s">
        <v>233</v>
      </c>
      <c r="AY624" s="8" t="s">
        <v>233</v>
      </c>
      <c r="AZ624" s="7" t="s">
        <v>233</v>
      </c>
      <c r="BA624" s="7" t="s">
        <v>233</v>
      </c>
      <c r="BB624" s="7"/>
      <c r="BC624" s="4" t="s">
        <v>233</v>
      </c>
      <c r="BD624" s="8" t="s">
        <v>233</v>
      </c>
      <c r="BE624" s="4" t="s">
        <v>233</v>
      </c>
      <c r="BF624" s="8" t="s">
        <v>233</v>
      </c>
      <c r="BG624" s="7" t="s">
        <v>233</v>
      </c>
      <c r="BH624" s="7" t="s">
        <v>233</v>
      </c>
      <c r="BI624" s="7"/>
      <c r="BJ624" s="4">
        <v>12</v>
      </c>
      <c r="BK624" s="8">
        <v>302.4</v>
      </c>
      <c r="BL624" s="2" t="s">
        <v>835</v>
      </c>
      <c r="BM624" s="7"/>
      <c r="BN624" s="7"/>
      <c r="BO624" s="4"/>
      <c r="BP624" s="8"/>
      <c r="BQ624" s="4"/>
      <c r="BR624" s="8"/>
      <c r="BS624" s="7"/>
      <c r="BT624" s="7"/>
      <c r="BU624" s="2" t="s">
        <v>3476</v>
      </c>
      <c r="BV624" s="2" t="s">
        <v>233</v>
      </c>
      <c r="BW624" s="2" t="s">
        <v>233</v>
      </c>
      <c r="BX624" s="2" t="s">
        <v>241</v>
      </c>
      <c r="BY624" s="2" t="s">
        <v>242</v>
      </c>
      <c r="BZ624" s="2" t="s">
        <v>230</v>
      </c>
      <c r="CA624" s="2" t="s">
        <v>2692</v>
      </c>
      <c r="CB624" s="2" t="s">
        <v>233</v>
      </c>
      <c r="CC624" s="2" t="s">
        <v>245</v>
      </c>
      <c r="CD624" s="2" t="s">
        <v>233</v>
      </c>
      <c r="CE624" s="4"/>
      <c r="CF624" s="4"/>
      <c r="CG624" s="4"/>
      <c r="CH624" s="4">
        <v>254</v>
      </c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>
        <v>256</v>
      </c>
      <c r="GD624" s="4">
        <v>246</v>
      </c>
      <c r="GE624" s="4">
        <v>242</v>
      </c>
      <c r="GF624" s="4">
        <v>238</v>
      </c>
      <c r="GG624" s="4">
        <v>234</v>
      </c>
      <c r="GH624" s="4">
        <v>230</v>
      </c>
      <c r="GI624" s="4">
        <v>226</v>
      </c>
      <c r="GJ624" s="4">
        <v>222</v>
      </c>
      <c r="GK624" s="4">
        <v>218</v>
      </c>
      <c r="GL624" s="4">
        <v>214</v>
      </c>
      <c r="GM624" s="4">
        <v>210</v>
      </c>
      <c r="GN624" s="4">
        <v>206</v>
      </c>
      <c r="GO624" s="4">
        <v>202</v>
      </c>
      <c r="GP624" s="4">
        <v>198</v>
      </c>
      <c r="GQ624" s="4">
        <v>194</v>
      </c>
      <c r="GR624" s="4">
        <v>190</v>
      </c>
      <c r="GS624" s="4">
        <v>186</v>
      </c>
      <c r="GT624" s="4">
        <v>182</v>
      </c>
      <c r="GU624" s="4">
        <v>178</v>
      </c>
      <c r="GV624" s="4">
        <v>174</v>
      </c>
      <c r="GW624" s="4">
        <v>170</v>
      </c>
      <c r="GX624" s="4">
        <v>166</v>
      </c>
      <c r="GY624" s="4">
        <v>162</v>
      </c>
      <c r="GZ624" s="4">
        <v>158</v>
      </c>
      <c r="HA624" s="4">
        <v>154</v>
      </c>
      <c r="HB624" s="4">
        <v>150</v>
      </c>
      <c r="HC624" s="19">
        <v>42.7</v>
      </c>
      <c r="HD624" s="19">
        <v>61.5</v>
      </c>
      <c r="HE624" s="19">
        <v>60.5</v>
      </c>
      <c r="HF624" s="19">
        <v>59.5</v>
      </c>
      <c r="HG624" s="19">
        <v>58.5</v>
      </c>
      <c r="HH624" s="19">
        <v>57.5</v>
      </c>
      <c r="HI624" s="19">
        <v>56.5</v>
      </c>
      <c r="HJ624" s="19">
        <v>55.5</v>
      </c>
      <c r="HK624" s="19">
        <v>54.5</v>
      </c>
      <c r="HL624" s="19">
        <v>53.5</v>
      </c>
      <c r="HM624" s="19">
        <v>52.5</v>
      </c>
      <c r="HN624" s="19">
        <v>51.5</v>
      </c>
      <c r="HO624" s="19">
        <v>50.5</v>
      </c>
      <c r="HP624" s="19">
        <v>49.5</v>
      </c>
      <c r="HQ624" s="19">
        <v>48.5</v>
      </c>
      <c r="HR624" s="19">
        <v>47.5</v>
      </c>
      <c r="HS624" s="19">
        <v>46.5</v>
      </c>
      <c r="HT624" s="19">
        <v>45.5</v>
      </c>
      <c r="HU624" s="19">
        <v>44.5</v>
      </c>
      <c r="HV624" s="19">
        <v>43.5</v>
      </c>
      <c r="HW624" s="19">
        <v>42.5</v>
      </c>
      <c r="HX624" s="19">
        <v>41.5</v>
      </c>
      <c r="HY624" s="19">
        <v>40.5</v>
      </c>
      <c r="HZ624" s="19">
        <v>39.5</v>
      </c>
      <c r="IA624" s="19">
        <v>38.5</v>
      </c>
      <c r="IB624" s="19">
        <v>37.5</v>
      </c>
    </row>
    <row r="625">
      <c r="A625" s="2" t="s">
        <v>3492</v>
      </c>
      <c r="B625" s="2" t="s">
        <v>3409</v>
      </c>
      <c r="C625" s="2" t="s">
        <v>762</v>
      </c>
      <c r="D625" s="2" t="s">
        <v>3410</v>
      </c>
      <c r="E625" s="2" t="s">
        <v>3411</v>
      </c>
      <c r="F625" s="2" t="s">
        <v>3471</v>
      </c>
      <c r="G625" s="2" t="s">
        <v>3471</v>
      </c>
      <c r="H625" s="2" t="s">
        <v>3471</v>
      </c>
      <c r="I625" s="2" t="s">
        <v>3484</v>
      </c>
      <c r="J625" s="2" t="s">
        <v>3482</v>
      </c>
      <c r="K625" s="2" t="s">
        <v>3490</v>
      </c>
      <c r="L625" s="3">
        <v>20</v>
      </c>
      <c r="M625" s="3">
        <v>21</v>
      </c>
      <c r="N625" s="3">
        <v>41.99</v>
      </c>
      <c r="O625" s="2" t="s">
        <v>230</v>
      </c>
      <c r="P625" s="2" t="s">
        <v>597</v>
      </c>
      <c r="Q625" s="2" t="s">
        <v>232</v>
      </c>
      <c r="R625" s="2" t="s">
        <v>233</v>
      </c>
      <c r="S625" s="2" t="s">
        <v>233</v>
      </c>
      <c r="T625" s="2" t="s">
        <v>233</v>
      </c>
      <c r="U625" s="2" t="s">
        <v>329</v>
      </c>
      <c r="V625" s="2" t="s">
        <v>609</v>
      </c>
      <c r="W625" s="2" t="s">
        <v>233</v>
      </c>
      <c r="X625" s="2" t="s">
        <v>233</v>
      </c>
      <c r="Y625" s="2" t="s">
        <v>3486</v>
      </c>
      <c r="Z625" s="4">
        <v>224</v>
      </c>
      <c r="AA625" s="4">
        <f>=ROUNDDOWN(72.258064516129,0)</f>
      </c>
      <c r="AB625" s="5">
        <v>3.1</v>
      </c>
      <c r="AC625" s="2" t="s">
        <v>233</v>
      </c>
      <c r="AD625" s="4"/>
      <c r="AE625" s="4"/>
      <c r="AF625" s="6"/>
      <c r="AG625" s="6">
        <v>73</v>
      </c>
      <c r="AH625" s="7">
        <v>1</v>
      </c>
      <c r="AI625" s="4"/>
      <c r="AJ625" s="4">
        <f>=ROUNDDOWN({0},0)</f>
      </c>
      <c r="AK625" s="5"/>
      <c r="AL625" s="2" t="s">
        <v>233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233</v>
      </c>
      <c r="AW625" s="8" t="s">
        <v>233</v>
      </c>
      <c r="AX625" s="4" t="s">
        <v>233</v>
      </c>
      <c r="AY625" s="8" t="s">
        <v>233</v>
      </c>
      <c r="AZ625" s="7" t="s">
        <v>233</v>
      </c>
      <c r="BA625" s="7" t="s">
        <v>233</v>
      </c>
      <c r="BB625" s="7"/>
      <c r="BC625" s="4" t="s">
        <v>233</v>
      </c>
      <c r="BD625" s="8" t="s">
        <v>233</v>
      </c>
      <c r="BE625" s="4" t="s">
        <v>233</v>
      </c>
      <c r="BF625" s="8" t="s">
        <v>233</v>
      </c>
      <c r="BG625" s="7" t="s">
        <v>233</v>
      </c>
      <c r="BH625" s="7" t="s">
        <v>233</v>
      </c>
      <c r="BI625" s="7"/>
      <c r="BJ625" s="4">
        <v>15</v>
      </c>
      <c r="BK625" s="8">
        <v>377.37</v>
      </c>
      <c r="BL625" s="2" t="s">
        <v>3416</v>
      </c>
      <c r="BM625" s="7"/>
      <c r="BN625" s="7"/>
      <c r="BO625" s="4"/>
      <c r="BP625" s="8"/>
      <c r="BQ625" s="4"/>
      <c r="BR625" s="8"/>
      <c r="BS625" s="7"/>
      <c r="BT625" s="7"/>
      <c r="BU625" s="2" t="s">
        <v>3476</v>
      </c>
      <c r="BV625" s="2" t="s">
        <v>233</v>
      </c>
      <c r="BW625" s="2" t="s">
        <v>233</v>
      </c>
      <c r="BX625" s="2" t="s">
        <v>241</v>
      </c>
      <c r="BY625" s="2" t="s">
        <v>242</v>
      </c>
      <c r="BZ625" s="2" t="s">
        <v>230</v>
      </c>
      <c r="CA625" s="2" t="s">
        <v>2692</v>
      </c>
      <c r="CB625" s="2" t="s">
        <v>1877</v>
      </c>
      <c r="CC625" s="2" t="s">
        <v>245</v>
      </c>
      <c r="CD625" s="2" t="s">
        <v>233</v>
      </c>
      <c r="CE625" s="4"/>
      <c r="CF625" s="4"/>
      <c r="CG625" s="4"/>
      <c r="CH625" s="4">
        <v>224</v>
      </c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>
        <v>226</v>
      </c>
      <c r="GD625" s="4">
        <v>213</v>
      </c>
      <c r="GE625" s="4">
        <v>209</v>
      </c>
      <c r="GF625" s="4">
        <v>205</v>
      </c>
      <c r="GG625" s="4">
        <v>201</v>
      </c>
      <c r="GH625" s="4">
        <v>197</v>
      </c>
      <c r="GI625" s="4">
        <v>193</v>
      </c>
      <c r="GJ625" s="4">
        <v>189</v>
      </c>
      <c r="GK625" s="4">
        <v>185</v>
      </c>
      <c r="GL625" s="4">
        <v>181</v>
      </c>
      <c r="GM625" s="4">
        <v>177</v>
      </c>
      <c r="GN625" s="4">
        <v>173</v>
      </c>
      <c r="GO625" s="4">
        <v>169</v>
      </c>
      <c r="GP625" s="4">
        <v>165</v>
      </c>
      <c r="GQ625" s="4">
        <v>161</v>
      </c>
      <c r="GR625" s="4">
        <v>157</v>
      </c>
      <c r="GS625" s="4">
        <v>153</v>
      </c>
      <c r="GT625" s="4">
        <v>149</v>
      </c>
      <c r="GU625" s="4">
        <v>145</v>
      </c>
      <c r="GV625" s="4">
        <v>141</v>
      </c>
      <c r="GW625" s="4">
        <v>137</v>
      </c>
      <c r="GX625" s="4">
        <v>133</v>
      </c>
      <c r="GY625" s="4">
        <v>129</v>
      </c>
      <c r="GZ625" s="4">
        <v>125</v>
      </c>
      <c r="HA625" s="4">
        <v>121</v>
      </c>
      <c r="HB625" s="4">
        <v>117</v>
      </c>
      <c r="HC625" s="19">
        <v>37.7</v>
      </c>
      <c r="HD625" s="19">
        <v>53.3</v>
      </c>
      <c r="HE625" s="19">
        <v>52.3</v>
      </c>
      <c r="HF625" s="19">
        <v>51.3</v>
      </c>
      <c r="HG625" s="19">
        <v>50.3</v>
      </c>
      <c r="HH625" s="19">
        <v>49.3</v>
      </c>
      <c r="HI625" s="19">
        <v>48.3</v>
      </c>
      <c r="HJ625" s="19">
        <v>47.3</v>
      </c>
      <c r="HK625" s="19">
        <v>46.3</v>
      </c>
      <c r="HL625" s="19">
        <v>45.3</v>
      </c>
      <c r="HM625" s="19">
        <v>44.3</v>
      </c>
      <c r="HN625" s="19">
        <v>43.3</v>
      </c>
      <c r="HO625" s="19">
        <v>42.3</v>
      </c>
      <c r="HP625" s="19">
        <v>41.3</v>
      </c>
      <c r="HQ625" s="19">
        <v>40.3</v>
      </c>
      <c r="HR625" s="19">
        <v>39.3</v>
      </c>
      <c r="HS625" s="19">
        <v>38.3</v>
      </c>
      <c r="HT625" s="19">
        <v>37.3</v>
      </c>
      <c r="HU625" s="19">
        <v>36.3</v>
      </c>
      <c r="HV625" s="19">
        <v>35.3</v>
      </c>
      <c r="HW625" s="19">
        <v>34.3</v>
      </c>
      <c r="HX625" s="19">
        <v>33.3</v>
      </c>
      <c r="HY625" s="19">
        <v>32.3</v>
      </c>
      <c r="HZ625" s="19">
        <v>31.3</v>
      </c>
      <c r="IA625" s="19">
        <v>30.3</v>
      </c>
      <c r="IB625" s="19">
        <v>29.3</v>
      </c>
    </row>
    <row r="626">
      <c r="A626" s="2" t="s">
        <v>3493</v>
      </c>
      <c r="B626" s="2" t="s">
        <v>3409</v>
      </c>
      <c r="C626" s="2" t="s">
        <v>762</v>
      </c>
      <c r="D626" s="2" t="s">
        <v>3410</v>
      </c>
      <c r="E626" s="2" t="s">
        <v>3411</v>
      </c>
      <c r="F626" s="2" t="s">
        <v>3471</v>
      </c>
      <c r="G626" s="2" t="s">
        <v>3471</v>
      </c>
      <c r="H626" s="2" t="s">
        <v>3471</v>
      </c>
      <c r="I626" s="2" t="s">
        <v>3484</v>
      </c>
      <c r="J626" s="2" t="s">
        <v>3473</v>
      </c>
      <c r="K626" s="2" t="s">
        <v>3494</v>
      </c>
      <c r="L626" s="3">
        <v>20</v>
      </c>
      <c r="M626" s="3">
        <v>21</v>
      </c>
      <c r="N626" s="3">
        <v>41.99</v>
      </c>
      <c r="O626" s="2" t="s">
        <v>230</v>
      </c>
      <c r="P626" s="2" t="s">
        <v>597</v>
      </c>
      <c r="Q626" s="2" t="s">
        <v>232</v>
      </c>
      <c r="R626" s="2" t="s">
        <v>233</v>
      </c>
      <c r="S626" s="2" t="s">
        <v>233</v>
      </c>
      <c r="T626" s="2" t="s">
        <v>233</v>
      </c>
      <c r="U626" s="2" t="s">
        <v>329</v>
      </c>
      <c r="V626" s="2" t="s">
        <v>609</v>
      </c>
      <c r="W626" s="2" t="s">
        <v>233</v>
      </c>
      <c r="X626" s="2" t="s">
        <v>233</v>
      </c>
      <c r="Y626" s="2" t="s">
        <v>3486</v>
      </c>
      <c r="Z626" s="4">
        <v>154</v>
      </c>
      <c r="AA626" s="4">
        <f>=ROUNDDOWN(102.666666666667,0)</f>
      </c>
      <c r="AB626" s="5">
        <v>1.5</v>
      </c>
      <c r="AC626" s="2" t="s">
        <v>233</v>
      </c>
      <c r="AD626" s="4"/>
      <c r="AE626" s="4"/>
      <c r="AF626" s="6"/>
      <c r="AG626" s="6">
        <v>73</v>
      </c>
      <c r="AH626" s="7">
        <v>1</v>
      </c>
      <c r="AI626" s="4"/>
      <c r="AJ626" s="4">
        <f>=ROUNDDOWN({0},0)</f>
      </c>
      <c r="AK626" s="5"/>
      <c r="AL626" s="2" t="s">
        <v>233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233</v>
      </c>
      <c r="AW626" s="8" t="s">
        <v>233</v>
      </c>
      <c r="AX626" s="4" t="s">
        <v>233</v>
      </c>
      <c r="AY626" s="8" t="s">
        <v>233</v>
      </c>
      <c r="AZ626" s="7" t="s">
        <v>233</v>
      </c>
      <c r="BA626" s="7" t="s">
        <v>233</v>
      </c>
      <c r="BB626" s="7"/>
      <c r="BC626" s="4" t="s">
        <v>233</v>
      </c>
      <c r="BD626" s="8" t="s">
        <v>233</v>
      </c>
      <c r="BE626" s="4" t="s">
        <v>233</v>
      </c>
      <c r="BF626" s="8" t="s">
        <v>233</v>
      </c>
      <c r="BG626" s="7" t="s">
        <v>233</v>
      </c>
      <c r="BH626" s="7" t="s">
        <v>233</v>
      </c>
      <c r="BI626" s="7"/>
      <c r="BJ626" s="4">
        <v>2</v>
      </c>
      <c r="BK626" s="8">
        <v>50.4</v>
      </c>
      <c r="BL626" s="2" t="s">
        <v>835</v>
      </c>
      <c r="BM626" s="7"/>
      <c r="BN626" s="7"/>
      <c r="BO626" s="4"/>
      <c r="BP626" s="8"/>
      <c r="BQ626" s="4"/>
      <c r="BR626" s="8"/>
      <c r="BS626" s="7"/>
      <c r="BT626" s="7"/>
      <c r="BU626" s="2" t="s">
        <v>3476</v>
      </c>
      <c r="BV626" s="2" t="s">
        <v>233</v>
      </c>
      <c r="BW626" s="2" t="s">
        <v>233</v>
      </c>
      <c r="BX626" s="2" t="s">
        <v>241</v>
      </c>
      <c r="BY626" s="2" t="s">
        <v>242</v>
      </c>
      <c r="BZ626" s="2" t="s">
        <v>230</v>
      </c>
      <c r="CA626" s="2" t="s">
        <v>2692</v>
      </c>
      <c r="CB626" s="2" t="s">
        <v>233</v>
      </c>
      <c r="CC626" s="2" t="s">
        <v>245</v>
      </c>
      <c r="CD626" s="2" t="s">
        <v>233</v>
      </c>
      <c r="CE626" s="4"/>
      <c r="CF626" s="4"/>
      <c r="CG626" s="4"/>
      <c r="CH626" s="4">
        <v>154</v>
      </c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>
        <v>154</v>
      </c>
      <c r="GD626" s="4">
        <v>152</v>
      </c>
      <c r="GE626" s="4">
        <v>150</v>
      </c>
      <c r="GF626" s="4">
        <v>148</v>
      </c>
      <c r="GG626" s="4">
        <v>146</v>
      </c>
      <c r="GH626" s="4">
        <v>144</v>
      </c>
      <c r="GI626" s="4">
        <v>142</v>
      </c>
      <c r="GJ626" s="4">
        <v>140</v>
      </c>
      <c r="GK626" s="4">
        <v>138</v>
      </c>
      <c r="GL626" s="4">
        <v>136</v>
      </c>
      <c r="GM626" s="4">
        <v>134</v>
      </c>
      <c r="GN626" s="4">
        <v>132</v>
      </c>
      <c r="GO626" s="4">
        <v>130</v>
      </c>
      <c r="GP626" s="4">
        <v>128</v>
      </c>
      <c r="GQ626" s="4">
        <v>126</v>
      </c>
      <c r="GR626" s="4">
        <v>124</v>
      </c>
      <c r="GS626" s="4">
        <v>122</v>
      </c>
      <c r="GT626" s="4">
        <v>120</v>
      </c>
      <c r="GU626" s="4">
        <v>118</v>
      </c>
      <c r="GV626" s="4">
        <v>116</v>
      </c>
      <c r="GW626" s="4">
        <v>114</v>
      </c>
      <c r="GX626" s="4">
        <v>112</v>
      </c>
      <c r="GY626" s="4">
        <v>110</v>
      </c>
      <c r="GZ626" s="4">
        <v>108</v>
      </c>
      <c r="HA626" s="4">
        <v>106</v>
      </c>
      <c r="HB626" s="4">
        <v>104</v>
      </c>
      <c r="HC626" s="19">
        <v>77</v>
      </c>
      <c r="HD626" s="19">
        <v>76</v>
      </c>
      <c r="HE626" s="19">
        <v>75</v>
      </c>
      <c r="HF626" s="19">
        <v>74</v>
      </c>
      <c r="HG626" s="19">
        <v>73</v>
      </c>
      <c r="HH626" s="19">
        <v>72</v>
      </c>
      <c r="HI626" s="19">
        <v>71</v>
      </c>
      <c r="HJ626" s="19">
        <v>70</v>
      </c>
      <c r="HK626" s="19">
        <v>69</v>
      </c>
      <c r="HL626" s="19">
        <v>68</v>
      </c>
      <c r="HM626" s="19">
        <v>67</v>
      </c>
      <c r="HN626" s="19">
        <v>66</v>
      </c>
      <c r="HO626" s="19">
        <v>65</v>
      </c>
      <c r="HP626" s="19">
        <v>64</v>
      </c>
      <c r="HQ626" s="19">
        <v>63</v>
      </c>
      <c r="HR626" s="19">
        <v>62</v>
      </c>
      <c r="HS626" s="19">
        <v>61</v>
      </c>
      <c r="HT626" s="19">
        <v>60</v>
      </c>
      <c r="HU626" s="19">
        <v>59</v>
      </c>
      <c r="HV626" s="19">
        <v>58</v>
      </c>
      <c r="HW626" s="19">
        <v>57</v>
      </c>
      <c r="HX626" s="19">
        <v>56</v>
      </c>
      <c r="HY626" s="19">
        <v>55</v>
      </c>
      <c r="HZ626" s="19">
        <v>54</v>
      </c>
      <c r="IA626" s="19">
        <v>53</v>
      </c>
      <c r="IB626" s="19">
        <v>52</v>
      </c>
    </row>
    <row r="627">
      <c r="A627" s="2" t="s">
        <v>3495</v>
      </c>
      <c r="B627" s="2" t="s">
        <v>3409</v>
      </c>
      <c r="C627" s="2" t="s">
        <v>762</v>
      </c>
      <c r="D627" s="2" t="s">
        <v>3410</v>
      </c>
      <c r="E627" s="2" t="s">
        <v>3411</v>
      </c>
      <c r="F627" s="2" t="s">
        <v>3471</v>
      </c>
      <c r="G627" s="2" t="s">
        <v>3471</v>
      </c>
      <c r="H627" s="2" t="s">
        <v>3471</v>
      </c>
      <c r="I627" s="2" t="s">
        <v>3484</v>
      </c>
      <c r="J627" s="2" t="s">
        <v>3479</v>
      </c>
      <c r="K627" s="2" t="s">
        <v>3494</v>
      </c>
      <c r="L627" s="3">
        <v>20</v>
      </c>
      <c r="M627" s="3">
        <v>21</v>
      </c>
      <c r="N627" s="3">
        <v>41.99</v>
      </c>
      <c r="O627" s="2" t="s">
        <v>230</v>
      </c>
      <c r="P627" s="2" t="s">
        <v>597</v>
      </c>
      <c r="Q627" s="2" t="s">
        <v>232</v>
      </c>
      <c r="R627" s="2" t="s">
        <v>233</v>
      </c>
      <c r="S627" s="2" t="s">
        <v>233</v>
      </c>
      <c r="T627" s="2" t="s">
        <v>233</v>
      </c>
      <c r="U627" s="2" t="s">
        <v>329</v>
      </c>
      <c r="V627" s="2" t="s">
        <v>609</v>
      </c>
      <c r="W627" s="2" t="s">
        <v>233</v>
      </c>
      <c r="X627" s="2" t="s">
        <v>233</v>
      </c>
      <c r="Y627" s="2" t="s">
        <v>3486</v>
      </c>
      <c r="Z627" s="4">
        <v>507</v>
      </c>
      <c r="AA627" s="4">
        <f>=ROUNDDOWN(87.4137931034483,0)</f>
      </c>
      <c r="AB627" s="5">
        <v>5.8</v>
      </c>
      <c r="AC627" s="2" t="s">
        <v>233</v>
      </c>
      <c r="AD627" s="4"/>
      <c r="AE627" s="4"/>
      <c r="AF627" s="6"/>
      <c r="AG627" s="6">
        <v>73</v>
      </c>
      <c r="AH627" s="7">
        <v>1</v>
      </c>
      <c r="AI627" s="4"/>
      <c r="AJ627" s="4">
        <f>=ROUNDDOWN({0},0)</f>
      </c>
      <c r="AK627" s="5"/>
      <c r="AL627" s="2" t="s">
        <v>233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233</v>
      </c>
      <c r="AW627" s="8" t="s">
        <v>233</v>
      </c>
      <c r="AX627" s="4" t="s">
        <v>233</v>
      </c>
      <c r="AY627" s="8" t="s">
        <v>233</v>
      </c>
      <c r="AZ627" s="7" t="s">
        <v>233</v>
      </c>
      <c r="BA627" s="7" t="s">
        <v>233</v>
      </c>
      <c r="BB627" s="7"/>
      <c r="BC627" s="4" t="s">
        <v>233</v>
      </c>
      <c r="BD627" s="8" t="s">
        <v>233</v>
      </c>
      <c r="BE627" s="4" t="s">
        <v>233</v>
      </c>
      <c r="BF627" s="8" t="s">
        <v>233</v>
      </c>
      <c r="BG627" s="7" t="s">
        <v>233</v>
      </c>
      <c r="BH627" s="7" t="s">
        <v>233</v>
      </c>
      <c r="BI627" s="7"/>
      <c r="BJ627" s="4">
        <v>17</v>
      </c>
      <c r="BK627" s="8">
        <v>426.72</v>
      </c>
      <c r="BL627" s="2" t="s">
        <v>3475</v>
      </c>
      <c r="BM627" s="7"/>
      <c r="BN627" s="7"/>
      <c r="BO627" s="4"/>
      <c r="BP627" s="8"/>
      <c r="BQ627" s="4"/>
      <c r="BR627" s="8"/>
      <c r="BS627" s="7"/>
      <c r="BT627" s="7"/>
      <c r="BU627" s="2" t="s">
        <v>3476</v>
      </c>
      <c r="BV627" s="2" t="s">
        <v>233</v>
      </c>
      <c r="BW627" s="2" t="s">
        <v>233</v>
      </c>
      <c r="BX627" s="2" t="s">
        <v>241</v>
      </c>
      <c r="BY627" s="2" t="s">
        <v>242</v>
      </c>
      <c r="BZ627" s="2" t="s">
        <v>230</v>
      </c>
      <c r="CA627" s="2" t="s">
        <v>2692</v>
      </c>
      <c r="CB627" s="2" t="s">
        <v>233</v>
      </c>
      <c r="CC627" s="2" t="s">
        <v>245</v>
      </c>
      <c r="CD627" s="2" t="s">
        <v>233</v>
      </c>
      <c r="CE627" s="4"/>
      <c r="CF627" s="4"/>
      <c r="CG627" s="4"/>
      <c r="CH627" s="4">
        <v>507</v>
      </c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>
        <v>509</v>
      </c>
      <c r="GD627" s="4">
        <v>503</v>
      </c>
      <c r="GE627" s="4">
        <v>497</v>
      </c>
      <c r="GF627" s="4">
        <v>491</v>
      </c>
      <c r="GG627" s="4">
        <v>485</v>
      </c>
      <c r="GH627" s="4">
        <v>479</v>
      </c>
      <c r="GI627" s="4">
        <v>473</v>
      </c>
      <c r="GJ627" s="4">
        <v>467</v>
      </c>
      <c r="GK627" s="4">
        <v>461</v>
      </c>
      <c r="GL627" s="4">
        <v>455</v>
      </c>
      <c r="GM627" s="4">
        <v>449</v>
      </c>
      <c r="GN627" s="4">
        <v>443</v>
      </c>
      <c r="GO627" s="4">
        <v>437</v>
      </c>
      <c r="GP627" s="4">
        <v>431</v>
      </c>
      <c r="GQ627" s="4">
        <v>425</v>
      </c>
      <c r="GR627" s="4">
        <v>419</v>
      </c>
      <c r="GS627" s="4">
        <v>413</v>
      </c>
      <c r="GT627" s="4">
        <v>407</v>
      </c>
      <c r="GU627" s="4">
        <v>401</v>
      </c>
      <c r="GV627" s="4">
        <v>395</v>
      </c>
      <c r="GW627" s="4">
        <v>389</v>
      </c>
      <c r="GX627" s="4">
        <v>383</v>
      </c>
      <c r="GY627" s="4">
        <v>377</v>
      </c>
      <c r="GZ627" s="4">
        <v>371</v>
      </c>
      <c r="HA627" s="4">
        <v>365</v>
      </c>
      <c r="HB627" s="4">
        <v>359</v>
      </c>
      <c r="HC627" s="19">
        <v>84.8</v>
      </c>
      <c r="HD627" s="19">
        <v>83.8</v>
      </c>
      <c r="HE627" s="19">
        <v>82.8</v>
      </c>
      <c r="HF627" s="19">
        <v>81.8</v>
      </c>
      <c r="HG627" s="19">
        <v>80.8</v>
      </c>
      <c r="HH627" s="19">
        <v>79.8</v>
      </c>
      <c r="HI627" s="19">
        <v>78.8</v>
      </c>
      <c r="HJ627" s="19">
        <v>77.8</v>
      </c>
      <c r="HK627" s="19">
        <v>76.8</v>
      </c>
      <c r="HL627" s="19">
        <v>75.8</v>
      </c>
      <c r="HM627" s="19">
        <v>74.8</v>
      </c>
      <c r="HN627" s="19">
        <v>73.8</v>
      </c>
      <c r="HO627" s="19">
        <v>72.8</v>
      </c>
      <c r="HP627" s="19">
        <v>71.8</v>
      </c>
      <c r="HQ627" s="19">
        <v>70.8</v>
      </c>
      <c r="HR627" s="19">
        <v>69.8</v>
      </c>
      <c r="HS627" s="19">
        <v>68.8</v>
      </c>
      <c r="HT627" s="19">
        <v>67.8</v>
      </c>
      <c r="HU627" s="19">
        <v>66.8</v>
      </c>
      <c r="HV627" s="19">
        <v>65.8</v>
      </c>
      <c r="HW627" s="19">
        <v>64.8</v>
      </c>
      <c r="HX627" s="19">
        <v>63.8</v>
      </c>
      <c r="HY627" s="19">
        <v>62.8</v>
      </c>
      <c r="HZ627" s="19">
        <v>61.8</v>
      </c>
      <c r="IA627" s="19">
        <v>60.8</v>
      </c>
      <c r="IB627" s="19">
        <v>59.8</v>
      </c>
    </row>
    <row r="628">
      <c r="A628" s="2" t="s">
        <v>3496</v>
      </c>
      <c r="B628" s="2" t="s">
        <v>3409</v>
      </c>
      <c r="C628" s="2" t="s">
        <v>762</v>
      </c>
      <c r="D628" s="2" t="s">
        <v>3410</v>
      </c>
      <c r="E628" s="2" t="s">
        <v>3411</v>
      </c>
      <c r="F628" s="2" t="s">
        <v>3471</v>
      </c>
      <c r="G628" s="2" t="s">
        <v>3471</v>
      </c>
      <c r="H628" s="2" t="s">
        <v>3471</v>
      </c>
      <c r="I628" s="2" t="s">
        <v>3484</v>
      </c>
      <c r="J628" s="2" t="s">
        <v>3482</v>
      </c>
      <c r="K628" s="2" t="s">
        <v>3494</v>
      </c>
      <c r="L628" s="3">
        <v>20</v>
      </c>
      <c r="M628" s="3">
        <v>21</v>
      </c>
      <c r="N628" s="3">
        <v>41.99</v>
      </c>
      <c r="O628" s="2" t="s">
        <v>230</v>
      </c>
      <c r="P628" s="2" t="s">
        <v>597</v>
      </c>
      <c r="Q628" s="2" t="s">
        <v>232</v>
      </c>
      <c r="R628" s="2" t="s">
        <v>233</v>
      </c>
      <c r="S628" s="2" t="s">
        <v>233</v>
      </c>
      <c r="T628" s="2" t="s">
        <v>233</v>
      </c>
      <c r="U628" s="2" t="s">
        <v>329</v>
      </c>
      <c r="V628" s="2" t="s">
        <v>609</v>
      </c>
      <c r="W628" s="2" t="s">
        <v>233</v>
      </c>
      <c r="X628" s="2" t="s">
        <v>233</v>
      </c>
      <c r="Y628" s="2" t="s">
        <v>3486</v>
      </c>
      <c r="Z628" s="4">
        <v>383</v>
      </c>
      <c r="AA628" s="4">
        <f>=ROUNDDOWN(59.84375,0)</f>
      </c>
      <c r="AB628" s="5">
        <v>6.4</v>
      </c>
      <c r="AC628" s="2" t="s">
        <v>233</v>
      </c>
      <c r="AD628" s="4"/>
      <c r="AE628" s="4"/>
      <c r="AF628" s="6"/>
      <c r="AG628" s="6">
        <v>73</v>
      </c>
      <c r="AH628" s="7">
        <v>1</v>
      </c>
      <c r="AI628" s="4"/>
      <c r="AJ628" s="4">
        <f>=ROUNDDOWN({0},0)</f>
      </c>
      <c r="AK628" s="5"/>
      <c r="AL628" s="2" t="s">
        <v>233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233</v>
      </c>
      <c r="AW628" s="8" t="s">
        <v>233</v>
      </c>
      <c r="AX628" s="4" t="s">
        <v>233</v>
      </c>
      <c r="AY628" s="8" t="s">
        <v>233</v>
      </c>
      <c r="AZ628" s="7" t="s">
        <v>233</v>
      </c>
      <c r="BA628" s="7" t="s">
        <v>233</v>
      </c>
      <c r="BB628" s="7"/>
      <c r="BC628" s="4" t="s">
        <v>233</v>
      </c>
      <c r="BD628" s="8" t="s">
        <v>233</v>
      </c>
      <c r="BE628" s="4" t="s">
        <v>233</v>
      </c>
      <c r="BF628" s="8" t="s">
        <v>233</v>
      </c>
      <c r="BG628" s="7" t="s">
        <v>233</v>
      </c>
      <c r="BH628" s="7" t="s">
        <v>233</v>
      </c>
      <c r="BI628" s="7"/>
      <c r="BJ628" s="4">
        <v>34</v>
      </c>
      <c r="BK628" s="8">
        <v>849.24</v>
      </c>
      <c r="BL628" s="2" t="s">
        <v>3420</v>
      </c>
      <c r="BM628" s="7"/>
      <c r="BN628" s="7"/>
      <c r="BO628" s="4"/>
      <c r="BP628" s="8"/>
      <c r="BQ628" s="4"/>
      <c r="BR628" s="8"/>
      <c r="BS628" s="7"/>
      <c r="BT628" s="7"/>
      <c r="BU628" s="2" t="s">
        <v>3476</v>
      </c>
      <c r="BV628" s="2" t="s">
        <v>233</v>
      </c>
      <c r="BW628" s="2" t="s">
        <v>233</v>
      </c>
      <c r="BX628" s="2" t="s">
        <v>241</v>
      </c>
      <c r="BY628" s="2" t="s">
        <v>242</v>
      </c>
      <c r="BZ628" s="2" t="s">
        <v>230</v>
      </c>
      <c r="CA628" s="2" t="s">
        <v>2692</v>
      </c>
      <c r="CB628" s="2" t="s">
        <v>233</v>
      </c>
      <c r="CC628" s="2" t="s">
        <v>245</v>
      </c>
      <c r="CD628" s="2" t="s">
        <v>233</v>
      </c>
      <c r="CE628" s="4"/>
      <c r="CF628" s="4"/>
      <c r="CG628" s="4"/>
      <c r="CH628" s="4">
        <v>383</v>
      </c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>
        <v>393</v>
      </c>
      <c r="GD628" s="4">
        <v>373</v>
      </c>
      <c r="GE628" s="4">
        <v>366</v>
      </c>
      <c r="GF628" s="4">
        <v>359</v>
      </c>
      <c r="GG628" s="4">
        <v>352</v>
      </c>
      <c r="GH628" s="4">
        <v>345</v>
      </c>
      <c r="GI628" s="4">
        <v>338</v>
      </c>
      <c r="GJ628" s="4">
        <v>331</v>
      </c>
      <c r="GK628" s="4">
        <v>324</v>
      </c>
      <c r="GL628" s="4">
        <v>317</v>
      </c>
      <c r="GM628" s="4">
        <v>310</v>
      </c>
      <c r="GN628" s="4">
        <v>303</v>
      </c>
      <c r="GO628" s="4">
        <v>296</v>
      </c>
      <c r="GP628" s="4">
        <v>289</v>
      </c>
      <c r="GQ628" s="4">
        <v>282</v>
      </c>
      <c r="GR628" s="4">
        <v>275</v>
      </c>
      <c r="GS628" s="4">
        <v>268</v>
      </c>
      <c r="GT628" s="4">
        <v>261</v>
      </c>
      <c r="GU628" s="4">
        <v>254</v>
      </c>
      <c r="GV628" s="4">
        <v>247</v>
      </c>
      <c r="GW628" s="4">
        <v>240</v>
      </c>
      <c r="GX628" s="4">
        <v>233</v>
      </c>
      <c r="GY628" s="4">
        <v>226</v>
      </c>
      <c r="GZ628" s="4">
        <v>219</v>
      </c>
      <c r="HA628" s="4">
        <v>212</v>
      </c>
      <c r="HB628" s="4">
        <v>205</v>
      </c>
      <c r="HC628" s="19">
        <v>39.3</v>
      </c>
      <c r="HD628" s="19">
        <v>53.3</v>
      </c>
      <c r="HE628" s="19">
        <v>52.3</v>
      </c>
      <c r="HF628" s="19">
        <v>51.3</v>
      </c>
      <c r="HG628" s="19">
        <v>50.3</v>
      </c>
      <c r="HH628" s="19">
        <v>49.3</v>
      </c>
      <c r="HI628" s="19">
        <v>48.3</v>
      </c>
      <c r="HJ628" s="19">
        <v>47.3</v>
      </c>
      <c r="HK628" s="19">
        <v>46.3</v>
      </c>
      <c r="HL628" s="19">
        <v>45.3</v>
      </c>
      <c r="HM628" s="19">
        <v>44.3</v>
      </c>
      <c r="HN628" s="19">
        <v>43.3</v>
      </c>
      <c r="HO628" s="19">
        <v>42.3</v>
      </c>
      <c r="HP628" s="19">
        <v>41.3</v>
      </c>
      <c r="HQ628" s="19">
        <v>40.3</v>
      </c>
      <c r="HR628" s="19">
        <v>39.3</v>
      </c>
      <c r="HS628" s="19">
        <v>38.3</v>
      </c>
      <c r="HT628" s="19">
        <v>37.3</v>
      </c>
      <c r="HU628" s="19">
        <v>36.3</v>
      </c>
      <c r="HV628" s="19">
        <v>35.3</v>
      </c>
      <c r="HW628" s="19">
        <v>34.3</v>
      </c>
      <c r="HX628" s="19">
        <v>33.3</v>
      </c>
      <c r="HY628" s="19">
        <v>32.3</v>
      </c>
      <c r="HZ628" s="19">
        <v>31.3</v>
      </c>
      <c r="IA628" s="19">
        <v>30.3</v>
      </c>
      <c r="IB628" s="19">
        <v>29.3</v>
      </c>
    </row>
    <row r="629">
      <c r="A629" s="2" t="s">
        <v>3497</v>
      </c>
      <c r="B629" s="2" t="s">
        <v>3409</v>
      </c>
      <c r="C629" s="2" t="s">
        <v>762</v>
      </c>
      <c r="D629" s="2" t="s">
        <v>3410</v>
      </c>
      <c r="E629" s="2" t="s">
        <v>3411</v>
      </c>
      <c r="F629" s="2" t="s">
        <v>3471</v>
      </c>
      <c r="G629" s="2" t="s">
        <v>3471</v>
      </c>
      <c r="H629" s="2" t="s">
        <v>3471</v>
      </c>
      <c r="I629" s="2" t="s">
        <v>3484</v>
      </c>
      <c r="J629" s="2" t="s">
        <v>3473</v>
      </c>
      <c r="K629" s="2" t="s">
        <v>3498</v>
      </c>
      <c r="L629" s="3">
        <v>20</v>
      </c>
      <c r="M629" s="3">
        <v>21</v>
      </c>
      <c r="N629" s="3">
        <v>41.99</v>
      </c>
      <c r="O629" s="2" t="s">
        <v>230</v>
      </c>
      <c r="P629" s="2" t="s">
        <v>597</v>
      </c>
      <c r="Q629" s="2" t="s">
        <v>232</v>
      </c>
      <c r="R629" s="2" t="s">
        <v>233</v>
      </c>
      <c r="S629" s="2" t="s">
        <v>233</v>
      </c>
      <c r="T629" s="2" t="s">
        <v>233</v>
      </c>
      <c r="U629" s="2" t="s">
        <v>329</v>
      </c>
      <c r="V629" s="2" t="s">
        <v>609</v>
      </c>
      <c r="W629" s="2" t="s">
        <v>233</v>
      </c>
      <c r="X629" s="2" t="s">
        <v>233</v>
      </c>
      <c r="Y629" s="2" t="s">
        <v>3486</v>
      </c>
      <c r="Z629" s="4">
        <v>99</v>
      </c>
      <c r="AA629" s="4">
        <f>=ROUNDDOWN(99,0)</f>
      </c>
      <c r="AB629" s="5">
        <v>1</v>
      </c>
      <c r="AC629" s="2" t="s">
        <v>233</v>
      </c>
      <c r="AD629" s="4"/>
      <c r="AE629" s="4"/>
      <c r="AF629" s="6"/>
      <c r="AG629" s="6">
        <v>73</v>
      </c>
      <c r="AH629" s="7">
        <v>1</v>
      </c>
      <c r="AI629" s="4"/>
      <c r="AJ629" s="4">
        <f>=ROUNDDOWN({0},0)</f>
      </c>
      <c r="AK629" s="5"/>
      <c r="AL629" s="2" t="s">
        <v>233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233</v>
      </c>
      <c r="AW629" s="8" t="s">
        <v>233</v>
      </c>
      <c r="AX629" s="4" t="s">
        <v>233</v>
      </c>
      <c r="AY629" s="8" t="s">
        <v>233</v>
      </c>
      <c r="AZ629" s="7" t="s">
        <v>233</v>
      </c>
      <c r="BA629" s="7" t="s">
        <v>233</v>
      </c>
      <c r="BB629" s="7"/>
      <c r="BC629" s="4" t="s">
        <v>233</v>
      </c>
      <c r="BD629" s="8" t="s">
        <v>233</v>
      </c>
      <c r="BE629" s="4" t="s">
        <v>233</v>
      </c>
      <c r="BF629" s="8" t="s">
        <v>233</v>
      </c>
      <c r="BG629" s="7" t="s">
        <v>233</v>
      </c>
      <c r="BH629" s="7" t="s">
        <v>233</v>
      </c>
      <c r="BI629" s="7"/>
      <c r="BJ629" s="4">
        <v>1</v>
      </c>
      <c r="BK629" s="8">
        <v>25.2</v>
      </c>
      <c r="BL629" s="2" t="s">
        <v>835</v>
      </c>
      <c r="BM629" s="7"/>
      <c r="BN629" s="7"/>
      <c r="BO629" s="4"/>
      <c r="BP629" s="8"/>
      <c r="BQ629" s="4"/>
      <c r="BR629" s="8"/>
      <c r="BS629" s="7"/>
      <c r="BT629" s="7"/>
      <c r="BU629" s="2" t="s">
        <v>3476</v>
      </c>
      <c r="BV629" s="2" t="s">
        <v>233</v>
      </c>
      <c r="BW629" s="2" t="s">
        <v>233</v>
      </c>
      <c r="BX629" s="2" t="s">
        <v>241</v>
      </c>
      <c r="BY629" s="2" t="s">
        <v>242</v>
      </c>
      <c r="BZ629" s="2" t="s">
        <v>230</v>
      </c>
      <c r="CA629" s="2" t="s">
        <v>2692</v>
      </c>
      <c r="CB629" s="2" t="s">
        <v>233</v>
      </c>
      <c r="CC629" s="2" t="s">
        <v>245</v>
      </c>
      <c r="CD629" s="2" t="s">
        <v>233</v>
      </c>
      <c r="CE629" s="4"/>
      <c r="CF629" s="4"/>
      <c r="CG629" s="4"/>
      <c r="CH629" s="4">
        <v>99</v>
      </c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>
        <v>99</v>
      </c>
      <c r="GD629" s="4">
        <v>98</v>
      </c>
      <c r="GE629" s="4">
        <v>97</v>
      </c>
      <c r="GF629" s="4">
        <v>96</v>
      </c>
      <c r="GG629" s="4">
        <v>95</v>
      </c>
      <c r="GH629" s="4">
        <v>94</v>
      </c>
      <c r="GI629" s="4">
        <v>93</v>
      </c>
      <c r="GJ629" s="4">
        <v>92</v>
      </c>
      <c r="GK629" s="4">
        <v>91</v>
      </c>
      <c r="GL629" s="4">
        <v>90</v>
      </c>
      <c r="GM629" s="4">
        <v>89</v>
      </c>
      <c r="GN629" s="4">
        <v>88</v>
      </c>
      <c r="GO629" s="4">
        <v>87</v>
      </c>
      <c r="GP629" s="4">
        <v>86</v>
      </c>
      <c r="GQ629" s="4">
        <v>85</v>
      </c>
      <c r="GR629" s="4">
        <v>84</v>
      </c>
      <c r="GS629" s="4">
        <v>83</v>
      </c>
      <c r="GT629" s="4">
        <v>82</v>
      </c>
      <c r="GU629" s="4">
        <v>81</v>
      </c>
      <c r="GV629" s="4">
        <v>80</v>
      </c>
      <c r="GW629" s="4">
        <v>79</v>
      </c>
      <c r="GX629" s="4">
        <v>78</v>
      </c>
      <c r="GY629" s="4">
        <v>77</v>
      </c>
      <c r="GZ629" s="4">
        <v>76</v>
      </c>
      <c r="HA629" s="4">
        <v>75</v>
      </c>
      <c r="HB629" s="4">
        <v>74</v>
      </c>
      <c r="HC629" s="19">
        <v>99</v>
      </c>
      <c r="HD629" s="19">
        <v>98</v>
      </c>
      <c r="HE629" s="19">
        <v>97</v>
      </c>
      <c r="HF629" s="19">
        <v>96</v>
      </c>
      <c r="HG629" s="19">
        <v>95</v>
      </c>
      <c r="HH629" s="19">
        <v>94</v>
      </c>
      <c r="HI629" s="19">
        <v>93</v>
      </c>
      <c r="HJ629" s="19">
        <v>92</v>
      </c>
      <c r="HK629" s="19">
        <v>91</v>
      </c>
      <c r="HL629" s="19">
        <v>90</v>
      </c>
      <c r="HM629" s="19">
        <v>89</v>
      </c>
      <c r="HN629" s="19">
        <v>88</v>
      </c>
      <c r="HO629" s="19">
        <v>87</v>
      </c>
      <c r="HP629" s="19">
        <v>86</v>
      </c>
      <c r="HQ629" s="19">
        <v>85</v>
      </c>
      <c r="HR629" s="19">
        <v>84</v>
      </c>
      <c r="HS629" s="19">
        <v>83</v>
      </c>
      <c r="HT629" s="19">
        <v>82</v>
      </c>
      <c r="HU629" s="19">
        <v>81</v>
      </c>
      <c r="HV629" s="19">
        <v>80</v>
      </c>
      <c r="HW629" s="19">
        <v>79</v>
      </c>
      <c r="HX629" s="19">
        <v>78</v>
      </c>
      <c r="HY629" s="19">
        <v>77</v>
      </c>
      <c r="HZ629" s="19">
        <v>76</v>
      </c>
      <c r="IA629" s="19">
        <v>75</v>
      </c>
      <c r="IB629" s="19">
        <v>74</v>
      </c>
    </row>
    <row r="630">
      <c r="A630" s="2" t="s">
        <v>3499</v>
      </c>
      <c r="B630" s="2" t="s">
        <v>3409</v>
      </c>
      <c r="C630" s="2" t="s">
        <v>762</v>
      </c>
      <c r="D630" s="2" t="s">
        <v>3410</v>
      </c>
      <c r="E630" s="2" t="s">
        <v>3411</v>
      </c>
      <c r="F630" s="2" t="s">
        <v>3471</v>
      </c>
      <c r="G630" s="2" t="s">
        <v>3471</v>
      </c>
      <c r="H630" s="2" t="s">
        <v>3471</v>
      </c>
      <c r="I630" s="2" t="s">
        <v>3484</v>
      </c>
      <c r="J630" s="2" t="s">
        <v>3479</v>
      </c>
      <c r="K630" s="2" t="s">
        <v>3498</v>
      </c>
      <c r="L630" s="3">
        <v>20</v>
      </c>
      <c r="M630" s="3">
        <v>21</v>
      </c>
      <c r="N630" s="3">
        <v>41.99</v>
      </c>
      <c r="O630" s="2" t="s">
        <v>230</v>
      </c>
      <c r="P630" s="2" t="s">
        <v>597</v>
      </c>
      <c r="Q630" s="2" t="s">
        <v>232</v>
      </c>
      <c r="R630" s="2" t="s">
        <v>233</v>
      </c>
      <c r="S630" s="2" t="s">
        <v>233</v>
      </c>
      <c r="T630" s="2" t="s">
        <v>233</v>
      </c>
      <c r="U630" s="2" t="s">
        <v>329</v>
      </c>
      <c r="V630" s="2" t="s">
        <v>609</v>
      </c>
      <c r="W630" s="2" t="s">
        <v>233</v>
      </c>
      <c r="X630" s="2" t="s">
        <v>233</v>
      </c>
      <c r="Y630" s="2" t="s">
        <v>3486</v>
      </c>
      <c r="Z630" s="4">
        <v>315</v>
      </c>
      <c r="AA630" s="4">
        <f>=ROUNDDOWN(63,0)</f>
      </c>
      <c r="AB630" s="5">
        <v>5</v>
      </c>
      <c r="AC630" s="2" t="s">
        <v>233</v>
      </c>
      <c r="AD630" s="4"/>
      <c r="AE630" s="4"/>
      <c r="AF630" s="6"/>
      <c r="AG630" s="6">
        <v>73</v>
      </c>
      <c r="AH630" s="7">
        <v>1</v>
      </c>
      <c r="AI630" s="4"/>
      <c r="AJ630" s="4">
        <f>=ROUNDDOWN({0},0)</f>
      </c>
      <c r="AK630" s="5"/>
      <c r="AL630" s="2" t="s">
        <v>233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233</v>
      </c>
      <c r="AW630" s="8" t="s">
        <v>233</v>
      </c>
      <c r="AX630" s="4" t="s">
        <v>233</v>
      </c>
      <c r="AY630" s="8" t="s">
        <v>233</v>
      </c>
      <c r="AZ630" s="7" t="s">
        <v>233</v>
      </c>
      <c r="BA630" s="7" t="s">
        <v>233</v>
      </c>
      <c r="BB630" s="7"/>
      <c r="BC630" s="4" t="s">
        <v>233</v>
      </c>
      <c r="BD630" s="8" t="s">
        <v>233</v>
      </c>
      <c r="BE630" s="4" t="s">
        <v>233</v>
      </c>
      <c r="BF630" s="8" t="s">
        <v>233</v>
      </c>
      <c r="BG630" s="7" t="s">
        <v>233</v>
      </c>
      <c r="BH630" s="7" t="s">
        <v>233</v>
      </c>
      <c r="BI630" s="7"/>
      <c r="BJ630" s="4">
        <v>11</v>
      </c>
      <c r="BK630" s="8">
        <v>259.98</v>
      </c>
      <c r="BL630" s="2" t="s">
        <v>3420</v>
      </c>
      <c r="BM630" s="7"/>
      <c r="BN630" s="7"/>
      <c r="BO630" s="4"/>
      <c r="BP630" s="8"/>
      <c r="BQ630" s="4"/>
      <c r="BR630" s="8"/>
      <c r="BS630" s="7"/>
      <c r="BT630" s="7"/>
      <c r="BU630" s="2" t="s">
        <v>3476</v>
      </c>
      <c r="BV630" s="2" t="s">
        <v>233</v>
      </c>
      <c r="BW630" s="2" t="s">
        <v>233</v>
      </c>
      <c r="BX630" s="2" t="s">
        <v>241</v>
      </c>
      <c r="BY630" s="2" t="s">
        <v>242</v>
      </c>
      <c r="BZ630" s="2" t="s">
        <v>230</v>
      </c>
      <c r="CA630" s="2" t="s">
        <v>2692</v>
      </c>
      <c r="CB630" s="2" t="s">
        <v>233</v>
      </c>
      <c r="CC630" s="2" t="s">
        <v>245</v>
      </c>
      <c r="CD630" s="2" t="s">
        <v>233</v>
      </c>
      <c r="CE630" s="4"/>
      <c r="CF630" s="4"/>
      <c r="CG630" s="4"/>
      <c r="CH630" s="4">
        <v>315</v>
      </c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>
        <v>316</v>
      </c>
      <c r="GD630" s="4">
        <v>304</v>
      </c>
      <c r="GE630" s="4">
        <v>299</v>
      </c>
      <c r="GF630" s="4">
        <v>294</v>
      </c>
      <c r="GG630" s="4">
        <v>289</v>
      </c>
      <c r="GH630" s="4">
        <v>284</v>
      </c>
      <c r="GI630" s="4">
        <v>279</v>
      </c>
      <c r="GJ630" s="4">
        <v>274</v>
      </c>
      <c r="GK630" s="4">
        <v>269</v>
      </c>
      <c r="GL630" s="4">
        <v>264</v>
      </c>
      <c r="GM630" s="4">
        <v>259</v>
      </c>
      <c r="GN630" s="4">
        <v>254</v>
      </c>
      <c r="GO630" s="4">
        <v>249</v>
      </c>
      <c r="GP630" s="4">
        <v>244</v>
      </c>
      <c r="GQ630" s="4">
        <v>239</v>
      </c>
      <c r="GR630" s="4">
        <v>234</v>
      </c>
      <c r="GS630" s="4">
        <v>229</v>
      </c>
      <c r="GT630" s="4">
        <v>224</v>
      </c>
      <c r="GU630" s="4">
        <v>219</v>
      </c>
      <c r="GV630" s="4">
        <v>214</v>
      </c>
      <c r="GW630" s="4">
        <v>209</v>
      </c>
      <c r="GX630" s="4">
        <v>204</v>
      </c>
      <c r="GY630" s="4">
        <v>199</v>
      </c>
      <c r="GZ630" s="4">
        <v>194</v>
      </c>
      <c r="HA630" s="4">
        <v>189</v>
      </c>
      <c r="HB630" s="4">
        <v>184</v>
      </c>
      <c r="HC630" s="19">
        <v>45.1</v>
      </c>
      <c r="HD630" s="19">
        <v>60.8</v>
      </c>
      <c r="HE630" s="19">
        <v>59.8</v>
      </c>
      <c r="HF630" s="19">
        <v>58.8</v>
      </c>
      <c r="HG630" s="19">
        <v>57.8</v>
      </c>
      <c r="HH630" s="19">
        <v>56.8</v>
      </c>
      <c r="HI630" s="19">
        <v>55.8</v>
      </c>
      <c r="HJ630" s="19">
        <v>54.8</v>
      </c>
      <c r="HK630" s="19">
        <v>53.8</v>
      </c>
      <c r="HL630" s="19">
        <v>52.8</v>
      </c>
      <c r="HM630" s="19">
        <v>51.8</v>
      </c>
      <c r="HN630" s="19">
        <v>50.8</v>
      </c>
      <c r="HO630" s="19">
        <v>49.8</v>
      </c>
      <c r="HP630" s="19">
        <v>48.8</v>
      </c>
      <c r="HQ630" s="19">
        <v>47.8</v>
      </c>
      <c r="HR630" s="19">
        <v>46.8</v>
      </c>
      <c r="HS630" s="19">
        <v>45.8</v>
      </c>
      <c r="HT630" s="19">
        <v>44.8</v>
      </c>
      <c r="HU630" s="19">
        <v>43.8</v>
      </c>
      <c r="HV630" s="19">
        <v>42.8</v>
      </c>
      <c r="HW630" s="19">
        <v>41.8</v>
      </c>
      <c r="HX630" s="19">
        <v>40.8</v>
      </c>
      <c r="HY630" s="19">
        <v>39.8</v>
      </c>
      <c r="HZ630" s="19">
        <v>38.8</v>
      </c>
      <c r="IA630" s="19">
        <v>37.8</v>
      </c>
      <c r="IB630" s="19">
        <v>36.8</v>
      </c>
    </row>
    <row r="631">
      <c r="A631" s="2" t="s">
        <v>3500</v>
      </c>
      <c r="B631" s="2" t="s">
        <v>3409</v>
      </c>
      <c r="C631" s="2" t="s">
        <v>762</v>
      </c>
      <c r="D631" s="2" t="s">
        <v>3410</v>
      </c>
      <c r="E631" s="2" t="s">
        <v>3411</v>
      </c>
      <c r="F631" s="2" t="s">
        <v>3471</v>
      </c>
      <c r="G631" s="2" t="s">
        <v>3471</v>
      </c>
      <c r="H631" s="2" t="s">
        <v>3471</v>
      </c>
      <c r="I631" s="2" t="s">
        <v>3484</v>
      </c>
      <c r="J631" s="2" t="s">
        <v>3482</v>
      </c>
      <c r="K631" s="2" t="s">
        <v>3498</v>
      </c>
      <c r="L631" s="3">
        <v>20</v>
      </c>
      <c r="M631" s="3">
        <v>21</v>
      </c>
      <c r="N631" s="3">
        <v>41.99</v>
      </c>
      <c r="O631" s="2" t="s">
        <v>230</v>
      </c>
      <c r="P631" s="2" t="s">
        <v>597</v>
      </c>
      <c r="Q631" s="2" t="s">
        <v>232</v>
      </c>
      <c r="R631" s="2" t="s">
        <v>233</v>
      </c>
      <c r="S631" s="2" t="s">
        <v>233</v>
      </c>
      <c r="T631" s="2" t="s">
        <v>233</v>
      </c>
      <c r="U631" s="2" t="s">
        <v>329</v>
      </c>
      <c r="V631" s="2" t="s">
        <v>609</v>
      </c>
      <c r="W631" s="2" t="s">
        <v>233</v>
      </c>
      <c r="X631" s="2" t="s">
        <v>233</v>
      </c>
      <c r="Y631" s="2" t="s">
        <v>3486</v>
      </c>
      <c r="Z631" s="4">
        <v>279</v>
      </c>
      <c r="AA631" s="4">
        <f>=ROUNDDOWN(77.5,0)</f>
      </c>
      <c r="AB631" s="5">
        <v>3.6</v>
      </c>
      <c r="AC631" s="2" t="s">
        <v>233</v>
      </c>
      <c r="AD631" s="4"/>
      <c r="AE631" s="4"/>
      <c r="AF631" s="6"/>
      <c r="AG631" s="6">
        <v>73</v>
      </c>
      <c r="AH631" s="7">
        <v>1</v>
      </c>
      <c r="AI631" s="4"/>
      <c r="AJ631" s="4">
        <f>=ROUNDDOWN({0},0)</f>
      </c>
      <c r="AK631" s="5"/>
      <c r="AL631" s="2" t="s">
        <v>233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233</v>
      </c>
      <c r="AW631" s="8" t="s">
        <v>233</v>
      </c>
      <c r="AX631" s="4" t="s">
        <v>233</v>
      </c>
      <c r="AY631" s="8" t="s">
        <v>233</v>
      </c>
      <c r="AZ631" s="7" t="s">
        <v>233</v>
      </c>
      <c r="BA631" s="7" t="s">
        <v>233</v>
      </c>
      <c r="BB631" s="7"/>
      <c r="BC631" s="4" t="s">
        <v>233</v>
      </c>
      <c r="BD631" s="8" t="s">
        <v>233</v>
      </c>
      <c r="BE631" s="4" t="s">
        <v>233</v>
      </c>
      <c r="BF631" s="8" t="s">
        <v>233</v>
      </c>
      <c r="BG631" s="7" t="s">
        <v>233</v>
      </c>
      <c r="BH631" s="7" t="s">
        <v>233</v>
      </c>
      <c r="BI631" s="7"/>
      <c r="BJ631" s="4">
        <v>18</v>
      </c>
      <c r="BK631" s="8">
        <v>447.72</v>
      </c>
      <c r="BL631" s="2" t="s">
        <v>3432</v>
      </c>
      <c r="BM631" s="7"/>
      <c r="BN631" s="7"/>
      <c r="BO631" s="4"/>
      <c r="BP631" s="8"/>
      <c r="BQ631" s="4"/>
      <c r="BR631" s="8"/>
      <c r="BS631" s="7"/>
      <c r="BT631" s="7"/>
      <c r="BU631" s="2" t="s">
        <v>3476</v>
      </c>
      <c r="BV631" s="2" t="s">
        <v>233</v>
      </c>
      <c r="BW631" s="2" t="s">
        <v>233</v>
      </c>
      <c r="BX631" s="2" t="s">
        <v>241</v>
      </c>
      <c r="BY631" s="2" t="s">
        <v>242</v>
      </c>
      <c r="BZ631" s="2" t="s">
        <v>230</v>
      </c>
      <c r="CA631" s="2" t="s">
        <v>2692</v>
      </c>
      <c r="CB631" s="2" t="s">
        <v>233</v>
      </c>
      <c r="CC631" s="2" t="s">
        <v>245</v>
      </c>
      <c r="CD631" s="2" t="s">
        <v>233</v>
      </c>
      <c r="CE631" s="4"/>
      <c r="CF631" s="4"/>
      <c r="CG631" s="4"/>
      <c r="CH631" s="4">
        <v>279</v>
      </c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>
        <v>283</v>
      </c>
      <c r="GD631" s="4">
        <v>270</v>
      </c>
      <c r="GE631" s="4">
        <v>266</v>
      </c>
      <c r="GF631" s="4">
        <v>262</v>
      </c>
      <c r="GG631" s="4">
        <v>258</v>
      </c>
      <c r="GH631" s="4">
        <v>254</v>
      </c>
      <c r="GI631" s="4">
        <v>250</v>
      </c>
      <c r="GJ631" s="4">
        <v>246</v>
      </c>
      <c r="GK631" s="4">
        <v>242</v>
      </c>
      <c r="GL631" s="4">
        <v>238</v>
      </c>
      <c r="GM631" s="4">
        <v>234</v>
      </c>
      <c r="GN631" s="4">
        <v>230</v>
      </c>
      <c r="GO631" s="4">
        <v>226</v>
      </c>
      <c r="GP631" s="4">
        <v>222</v>
      </c>
      <c r="GQ631" s="4">
        <v>218</v>
      </c>
      <c r="GR631" s="4">
        <v>214</v>
      </c>
      <c r="GS631" s="4">
        <v>210</v>
      </c>
      <c r="GT631" s="4">
        <v>206</v>
      </c>
      <c r="GU631" s="4">
        <v>202</v>
      </c>
      <c r="GV631" s="4">
        <v>198</v>
      </c>
      <c r="GW631" s="4">
        <v>194</v>
      </c>
      <c r="GX631" s="4">
        <v>190</v>
      </c>
      <c r="GY631" s="4">
        <v>186</v>
      </c>
      <c r="GZ631" s="4">
        <v>182</v>
      </c>
      <c r="HA631" s="4">
        <v>178</v>
      </c>
      <c r="HB631" s="4">
        <v>174</v>
      </c>
      <c r="HC631" s="19">
        <v>47.2</v>
      </c>
      <c r="HD631" s="19">
        <v>67.5</v>
      </c>
      <c r="HE631" s="19">
        <v>66.5</v>
      </c>
      <c r="HF631" s="19">
        <v>65.5</v>
      </c>
      <c r="HG631" s="19">
        <v>64.5</v>
      </c>
      <c r="HH631" s="19">
        <v>63.5</v>
      </c>
      <c r="HI631" s="19">
        <v>62.5</v>
      </c>
      <c r="HJ631" s="19">
        <v>61.5</v>
      </c>
      <c r="HK631" s="19">
        <v>60.5</v>
      </c>
      <c r="HL631" s="19">
        <v>59.5</v>
      </c>
      <c r="HM631" s="19">
        <v>58.5</v>
      </c>
      <c r="HN631" s="19">
        <v>57.5</v>
      </c>
      <c r="HO631" s="19">
        <v>56.5</v>
      </c>
      <c r="HP631" s="19">
        <v>55.5</v>
      </c>
      <c r="HQ631" s="19">
        <v>54.5</v>
      </c>
      <c r="HR631" s="19">
        <v>53.5</v>
      </c>
      <c r="HS631" s="19">
        <v>52.5</v>
      </c>
      <c r="HT631" s="19">
        <v>51.5</v>
      </c>
      <c r="HU631" s="19">
        <v>50.5</v>
      </c>
      <c r="HV631" s="19">
        <v>49.5</v>
      </c>
      <c r="HW631" s="19">
        <v>48.5</v>
      </c>
      <c r="HX631" s="19">
        <v>47.5</v>
      </c>
      <c r="HY631" s="19">
        <v>46.5</v>
      </c>
      <c r="HZ631" s="19">
        <v>45.5</v>
      </c>
      <c r="IA631" s="19">
        <v>44.5</v>
      </c>
      <c r="IB631" s="19">
        <v>43.5</v>
      </c>
    </row>
    <row r="632">
      <c r="A632" s="2" t="s">
        <v>3501</v>
      </c>
      <c r="B632" s="2" t="s">
        <v>3409</v>
      </c>
      <c r="C632" s="2" t="s">
        <v>762</v>
      </c>
      <c r="D632" s="2" t="s">
        <v>3410</v>
      </c>
      <c r="E632" s="2" t="s">
        <v>3411</v>
      </c>
      <c r="F632" s="2" t="s">
        <v>3471</v>
      </c>
      <c r="G632" s="2" t="s">
        <v>3471</v>
      </c>
      <c r="H632" s="2" t="s">
        <v>3471</v>
      </c>
      <c r="I632" s="2" t="s">
        <v>3484</v>
      </c>
      <c r="J632" s="2" t="s">
        <v>3473</v>
      </c>
      <c r="K632" s="2" t="s">
        <v>3502</v>
      </c>
      <c r="L632" s="3">
        <v>20</v>
      </c>
      <c r="M632" s="3">
        <v>21</v>
      </c>
      <c r="N632" s="3">
        <v>41.99</v>
      </c>
      <c r="O632" s="2" t="s">
        <v>230</v>
      </c>
      <c r="P632" s="2" t="s">
        <v>597</v>
      </c>
      <c r="Q632" s="2" t="s">
        <v>232</v>
      </c>
      <c r="R632" s="2" t="s">
        <v>233</v>
      </c>
      <c r="S632" s="2" t="s">
        <v>233</v>
      </c>
      <c r="T632" s="2" t="s">
        <v>233</v>
      </c>
      <c r="U632" s="2" t="s">
        <v>329</v>
      </c>
      <c r="V632" s="2" t="s">
        <v>609</v>
      </c>
      <c r="W632" s="2" t="s">
        <v>233</v>
      </c>
      <c r="X632" s="2" t="s">
        <v>233</v>
      </c>
      <c r="Y632" s="2" t="s">
        <v>3486</v>
      </c>
      <c r="Z632" s="4">
        <v>174</v>
      </c>
      <c r="AA632" s="4">
        <f>=ROUNDDOWN(174,0)</f>
      </c>
      <c r="AB632" s="5">
        <v>1</v>
      </c>
      <c r="AC632" s="2" t="s">
        <v>233</v>
      </c>
      <c r="AD632" s="4"/>
      <c r="AE632" s="4"/>
      <c r="AF632" s="6"/>
      <c r="AG632" s="6">
        <v>73</v>
      </c>
      <c r="AH632" s="7">
        <v>1</v>
      </c>
      <c r="AI632" s="4"/>
      <c r="AJ632" s="4">
        <f>=ROUNDDOWN({0},0)</f>
      </c>
      <c r="AK632" s="5"/>
      <c r="AL632" s="2" t="s">
        <v>233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233</v>
      </c>
      <c r="AW632" s="8" t="s">
        <v>233</v>
      </c>
      <c r="AX632" s="4" t="s">
        <v>233</v>
      </c>
      <c r="AY632" s="8" t="s">
        <v>233</v>
      </c>
      <c r="AZ632" s="7" t="s">
        <v>233</v>
      </c>
      <c r="BA632" s="7" t="s">
        <v>233</v>
      </c>
      <c r="BB632" s="7"/>
      <c r="BC632" s="4" t="s">
        <v>233</v>
      </c>
      <c r="BD632" s="8" t="s">
        <v>233</v>
      </c>
      <c r="BE632" s="4" t="s">
        <v>233</v>
      </c>
      <c r="BF632" s="8" t="s">
        <v>233</v>
      </c>
      <c r="BG632" s="7" t="s">
        <v>233</v>
      </c>
      <c r="BH632" s="7" t="s">
        <v>233</v>
      </c>
      <c r="BI632" s="7"/>
      <c r="BJ632" s="4">
        <v>1</v>
      </c>
      <c r="BK632" s="8">
        <v>25.2</v>
      </c>
      <c r="BL632" s="2" t="s">
        <v>835</v>
      </c>
      <c r="BM632" s="7"/>
      <c r="BN632" s="7"/>
      <c r="BO632" s="4"/>
      <c r="BP632" s="8"/>
      <c r="BQ632" s="4"/>
      <c r="BR632" s="8"/>
      <c r="BS632" s="7"/>
      <c r="BT632" s="7"/>
      <c r="BU632" s="2" t="s">
        <v>3476</v>
      </c>
      <c r="BV632" s="2" t="s">
        <v>233</v>
      </c>
      <c r="BW632" s="2" t="s">
        <v>233</v>
      </c>
      <c r="BX632" s="2" t="s">
        <v>241</v>
      </c>
      <c r="BY632" s="2" t="s">
        <v>242</v>
      </c>
      <c r="BZ632" s="2" t="s">
        <v>230</v>
      </c>
      <c r="CA632" s="2" t="s">
        <v>2692</v>
      </c>
      <c r="CB632" s="2" t="s">
        <v>233</v>
      </c>
      <c r="CC632" s="2" t="s">
        <v>245</v>
      </c>
      <c r="CD632" s="2" t="s">
        <v>233</v>
      </c>
      <c r="CE632" s="4"/>
      <c r="CF632" s="4"/>
      <c r="CG632" s="4"/>
      <c r="CH632" s="4">
        <v>174</v>
      </c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>
        <v>174</v>
      </c>
      <c r="GD632" s="4">
        <v>173</v>
      </c>
      <c r="GE632" s="4">
        <v>172</v>
      </c>
      <c r="GF632" s="4">
        <v>171</v>
      </c>
      <c r="GG632" s="4">
        <v>170</v>
      </c>
      <c r="GH632" s="4">
        <v>169</v>
      </c>
      <c r="GI632" s="4">
        <v>168</v>
      </c>
      <c r="GJ632" s="4">
        <v>167</v>
      </c>
      <c r="GK632" s="4">
        <v>166</v>
      </c>
      <c r="GL632" s="4">
        <v>165</v>
      </c>
      <c r="GM632" s="4">
        <v>164</v>
      </c>
      <c r="GN632" s="4">
        <v>163</v>
      </c>
      <c r="GO632" s="4">
        <v>162</v>
      </c>
      <c r="GP632" s="4">
        <v>161</v>
      </c>
      <c r="GQ632" s="4">
        <v>160</v>
      </c>
      <c r="GR632" s="4">
        <v>159</v>
      </c>
      <c r="GS632" s="4">
        <v>158</v>
      </c>
      <c r="GT632" s="4">
        <v>157</v>
      </c>
      <c r="GU632" s="4">
        <v>156</v>
      </c>
      <c r="GV632" s="4">
        <v>155</v>
      </c>
      <c r="GW632" s="4">
        <v>154</v>
      </c>
      <c r="GX632" s="4">
        <v>153</v>
      </c>
      <c r="GY632" s="4">
        <v>152</v>
      </c>
      <c r="GZ632" s="4">
        <v>151</v>
      </c>
      <c r="HA632" s="4">
        <v>150</v>
      </c>
      <c r="HB632" s="4">
        <v>149</v>
      </c>
      <c r="HC632" s="19">
        <v>174</v>
      </c>
      <c r="HD632" s="19">
        <v>173</v>
      </c>
      <c r="HE632" s="19">
        <v>172</v>
      </c>
      <c r="HF632" s="19">
        <v>171</v>
      </c>
      <c r="HG632" s="19">
        <v>170</v>
      </c>
      <c r="HH632" s="19">
        <v>169</v>
      </c>
      <c r="HI632" s="19">
        <v>168</v>
      </c>
      <c r="HJ632" s="19">
        <v>167</v>
      </c>
      <c r="HK632" s="19">
        <v>166</v>
      </c>
      <c r="HL632" s="19">
        <v>165</v>
      </c>
      <c r="HM632" s="19">
        <v>164</v>
      </c>
      <c r="HN632" s="19">
        <v>163</v>
      </c>
      <c r="HO632" s="19">
        <v>162</v>
      </c>
      <c r="HP632" s="19">
        <v>161</v>
      </c>
      <c r="HQ632" s="19">
        <v>160</v>
      </c>
      <c r="HR632" s="19">
        <v>159</v>
      </c>
      <c r="HS632" s="19">
        <v>158</v>
      </c>
      <c r="HT632" s="19">
        <v>157</v>
      </c>
      <c r="HU632" s="19">
        <v>156</v>
      </c>
      <c r="HV632" s="19">
        <v>155</v>
      </c>
      <c r="HW632" s="19">
        <v>154</v>
      </c>
      <c r="HX632" s="19">
        <v>153</v>
      </c>
      <c r="HY632" s="19">
        <v>152</v>
      </c>
      <c r="HZ632" s="19">
        <v>151</v>
      </c>
      <c r="IA632" s="19">
        <v>150</v>
      </c>
      <c r="IB632" s="19">
        <v>149</v>
      </c>
    </row>
    <row r="633">
      <c r="A633" s="2" t="s">
        <v>3503</v>
      </c>
      <c r="B633" s="2" t="s">
        <v>3409</v>
      </c>
      <c r="C633" s="2" t="s">
        <v>762</v>
      </c>
      <c r="D633" s="2" t="s">
        <v>3410</v>
      </c>
      <c r="E633" s="2" t="s">
        <v>3411</v>
      </c>
      <c r="F633" s="2" t="s">
        <v>3471</v>
      </c>
      <c r="G633" s="2" t="s">
        <v>3471</v>
      </c>
      <c r="H633" s="2" t="s">
        <v>3471</v>
      </c>
      <c r="I633" s="2" t="s">
        <v>3484</v>
      </c>
      <c r="J633" s="2" t="s">
        <v>3482</v>
      </c>
      <c r="K633" s="2" t="s">
        <v>3502</v>
      </c>
      <c r="L633" s="3">
        <v>20</v>
      </c>
      <c r="M633" s="3">
        <v>21</v>
      </c>
      <c r="N633" s="3">
        <v>41.99</v>
      </c>
      <c r="O633" s="2" t="s">
        <v>230</v>
      </c>
      <c r="P633" s="2" t="s">
        <v>597</v>
      </c>
      <c r="Q633" s="2" t="s">
        <v>232</v>
      </c>
      <c r="R633" s="2" t="s">
        <v>233</v>
      </c>
      <c r="S633" s="2" t="s">
        <v>233</v>
      </c>
      <c r="T633" s="2" t="s">
        <v>233</v>
      </c>
      <c r="U633" s="2" t="s">
        <v>329</v>
      </c>
      <c r="V633" s="2" t="s">
        <v>609</v>
      </c>
      <c r="W633" s="2" t="s">
        <v>233</v>
      </c>
      <c r="X633" s="2" t="s">
        <v>233</v>
      </c>
      <c r="Y633" s="2" t="s">
        <v>3486</v>
      </c>
      <c r="Z633" s="4">
        <v>104</v>
      </c>
      <c r="AA633" s="4">
        <f>=ROUNDDOWN(34.6666666666667,0)</f>
      </c>
      <c r="AB633" s="5">
        <v>3</v>
      </c>
      <c r="AC633" s="2" t="s">
        <v>233</v>
      </c>
      <c r="AD633" s="4"/>
      <c r="AE633" s="4"/>
      <c r="AF633" s="6"/>
      <c r="AG633" s="6">
        <v>73</v>
      </c>
      <c r="AH633" s="7">
        <v>1</v>
      </c>
      <c r="AI633" s="4"/>
      <c r="AJ633" s="4">
        <f>=ROUNDDOWN({0},0)</f>
      </c>
      <c r="AK633" s="5"/>
      <c r="AL633" s="2" t="s">
        <v>233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233</v>
      </c>
      <c r="AW633" s="8" t="s">
        <v>233</v>
      </c>
      <c r="AX633" s="4" t="s">
        <v>233</v>
      </c>
      <c r="AY633" s="8" t="s">
        <v>233</v>
      </c>
      <c r="AZ633" s="7" t="s">
        <v>233</v>
      </c>
      <c r="BA633" s="7" t="s">
        <v>233</v>
      </c>
      <c r="BB633" s="7"/>
      <c r="BC633" s="4" t="s">
        <v>233</v>
      </c>
      <c r="BD633" s="8" t="s">
        <v>233</v>
      </c>
      <c r="BE633" s="4" t="s">
        <v>233</v>
      </c>
      <c r="BF633" s="8" t="s">
        <v>233</v>
      </c>
      <c r="BG633" s="7" t="s">
        <v>233</v>
      </c>
      <c r="BH633" s="7" t="s">
        <v>233</v>
      </c>
      <c r="BI633" s="7"/>
      <c r="BJ633" s="4">
        <v>13</v>
      </c>
      <c r="BK633" s="8">
        <v>326.55</v>
      </c>
      <c r="BL633" s="2" t="s">
        <v>3416</v>
      </c>
      <c r="BM633" s="7"/>
      <c r="BN633" s="7"/>
      <c r="BO633" s="4"/>
      <c r="BP633" s="8"/>
      <c r="BQ633" s="4"/>
      <c r="BR633" s="8"/>
      <c r="BS633" s="7"/>
      <c r="BT633" s="7"/>
      <c r="BU633" s="2" t="s">
        <v>3476</v>
      </c>
      <c r="BV633" s="2" t="s">
        <v>233</v>
      </c>
      <c r="BW633" s="2" t="s">
        <v>233</v>
      </c>
      <c r="BX633" s="2" t="s">
        <v>241</v>
      </c>
      <c r="BY633" s="2" t="s">
        <v>242</v>
      </c>
      <c r="BZ633" s="2" t="s">
        <v>230</v>
      </c>
      <c r="CA633" s="2" t="s">
        <v>2692</v>
      </c>
      <c r="CB633" s="2" t="s">
        <v>233</v>
      </c>
      <c r="CC633" s="2" t="s">
        <v>245</v>
      </c>
      <c r="CD633" s="2" t="s">
        <v>233</v>
      </c>
      <c r="CE633" s="4"/>
      <c r="CF633" s="4"/>
      <c r="CG633" s="4"/>
      <c r="CH633" s="4">
        <v>104</v>
      </c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>
        <v>105</v>
      </c>
      <c r="GD633" s="4">
        <v>94</v>
      </c>
      <c r="GE633" s="4">
        <v>91</v>
      </c>
      <c r="GF633" s="4">
        <v>88</v>
      </c>
      <c r="GG633" s="4">
        <v>85</v>
      </c>
      <c r="GH633" s="4">
        <v>82</v>
      </c>
      <c r="GI633" s="4">
        <v>79</v>
      </c>
      <c r="GJ633" s="4">
        <v>76</v>
      </c>
      <c r="GK633" s="4">
        <v>73</v>
      </c>
      <c r="GL633" s="4">
        <v>70</v>
      </c>
      <c r="GM633" s="4">
        <v>67</v>
      </c>
      <c r="GN633" s="4">
        <v>64</v>
      </c>
      <c r="GO633" s="4">
        <v>61</v>
      </c>
      <c r="GP633" s="4">
        <v>58</v>
      </c>
      <c r="GQ633" s="4">
        <v>55</v>
      </c>
      <c r="GR633" s="4">
        <v>52</v>
      </c>
      <c r="GS633" s="4">
        <v>49</v>
      </c>
      <c r="GT633" s="4">
        <v>46</v>
      </c>
      <c r="GU633" s="4">
        <v>43</v>
      </c>
      <c r="GV633" s="4">
        <v>40</v>
      </c>
      <c r="GW633" s="4">
        <v>37</v>
      </c>
      <c r="GX633" s="4">
        <v>34</v>
      </c>
      <c r="GY633" s="4">
        <v>31</v>
      </c>
      <c r="GZ633" s="4">
        <v>28</v>
      </c>
      <c r="HA633" s="4">
        <v>25</v>
      </c>
      <c r="HB633" s="4">
        <v>22</v>
      </c>
      <c r="HC633" s="19">
        <v>21</v>
      </c>
      <c r="HD633" s="19">
        <v>31.3</v>
      </c>
      <c r="HE633" s="19">
        <v>30.3</v>
      </c>
      <c r="HF633" s="19">
        <v>29.3</v>
      </c>
      <c r="HG633" s="19">
        <v>28.3</v>
      </c>
      <c r="HH633" s="19">
        <v>27.3</v>
      </c>
      <c r="HI633" s="19">
        <v>26.3</v>
      </c>
      <c r="HJ633" s="19">
        <v>25.3</v>
      </c>
      <c r="HK633" s="19">
        <v>24.3</v>
      </c>
      <c r="HL633" s="19">
        <v>23.3</v>
      </c>
      <c r="HM633" s="19">
        <v>22.3</v>
      </c>
      <c r="HN633" s="19">
        <v>21.3</v>
      </c>
      <c r="HO633" s="19">
        <v>20.3</v>
      </c>
      <c r="HP633" s="19">
        <v>19.3</v>
      </c>
      <c r="HQ633" s="19">
        <v>18.3</v>
      </c>
      <c r="HR633" s="19">
        <v>17.3</v>
      </c>
      <c r="HS633" s="19">
        <v>16.3</v>
      </c>
      <c r="HT633" s="19">
        <v>15.3</v>
      </c>
      <c r="HU633" s="19">
        <v>14.3</v>
      </c>
      <c r="HV633" s="19">
        <v>13.3</v>
      </c>
      <c r="HW633" s="19">
        <v>12.3</v>
      </c>
      <c r="HX633" s="19">
        <v>11.3</v>
      </c>
      <c r="HY633" s="19">
        <v>10.3</v>
      </c>
      <c r="HZ633" s="19">
        <v>9.3</v>
      </c>
      <c r="IA633" s="19">
        <v>8.3</v>
      </c>
      <c r="IB633" s="19">
        <v>7.3</v>
      </c>
    </row>
    <row r="634">
      <c r="A634" s="2" t="s">
        <v>3504</v>
      </c>
      <c r="B634" s="2" t="s">
        <v>938</v>
      </c>
      <c r="C634" s="2" t="s">
        <v>280</v>
      </c>
      <c r="D634" s="2" t="s">
        <v>972</v>
      </c>
      <c r="E634" s="2" t="s">
        <v>3505</v>
      </c>
      <c r="F634" s="2" t="s">
        <v>3506</v>
      </c>
      <c r="G634" s="2" t="s">
        <v>3507</v>
      </c>
      <c r="H634" s="2" t="s">
        <v>3508</v>
      </c>
      <c r="I634" s="2" t="s">
        <v>3509</v>
      </c>
      <c r="J634" s="2" t="s">
        <v>3510</v>
      </c>
      <c r="K634" s="2" t="s">
        <v>300</v>
      </c>
      <c r="L634" s="3">
        <v>16.1</v>
      </c>
      <c r="M634" s="3">
        <v>16.9</v>
      </c>
      <c r="N634" s="3">
        <v>34.99</v>
      </c>
      <c r="O634" s="2" t="s">
        <v>230</v>
      </c>
      <c r="P634" s="2" t="s">
        <v>231</v>
      </c>
      <c r="Q634" s="2" t="s">
        <v>232</v>
      </c>
      <c r="R634" s="2" t="s">
        <v>233</v>
      </c>
      <c r="S634" s="2" t="s">
        <v>3511</v>
      </c>
      <c r="T634" s="2" t="s">
        <v>233</v>
      </c>
      <c r="U634" s="2" t="s">
        <v>233</v>
      </c>
      <c r="V634" s="2" t="s">
        <v>782</v>
      </c>
      <c r="W634" s="2" t="s">
        <v>712</v>
      </c>
      <c r="X634" s="2" t="s">
        <v>233</v>
      </c>
      <c r="Y634" s="2" t="s">
        <v>3512</v>
      </c>
      <c r="Z634" s="4">
        <v>125</v>
      </c>
      <c r="AA634" s="4">
        <f>=ROUNDDOWN(25,0)</f>
      </c>
      <c r="AB634" s="5">
        <v>5</v>
      </c>
      <c r="AC634" s="2" t="s">
        <v>134</v>
      </c>
      <c r="AD634" s="4">
        <v>60</v>
      </c>
      <c r="AE634" s="4">
        <v>60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233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233</v>
      </c>
      <c r="BD634" s="8" t="s">
        <v>233</v>
      </c>
      <c r="BE634" s="4" t="s">
        <v>233</v>
      </c>
      <c r="BF634" s="8" t="s">
        <v>233</v>
      </c>
      <c r="BG634" s="7" t="s">
        <v>233</v>
      </c>
      <c r="BH634" s="7" t="s">
        <v>233</v>
      </c>
      <c r="BI634" s="7"/>
      <c r="BJ634" s="4">
        <v>3</v>
      </c>
      <c r="BK634" s="8">
        <v>50.41</v>
      </c>
      <c r="BL634" s="2" t="s">
        <v>3513</v>
      </c>
      <c r="BM634" s="7"/>
      <c r="BN634" s="7"/>
      <c r="BO634" s="4"/>
      <c r="BP634" s="8"/>
      <c r="BQ634" s="4"/>
      <c r="BR634" s="8"/>
      <c r="BS634" s="7"/>
      <c r="BT634" s="7"/>
      <c r="BU634" s="2" t="s">
        <v>3514</v>
      </c>
      <c r="BV634" s="2" t="s">
        <v>233</v>
      </c>
      <c r="BW634" s="2" t="s">
        <v>233</v>
      </c>
      <c r="BX634" s="2" t="s">
        <v>241</v>
      </c>
      <c r="BY634" s="2" t="s">
        <v>242</v>
      </c>
      <c r="BZ634" s="2" t="s">
        <v>230</v>
      </c>
      <c r="CA634" s="2" t="s">
        <v>3515</v>
      </c>
      <c r="CB634" s="2" t="s">
        <v>3516</v>
      </c>
      <c r="CC634" s="2" t="s">
        <v>245</v>
      </c>
      <c r="CD634" s="2" t="s">
        <v>233</v>
      </c>
      <c r="CE634" s="4">
        <v>125</v>
      </c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>
        <v>60</v>
      </c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>
        <v>125</v>
      </c>
      <c r="GD634" s="4">
        <v>181</v>
      </c>
      <c r="GE634" s="4">
        <v>176</v>
      </c>
      <c r="GF634" s="4">
        <v>172</v>
      </c>
      <c r="GG634" s="4">
        <v>165</v>
      </c>
      <c r="GH634" s="4">
        <v>159</v>
      </c>
      <c r="GI634" s="4">
        <v>153</v>
      </c>
      <c r="GJ634" s="4">
        <v>149</v>
      </c>
      <c r="GK634" s="4">
        <v>145</v>
      </c>
      <c r="GL634" s="4">
        <v>141</v>
      </c>
      <c r="GM634" s="4">
        <v>137</v>
      </c>
      <c r="GN634" s="4">
        <v>133</v>
      </c>
      <c r="GO634" s="4">
        <v>129</v>
      </c>
      <c r="GP634" s="4">
        <v>125</v>
      </c>
      <c r="GQ634" s="4">
        <v>121</v>
      </c>
      <c r="GR634" s="4">
        <v>116</v>
      </c>
      <c r="GS634" s="4">
        <v>111</v>
      </c>
      <c r="GT634" s="4">
        <v>105</v>
      </c>
      <c r="GU634" s="4">
        <v>100</v>
      </c>
      <c r="GV634" s="4">
        <v>95</v>
      </c>
      <c r="GW634" s="4">
        <v>90</v>
      </c>
      <c r="GX634" s="4">
        <v>85</v>
      </c>
      <c r="GY634" s="4">
        <v>80</v>
      </c>
      <c r="GZ634" s="4">
        <v>75</v>
      </c>
      <c r="HA634" s="4">
        <v>70</v>
      </c>
      <c r="HB634" s="4">
        <v>65</v>
      </c>
      <c r="HC634" s="19">
        <v>25</v>
      </c>
      <c r="HD634" s="19">
        <v>30.2</v>
      </c>
      <c r="HE634" s="19">
        <v>29.3</v>
      </c>
      <c r="HF634" s="19">
        <v>28.7</v>
      </c>
      <c r="HG634" s="19">
        <v>33</v>
      </c>
      <c r="HH634" s="19">
        <v>39.8</v>
      </c>
      <c r="HI634" s="19">
        <v>38.3</v>
      </c>
      <c r="HJ634" s="19">
        <v>37.3</v>
      </c>
      <c r="HK634" s="19">
        <v>36.3</v>
      </c>
      <c r="HL634" s="19">
        <v>35.3</v>
      </c>
      <c r="HM634" s="19">
        <v>34.3</v>
      </c>
      <c r="HN634" s="19">
        <v>33.3</v>
      </c>
      <c r="HO634" s="19">
        <v>32.3</v>
      </c>
      <c r="HP634" s="19">
        <v>25</v>
      </c>
      <c r="HQ634" s="19">
        <v>24.2</v>
      </c>
      <c r="HR634" s="19">
        <v>23.2</v>
      </c>
      <c r="HS634" s="19">
        <v>22.2</v>
      </c>
      <c r="HT634" s="19">
        <v>21</v>
      </c>
      <c r="HU634" s="19">
        <v>20</v>
      </c>
      <c r="HV634" s="19">
        <v>19</v>
      </c>
      <c r="HW634" s="19">
        <v>18</v>
      </c>
      <c r="HX634" s="19">
        <v>17</v>
      </c>
      <c r="HY634" s="19">
        <v>16</v>
      </c>
      <c r="HZ634" s="19">
        <v>15</v>
      </c>
      <c r="IA634" s="19">
        <v>14</v>
      </c>
      <c r="IB634" s="19">
        <v>13</v>
      </c>
    </row>
    <row r="635">
      <c r="A635" s="2" t="s">
        <v>3517</v>
      </c>
      <c r="B635" s="2" t="s">
        <v>938</v>
      </c>
      <c r="C635" s="2" t="s">
        <v>280</v>
      </c>
      <c r="D635" s="2" t="s">
        <v>972</v>
      </c>
      <c r="E635" s="2" t="s">
        <v>1221</v>
      </c>
      <c r="F635" s="2" t="s">
        <v>3506</v>
      </c>
      <c r="G635" s="2" t="s">
        <v>3507</v>
      </c>
      <c r="H635" s="2" t="s">
        <v>3508</v>
      </c>
      <c r="I635" s="2" t="s">
        <v>3518</v>
      </c>
      <c r="J635" s="2" t="s">
        <v>978</v>
      </c>
      <c r="K635" s="2" t="s">
        <v>452</v>
      </c>
      <c r="L635" s="3">
        <v>14.1</v>
      </c>
      <c r="M635" s="3">
        <v>14.8</v>
      </c>
      <c r="N635" s="3">
        <v>29.99</v>
      </c>
      <c r="O635" s="2" t="s">
        <v>230</v>
      </c>
      <c r="P635" s="2" t="s">
        <v>231</v>
      </c>
      <c r="Q635" s="2" t="s">
        <v>232</v>
      </c>
      <c r="R635" s="2" t="s">
        <v>233</v>
      </c>
      <c r="S635" s="2" t="s">
        <v>3519</v>
      </c>
      <c r="T635" s="2" t="s">
        <v>233</v>
      </c>
      <c r="U635" s="2" t="s">
        <v>233</v>
      </c>
      <c r="V635" s="2" t="s">
        <v>782</v>
      </c>
      <c r="W635" s="2" t="s">
        <v>712</v>
      </c>
      <c r="X635" s="2" t="s">
        <v>1221</v>
      </c>
      <c r="Y635" s="2" t="s">
        <v>238</v>
      </c>
      <c r="Z635" s="4">
        <v>237</v>
      </c>
      <c r="AA635" s="4">
        <f>=ROUNDDOWN(26.3333333333333,0)</f>
      </c>
      <c r="AB635" s="5">
        <v>9</v>
      </c>
      <c r="AC635" s="2" t="s">
        <v>179</v>
      </c>
      <c r="AD635" s="4">
        <v>148</v>
      </c>
      <c r="AE635" s="4">
        <v>288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233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233</v>
      </c>
      <c r="AW635" s="8" t="s">
        <v>233</v>
      </c>
      <c r="AX635" s="4" t="s">
        <v>233</v>
      </c>
      <c r="AY635" s="8" t="s">
        <v>233</v>
      </c>
      <c r="AZ635" s="7" t="s">
        <v>233</v>
      </c>
      <c r="BA635" s="7" t="s">
        <v>233</v>
      </c>
      <c r="BB635" s="7"/>
      <c r="BC635" s="4" t="s">
        <v>233</v>
      </c>
      <c r="BD635" s="8" t="s">
        <v>233</v>
      </c>
      <c r="BE635" s="4" t="s">
        <v>233</v>
      </c>
      <c r="BF635" s="8" t="s">
        <v>233</v>
      </c>
      <c r="BG635" s="7" t="s">
        <v>233</v>
      </c>
      <c r="BH635" s="7" t="s">
        <v>233</v>
      </c>
      <c r="BI635" s="7"/>
      <c r="BJ635" s="4">
        <v>4</v>
      </c>
      <c r="BK635" s="8">
        <v>60.46</v>
      </c>
      <c r="BL635" s="2" t="s">
        <v>3520</v>
      </c>
      <c r="BM635" s="7"/>
      <c r="BN635" s="7"/>
      <c r="BO635" s="4"/>
      <c r="BP635" s="8"/>
      <c r="BQ635" s="4"/>
      <c r="BR635" s="8"/>
      <c r="BS635" s="7"/>
      <c r="BT635" s="7"/>
      <c r="BU635" s="2" t="s">
        <v>3521</v>
      </c>
      <c r="BV635" s="2" t="s">
        <v>233</v>
      </c>
      <c r="BW635" s="2" t="s">
        <v>233</v>
      </c>
      <c r="BX635" s="2" t="s">
        <v>241</v>
      </c>
      <c r="BY635" s="2" t="s">
        <v>242</v>
      </c>
      <c r="BZ635" s="2" t="s">
        <v>230</v>
      </c>
      <c r="CA635" s="2" t="s">
        <v>243</v>
      </c>
      <c r="CB635" s="2" t="s">
        <v>2769</v>
      </c>
      <c r="CC635" s="2" t="s">
        <v>245</v>
      </c>
      <c r="CD635" s="2" t="s">
        <v>233</v>
      </c>
      <c r="CE635" s="4">
        <v>237</v>
      </c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>
        <v>148</v>
      </c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>
        <v>140</v>
      </c>
      <c r="FV635" s="4"/>
      <c r="FW635" s="4"/>
      <c r="FX635" s="4"/>
      <c r="FY635" s="4"/>
      <c r="FZ635" s="4"/>
      <c r="GA635" s="4"/>
      <c r="GB635" s="4"/>
      <c r="GC635" s="4">
        <v>237</v>
      </c>
      <c r="GD635" s="4">
        <v>228</v>
      </c>
      <c r="GE635" s="4">
        <v>217</v>
      </c>
      <c r="GF635" s="4">
        <v>208</v>
      </c>
      <c r="GG635" s="4">
        <v>196</v>
      </c>
      <c r="GH635" s="4">
        <v>187</v>
      </c>
      <c r="GI635" s="4">
        <v>175</v>
      </c>
      <c r="GJ635" s="4">
        <v>168</v>
      </c>
      <c r="GK635" s="4">
        <v>160</v>
      </c>
      <c r="GL635" s="4">
        <v>301</v>
      </c>
      <c r="GM635" s="4">
        <v>294</v>
      </c>
      <c r="GN635" s="4">
        <v>286</v>
      </c>
      <c r="GO635" s="4">
        <v>277</v>
      </c>
      <c r="GP635" s="4">
        <v>268</v>
      </c>
      <c r="GQ635" s="4">
        <v>259</v>
      </c>
      <c r="GR635" s="4">
        <v>250</v>
      </c>
      <c r="GS635" s="4">
        <v>241</v>
      </c>
      <c r="GT635" s="4">
        <v>371</v>
      </c>
      <c r="GU635" s="4">
        <v>362</v>
      </c>
      <c r="GV635" s="4">
        <v>353</v>
      </c>
      <c r="GW635" s="4">
        <v>344</v>
      </c>
      <c r="GX635" s="4">
        <v>335</v>
      </c>
      <c r="GY635" s="4">
        <v>326</v>
      </c>
      <c r="GZ635" s="4">
        <v>317</v>
      </c>
      <c r="HA635" s="4">
        <v>308</v>
      </c>
      <c r="HB635" s="4">
        <v>299</v>
      </c>
      <c r="HC635" s="19">
        <v>23.7</v>
      </c>
      <c r="HD635" s="19">
        <v>22.8</v>
      </c>
      <c r="HE635" s="19">
        <v>21.7</v>
      </c>
      <c r="HF635" s="19">
        <v>20.8</v>
      </c>
      <c r="HG635" s="19">
        <v>21.8</v>
      </c>
      <c r="HH635" s="19">
        <v>23.4</v>
      </c>
      <c r="HI635" s="19">
        <v>25</v>
      </c>
      <c r="HJ635" s="19">
        <v>21</v>
      </c>
      <c r="HK635" s="19">
        <v>20</v>
      </c>
      <c r="HL635" s="19">
        <v>37.6</v>
      </c>
      <c r="HM635" s="19">
        <v>32.7</v>
      </c>
      <c r="HN635" s="19">
        <v>31.8</v>
      </c>
      <c r="HO635" s="19">
        <v>30.8</v>
      </c>
      <c r="HP635" s="19">
        <v>29.8</v>
      </c>
      <c r="HQ635" s="19">
        <v>28.8</v>
      </c>
      <c r="HR635" s="19">
        <v>27.8</v>
      </c>
      <c r="HS635" s="19">
        <v>26.8</v>
      </c>
      <c r="HT635" s="19">
        <v>41.2</v>
      </c>
      <c r="HU635" s="19">
        <v>40.2</v>
      </c>
      <c r="HV635" s="19">
        <v>39.2</v>
      </c>
      <c r="HW635" s="19">
        <v>38.2</v>
      </c>
      <c r="HX635" s="19">
        <v>37.2</v>
      </c>
      <c r="HY635" s="19">
        <v>36.2</v>
      </c>
      <c r="HZ635" s="19">
        <v>35.2</v>
      </c>
      <c r="IA635" s="19">
        <v>34.2</v>
      </c>
      <c r="IB635" s="19">
        <v>33.2</v>
      </c>
    </row>
    <row r="636">
      <c r="A636" s="2" t="s">
        <v>3522</v>
      </c>
      <c r="B636" s="2" t="s">
        <v>938</v>
      </c>
      <c r="C636" s="2" t="s">
        <v>280</v>
      </c>
      <c r="D636" s="2" t="s">
        <v>972</v>
      </c>
      <c r="E636" s="2" t="s">
        <v>1221</v>
      </c>
      <c r="F636" s="2" t="s">
        <v>3506</v>
      </c>
      <c r="G636" s="2" t="s">
        <v>3507</v>
      </c>
      <c r="H636" s="2" t="s">
        <v>3508</v>
      </c>
      <c r="I636" s="2" t="s">
        <v>3518</v>
      </c>
      <c r="J636" s="2" t="s">
        <v>1004</v>
      </c>
      <c r="K636" s="2" t="s">
        <v>452</v>
      </c>
      <c r="L636" s="3">
        <v>16.45</v>
      </c>
      <c r="M636" s="3">
        <v>17.27</v>
      </c>
      <c r="N636" s="3">
        <v>34.99</v>
      </c>
      <c r="O636" s="2" t="s">
        <v>230</v>
      </c>
      <c r="P636" s="2" t="s">
        <v>231</v>
      </c>
      <c r="Q636" s="2" t="s">
        <v>232</v>
      </c>
      <c r="R636" s="2" t="s">
        <v>233</v>
      </c>
      <c r="S636" s="2" t="s">
        <v>3519</v>
      </c>
      <c r="T636" s="2" t="s">
        <v>233</v>
      </c>
      <c r="U636" s="2" t="s">
        <v>233</v>
      </c>
      <c r="V636" s="2" t="s">
        <v>782</v>
      </c>
      <c r="W636" s="2" t="s">
        <v>712</v>
      </c>
      <c r="X636" s="2" t="s">
        <v>1221</v>
      </c>
      <c r="Y636" s="2" t="s">
        <v>238</v>
      </c>
      <c r="Z636" s="4">
        <v>159</v>
      </c>
      <c r="AA636" s="4">
        <f>=ROUNDDOWN(31.8,0)</f>
      </c>
      <c r="AB636" s="5">
        <v>5</v>
      </c>
      <c r="AC636" s="2" t="s">
        <v>233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233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233</v>
      </c>
      <c r="AW636" s="8" t="s">
        <v>233</v>
      </c>
      <c r="AX636" s="4" t="s">
        <v>233</v>
      </c>
      <c r="AY636" s="8" t="s">
        <v>233</v>
      </c>
      <c r="AZ636" s="7" t="s">
        <v>233</v>
      </c>
      <c r="BA636" s="7" t="s">
        <v>233</v>
      </c>
      <c r="BB636" s="7"/>
      <c r="BC636" s="4" t="s">
        <v>233</v>
      </c>
      <c r="BD636" s="8" t="s">
        <v>233</v>
      </c>
      <c r="BE636" s="4" t="s">
        <v>233</v>
      </c>
      <c r="BF636" s="8" t="s">
        <v>233</v>
      </c>
      <c r="BG636" s="7" t="s">
        <v>233</v>
      </c>
      <c r="BH636" s="7" t="s">
        <v>233</v>
      </c>
      <c r="BI636" s="7"/>
      <c r="BJ636" s="4">
        <v>4</v>
      </c>
      <c r="BK636" s="8">
        <v>60.92</v>
      </c>
      <c r="BL636" s="2" t="s">
        <v>351</v>
      </c>
      <c r="BM636" s="7"/>
      <c r="BN636" s="7"/>
      <c r="BO636" s="4"/>
      <c r="BP636" s="8"/>
      <c r="BQ636" s="4"/>
      <c r="BR636" s="8"/>
      <c r="BS636" s="7"/>
      <c r="BT636" s="7"/>
      <c r="BU636" s="2" t="s">
        <v>3521</v>
      </c>
      <c r="BV636" s="2" t="s">
        <v>233</v>
      </c>
      <c r="BW636" s="2" t="s">
        <v>233</v>
      </c>
      <c r="BX636" s="2" t="s">
        <v>241</v>
      </c>
      <c r="BY636" s="2" t="s">
        <v>242</v>
      </c>
      <c r="BZ636" s="2" t="s">
        <v>230</v>
      </c>
      <c r="CA636" s="2" t="s">
        <v>243</v>
      </c>
      <c r="CB636" s="2" t="s">
        <v>3523</v>
      </c>
      <c r="CC636" s="2" t="s">
        <v>245</v>
      </c>
      <c r="CD636" s="2" t="s">
        <v>233</v>
      </c>
      <c r="CE636" s="4">
        <v>159</v>
      </c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>
        <v>163</v>
      </c>
      <c r="GD636" s="4">
        <v>155</v>
      </c>
      <c r="GE636" s="4">
        <v>148</v>
      </c>
      <c r="GF636" s="4">
        <v>142</v>
      </c>
      <c r="GG636" s="4">
        <v>135</v>
      </c>
      <c r="GH636" s="4">
        <v>129</v>
      </c>
      <c r="GI636" s="4">
        <v>122</v>
      </c>
      <c r="GJ636" s="4">
        <v>117</v>
      </c>
      <c r="GK636" s="4">
        <v>111</v>
      </c>
      <c r="GL636" s="4">
        <v>106</v>
      </c>
      <c r="GM636" s="4">
        <v>101</v>
      </c>
      <c r="GN636" s="4">
        <v>96</v>
      </c>
      <c r="GO636" s="4">
        <v>91</v>
      </c>
      <c r="GP636" s="4">
        <v>86</v>
      </c>
      <c r="GQ636" s="4">
        <v>81</v>
      </c>
      <c r="GR636" s="4">
        <v>76</v>
      </c>
      <c r="GS636" s="4">
        <v>71</v>
      </c>
      <c r="GT636" s="4">
        <v>65</v>
      </c>
      <c r="GU636" s="4">
        <v>60</v>
      </c>
      <c r="GV636" s="4">
        <v>55</v>
      </c>
      <c r="GW636" s="4">
        <v>50</v>
      </c>
      <c r="GX636" s="4">
        <v>45</v>
      </c>
      <c r="GY636" s="4">
        <v>40</v>
      </c>
      <c r="GZ636" s="4">
        <v>35</v>
      </c>
      <c r="HA636" s="4">
        <v>30</v>
      </c>
      <c r="HB636" s="4">
        <v>25</v>
      </c>
      <c r="HC636" s="19">
        <v>23.3</v>
      </c>
      <c r="HD636" s="19">
        <v>25.8</v>
      </c>
      <c r="HE636" s="19">
        <v>24.7</v>
      </c>
      <c r="HF636" s="19">
        <v>23.7</v>
      </c>
      <c r="HG636" s="19">
        <v>22.5</v>
      </c>
      <c r="HH636" s="19">
        <v>21.5</v>
      </c>
      <c r="HI636" s="19">
        <v>24.4</v>
      </c>
      <c r="HJ636" s="19">
        <v>23.4</v>
      </c>
      <c r="HK636" s="19">
        <v>22.2</v>
      </c>
      <c r="HL636" s="19">
        <v>21.2</v>
      </c>
      <c r="HM636" s="19">
        <v>20.2</v>
      </c>
      <c r="HN636" s="19">
        <v>19.2</v>
      </c>
      <c r="HO636" s="19">
        <v>18.2</v>
      </c>
      <c r="HP636" s="19">
        <v>17.2</v>
      </c>
      <c r="HQ636" s="19">
        <v>16.2</v>
      </c>
      <c r="HR636" s="19">
        <v>15.2</v>
      </c>
      <c r="HS636" s="19">
        <v>14.2</v>
      </c>
      <c r="HT636" s="19">
        <v>13</v>
      </c>
      <c r="HU636" s="19">
        <v>12</v>
      </c>
      <c r="HV636" s="19">
        <v>11</v>
      </c>
      <c r="HW636" s="19">
        <v>10</v>
      </c>
      <c r="HX636" s="19">
        <v>9</v>
      </c>
      <c r="HY636" s="19">
        <v>8</v>
      </c>
      <c r="HZ636" s="19">
        <v>7</v>
      </c>
      <c r="IA636" s="19">
        <v>6</v>
      </c>
      <c r="IB636" s="19">
        <v>5</v>
      </c>
    </row>
    <row r="637">
      <c r="A637" s="2" t="s">
        <v>3524</v>
      </c>
      <c r="B637" s="2" t="s">
        <v>938</v>
      </c>
      <c r="C637" s="2" t="s">
        <v>280</v>
      </c>
      <c r="D637" s="2" t="s">
        <v>972</v>
      </c>
      <c r="E637" s="2" t="s">
        <v>1221</v>
      </c>
      <c r="F637" s="2" t="s">
        <v>3506</v>
      </c>
      <c r="G637" s="2" t="s">
        <v>3507</v>
      </c>
      <c r="H637" s="2" t="s">
        <v>3508</v>
      </c>
      <c r="I637" s="2" t="s">
        <v>3518</v>
      </c>
      <c r="J637" s="2" t="s">
        <v>1004</v>
      </c>
      <c r="K637" s="2" t="s">
        <v>266</v>
      </c>
      <c r="L637" s="3">
        <v>16.45</v>
      </c>
      <c r="M637" s="3">
        <v>17.27</v>
      </c>
      <c r="N637" s="3">
        <v>34.99</v>
      </c>
      <c r="O637" s="2" t="s">
        <v>230</v>
      </c>
      <c r="P637" s="2" t="s">
        <v>231</v>
      </c>
      <c r="Q637" s="2" t="s">
        <v>232</v>
      </c>
      <c r="R637" s="2" t="s">
        <v>233</v>
      </c>
      <c r="S637" s="2" t="s">
        <v>3525</v>
      </c>
      <c r="T637" s="2" t="s">
        <v>233</v>
      </c>
      <c r="U637" s="2" t="s">
        <v>233</v>
      </c>
      <c r="V637" s="2" t="s">
        <v>782</v>
      </c>
      <c r="W637" s="2" t="s">
        <v>712</v>
      </c>
      <c r="X637" s="2" t="s">
        <v>1221</v>
      </c>
      <c r="Y637" s="2" t="s">
        <v>238</v>
      </c>
      <c r="Z637" s="4">
        <v>84</v>
      </c>
      <c r="AA637" s="4">
        <f>=ROUNDDOWN(14,0)</f>
      </c>
      <c r="AB637" s="5">
        <v>6</v>
      </c>
      <c r="AC637" s="2" t="s">
        <v>134</v>
      </c>
      <c r="AD637" s="4">
        <v>52</v>
      </c>
      <c r="AE637" s="4">
        <v>164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233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233</v>
      </c>
      <c r="AW637" s="8" t="s">
        <v>233</v>
      </c>
      <c r="AX637" s="4" t="s">
        <v>233</v>
      </c>
      <c r="AY637" s="8" t="s">
        <v>233</v>
      </c>
      <c r="AZ637" s="7" t="s">
        <v>233</v>
      </c>
      <c r="BA637" s="7" t="s">
        <v>233</v>
      </c>
      <c r="BB637" s="7"/>
      <c r="BC637" s="4" t="s">
        <v>233</v>
      </c>
      <c r="BD637" s="8" t="s">
        <v>233</v>
      </c>
      <c r="BE637" s="4" t="s">
        <v>233</v>
      </c>
      <c r="BF637" s="8" t="s">
        <v>233</v>
      </c>
      <c r="BG637" s="7" t="s">
        <v>233</v>
      </c>
      <c r="BH637" s="7" t="s">
        <v>233</v>
      </c>
      <c r="BI637" s="7"/>
      <c r="BJ637" s="4">
        <v>12</v>
      </c>
      <c r="BK637" s="8">
        <v>203.48</v>
      </c>
      <c r="BL637" s="2" t="s">
        <v>1841</v>
      </c>
      <c r="BM637" s="7"/>
      <c r="BN637" s="7"/>
      <c r="BO637" s="4"/>
      <c r="BP637" s="8"/>
      <c r="BQ637" s="4"/>
      <c r="BR637" s="8"/>
      <c r="BS637" s="7"/>
      <c r="BT637" s="7"/>
      <c r="BU637" s="2" t="s">
        <v>3521</v>
      </c>
      <c r="BV637" s="2" t="s">
        <v>233</v>
      </c>
      <c r="BW637" s="2" t="s">
        <v>233</v>
      </c>
      <c r="BX637" s="2" t="s">
        <v>241</v>
      </c>
      <c r="BY637" s="2" t="s">
        <v>242</v>
      </c>
      <c r="BZ637" s="2" t="s">
        <v>230</v>
      </c>
      <c r="CA637" s="2" t="s">
        <v>243</v>
      </c>
      <c r="CB637" s="2" t="s">
        <v>3526</v>
      </c>
      <c r="CC637" s="2" t="s">
        <v>245</v>
      </c>
      <c r="CD637" s="2" t="s">
        <v>233</v>
      </c>
      <c r="CE637" s="4">
        <v>84</v>
      </c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>
        <v>52</v>
      </c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>
        <v>112</v>
      </c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>
        <v>82</v>
      </c>
      <c r="GD637" s="4">
        <v>126</v>
      </c>
      <c r="GE637" s="4">
        <v>117</v>
      </c>
      <c r="GF637" s="4">
        <v>109</v>
      </c>
      <c r="GG637" s="4">
        <v>99</v>
      </c>
      <c r="GH637" s="4">
        <v>91</v>
      </c>
      <c r="GI637" s="4">
        <v>81</v>
      </c>
      <c r="GJ637" s="4">
        <v>75</v>
      </c>
      <c r="GK637" s="4">
        <v>68</v>
      </c>
      <c r="GL637" s="4">
        <v>62</v>
      </c>
      <c r="GM637" s="4">
        <v>56</v>
      </c>
      <c r="GN637" s="4">
        <v>50</v>
      </c>
      <c r="GO637" s="4">
        <v>156</v>
      </c>
      <c r="GP637" s="4">
        <v>150</v>
      </c>
      <c r="GQ637" s="4">
        <v>144</v>
      </c>
      <c r="GR637" s="4">
        <v>138</v>
      </c>
      <c r="GS637" s="4">
        <v>132</v>
      </c>
      <c r="GT637" s="4">
        <v>125</v>
      </c>
      <c r="GU637" s="4">
        <v>119</v>
      </c>
      <c r="GV637" s="4">
        <v>113</v>
      </c>
      <c r="GW637" s="4">
        <v>107</v>
      </c>
      <c r="GX637" s="4">
        <v>101</v>
      </c>
      <c r="GY637" s="4">
        <v>95</v>
      </c>
      <c r="GZ637" s="4">
        <v>89</v>
      </c>
      <c r="HA637" s="4">
        <v>83</v>
      </c>
      <c r="HB637" s="4">
        <v>77</v>
      </c>
      <c r="HC637" s="19">
        <v>9.1</v>
      </c>
      <c r="HD637" s="19">
        <v>14</v>
      </c>
      <c r="HE637" s="19">
        <v>13</v>
      </c>
      <c r="HF637" s="19">
        <v>13.6</v>
      </c>
      <c r="HG637" s="19">
        <v>12.4</v>
      </c>
      <c r="HH637" s="19">
        <v>13</v>
      </c>
      <c r="HI637" s="19">
        <v>13.5</v>
      </c>
      <c r="HJ637" s="19">
        <v>12.5</v>
      </c>
      <c r="HK637" s="19">
        <v>11.3</v>
      </c>
      <c r="HL637" s="19">
        <v>10.3</v>
      </c>
      <c r="HM637" s="19">
        <v>9.3</v>
      </c>
      <c r="HN637" s="19">
        <v>8.3</v>
      </c>
      <c r="HO637" s="19">
        <v>26</v>
      </c>
      <c r="HP637" s="19">
        <v>25</v>
      </c>
      <c r="HQ637" s="19">
        <v>24</v>
      </c>
      <c r="HR637" s="19">
        <v>23</v>
      </c>
      <c r="HS637" s="19">
        <v>22</v>
      </c>
      <c r="HT637" s="19">
        <v>20.8</v>
      </c>
      <c r="HU637" s="19">
        <v>19.8</v>
      </c>
      <c r="HV637" s="19">
        <v>18.8</v>
      </c>
      <c r="HW637" s="19">
        <v>17.8</v>
      </c>
      <c r="HX637" s="19">
        <v>16.8</v>
      </c>
      <c r="HY637" s="19">
        <v>15.8</v>
      </c>
      <c r="HZ637" s="19">
        <v>14.8</v>
      </c>
      <c r="IA637" s="19">
        <v>13.8</v>
      </c>
      <c r="IB637" s="19">
        <v>12.8</v>
      </c>
    </row>
    <row r="638">
      <c r="A638" s="2" t="s">
        <v>3527</v>
      </c>
      <c r="B638" s="2" t="s">
        <v>938</v>
      </c>
      <c r="C638" s="2" t="s">
        <v>280</v>
      </c>
      <c r="D638" s="2" t="s">
        <v>939</v>
      </c>
      <c r="E638" s="2" t="s">
        <v>940</v>
      </c>
      <c r="F638" s="2" t="s">
        <v>3506</v>
      </c>
      <c r="G638" s="2" t="s">
        <v>3507</v>
      </c>
      <c r="H638" s="2" t="s">
        <v>3508</v>
      </c>
      <c r="I638" s="2" t="s">
        <v>3528</v>
      </c>
      <c r="J638" s="2" t="s">
        <v>3529</v>
      </c>
      <c r="K638" s="2" t="s">
        <v>266</v>
      </c>
      <c r="L638" s="3">
        <v>12.42</v>
      </c>
      <c r="M638" s="3">
        <v>13.04</v>
      </c>
      <c r="N638" s="3">
        <v>26.99</v>
      </c>
      <c r="O638" s="2" t="s">
        <v>230</v>
      </c>
      <c r="P638" s="2" t="s">
        <v>231</v>
      </c>
      <c r="Q638" s="2" t="s">
        <v>232</v>
      </c>
      <c r="R638" s="2" t="s">
        <v>233</v>
      </c>
      <c r="S638" s="2" t="s">
        <v>3525</v>
      </c>
      <c r="T638" s="2" t="s">
        <v>233</v>
      </c>
      <c r="U638" s="2" t="s">
        <v>233</v>
      </c>
      <c r="V638" s="2" t="s">
        <v>782</v>
      </c>
      <c r="W638" s="2" t="s">
        <v>712</v>
      </c>
      <c r="X638" s="2" t="s">
        <v>233</v>
      </c>
      <c r="Y638" s="2" t="s">
        <v>3512</v>
      </c>
      <c r="Z638" s="4">
        <v>64</v>
      </c>
      <c r="AA638" s="4">
        <f>=ROUNDDOWN(5.33333333333333,0)</f>
      </c>
      <c r="AB638" s="5">
        <v>12</v>
      </c>
      <c r="AC638" s="2" t="s">
        <v>134</v>
      </c>
      <c r="AD638" s="4">
        <v>224</v>
      </c>
      <c r="AE638" s="4">
        <v>380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233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233</v>
      </c>
      <c r="AW638" s="8" t="s">
        <v>233</v>
      </c>
      <c r="AX638" s="4" t="s">
        <v>233</v>
      </c>
      <c r="AY638" s="8" t="s">
        <v>233</v>
      </c>
      <c r="AZ638" s="7" t="s">
        <v>233</v>
      </c>
      <c r="BA638" s="7" t="s">
        <v>233</v>
      </c>
      <c r="BB638" s="7"/>
      <c r="BC638" s="4" t="s">
        <v>233</v>
      </c>
      <c r="BD638" s="8" t="s">
        <v>233</v>
      </c>
      <c r="BE638" s="4" t="s">
        <v>233</v>
      </c>
      <c r="BF638" s="8" t="s">
        <v>233</v>
      </c>
      <c r="BG638" s="7" t="s">
        <v>233</v>
      </c>
      <c r="BH638" s="7" t="s">
        <v>233</v>
      </c>
      <c r="BI638" s="7"/>
      <c r="BJ638" s="4">
        <v>57</v>
      </c>
      <c r="BK638" s="8">
        <v>766.92</v>
      </c>
      <c r="BL638" s="2" t="s">
        <v>2299</v>
      </c>
      <c r="BM638" s="7"/>
      <c r="BN638" s="7"/>
      <c r="BO638" s="4"/>
      <c r="BP638" s="8"/>
      <c r="BQ638" s="4"/>
      <c r="BR638" s="8"/>
      <c r="BS638" s="7"/>
      <c r="BT638" s="7"/>
      <c r="BU638" s="2" t="s">
        <v>3530</v>
      </c>
      <c r="BV638" s="2" t="s">
        <v>233</v>
      </c>
      <c r="BW638" s="2" t="s">
        <v>233</v>
      </c>
      <c r="BX638" s="2" t="s">
        <v>241</v>
      </c>
      <c r="BY638" s="2" t="s">
        <v>242</v>
      </c>
      <c r="BZ638" s="2" t="s">
        <v>230</v>
      </c>
      <c r="CA638" s="2" t="s">
        <v>3515</v>
      </c>
      <c r="CB638" s="2" t="s">
        <v>1614</v>
      </c>
      <c r="CC638" s="2" t="s">
        <v>245</v>
      </c>
      <c r="CD638" s="2" t="s">
        <v>233</v>
      </c>
      <c r="CE638" s="4">
        <v>64</v>
      </c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>
        <v>224</v>
      </c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>
        <v>104</v>
      </c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>
        <v>52</v>
      </c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>
        <v>64</v>
      </c>
      <c r="GD638" s="4">
        <v>281</v>
      </c>
      <c r="GE638" s="4">
        <v>273</v>
      </c>
      <c r="GF638" s="4">
        <v>266</v>
      </c>
      <c r="GG638" s="4">
        <v>255</v>
      </c>
      <c r="GH638" s="4">
        <v>345</v>
      </c>
      <c r="GI638" s="4">
        <v>329</v>
      </c>
      <c r="GJ638" s="4">
        <v>316</v>
      </c>
      <c r="GK638" s="4">
        <v>304</v>
      </c>
      <c r="GL638" s="4">
        <v>292</v>
      </c>
      <c r="GM638" s="4">
        <v>279</v>
      </c>
      <c r="GN638" s="4">
        <v>267</v>
      </c>
      <c r="GO638" s="4">
        <v>307</v>
      </c>
      <c r="GP638" s="4">
        <v>295</v>
      </c>
      <c r="GQ638" s="4">
        <v>283</v>
      </c>
      <c r="GR638" s="4">
        <v>271</v>
      </c>
      <c r="GS638" s="4">
        <v>259</v>
      </c>
      <c r="GT638" s="4">
        <v>246</v>
      </c>
      <c r="GU638" s="4">
        <v>234</v>
      </c>
      <c r="GV638" s="4">
        <v>222</v>
      </c>
      <c r="GW638" s="4">
        <v>210</v>
      </c>
      <c r="GX638" s="4">
        <v>198</v>
      </c>
      <c r="GY638" s="4">
        <v>186</v>
      </c>
      <c r="GZ638" s="4">
        <v>174</v>
      </c>
      <c r="HA638" s="4">
        <v>161</v>
      </c>
      <c r="HB638" s="4">
        <v>149</v>
      </c>
      <c r="HC638" s="19">
        <v>8</v>
      </c>
      <c r="HD638" s="19">
        <v>28.1</v>
      </c>
      <c r="HE638" s="19">
        <v>22.8</v>
      </c>
      <c r="HF638" s="19">
        <v>19</v>
      </c>
      <c r="HG638" s="19">
        <v>18.2</v>
      </c>
      <c r="HH638" s="19">
        <v>26.5</v>
      </c>
      <c r="HI638" s="19">
        <v>27.4</v>
      </c>
      <c r="HJ638" s="19">
        <v>26.3</v>
      </c>
      <c r="HK638" s="19">
        <v>25.3</v>
      </c>
      <c r="HL638" s="19">
        <v>24.3</v>
      </c>
      <c r="HM638" s="19">
        <v>23.3</v>
      </c>
      <c r="HN638" s="19">
        <v>22.3</v>
      </c>
      <c r="HO638" s="19">
        <v>25.6</v>
      </c>
      <c r="HP638" s="19">
        <v>24.6</v>
      </c>
      <c r="HQ638" s="19">
        <v>23.6</v>
      </c>
      <c r="HR638" s="19">
        <v>22.6</v>
      </c>
      <c r="HS638" s="19">
        <v>21.6</v>
      </c>
      <c r="HT638" s="19">
        <v>20.5</v>
      </c>
      <c r="HU638" s="19">
        <v>19.5</v>
      </c>
      <c r="HV638" s="19">
        <v>18.5</v>
      </c>
      <c r="HW638" s="19">
        <v>17.5</v>
      </c>
      <c r="HX638" s="19">
        <v>16.5</v>
      </c>
      <c r="HY638" s="19">
        <v>15.5</v>
      </c>
      <c r="HZ638" s="19">
        <v>14.5</v>
      </c>
      <c r="IA638" s="19">
        <v>13.4</v>
      </c>
      <c r="IB638" s="19">
        <v>12.4</v>
      </c>
    </row>
    <row r="639">
      <c r="A639" s="2" t="s">
        <v>3531</v>
      </c>
      <c r="B639" s="2" t="s">
        <v>938</v>
      </c>
      <c r="C639" s="2" t="s">
        <v>280</v>
      </c>
      <c r="D639" s="2" t="s">
        <v>972</v>
      </c>
      <c r="E639" s="2" t="s">
        <v>1221</v>
      </c>
      <c r="F639" s="2" t="s">
        <v>3506</v>
      </c>
      <c r="G639" s="2" t="s">
        <v>3507</v>
      </c>
      <c r="H639" s="2" t="s">
        <v>3508</v>
      </c>
      <c r="I639" s="2" t="s">
        <v>3518</v>
      </c>
      <c r="J639" s="2" t="s">
        <v>978</v>
      </c>
      <c r="K639" s="2" t="s">
        <v>3532</v>
      </c>
      <c r="L639" s="3">
        <v>14.1</v>
      </c>
      <c r="M639" s="3">
        <v>14.8</v>
      </c>
      <c r="N639" s="3">
        <v>29.99</v>
      </c>
      <c r="O639" s="2" t="s">
        <v>230</v>
      </c>
      <c r="P639" s="2" t="s">
        <v>231</v>
      </c>
      <c r="Q639" s="2" t="s">
        <v>232</v>
      </c>
      <c r="R639" s="2" t="s">
        <v>233</v>
      </c>
      <c r="S639" s="2" t="s">
        <v>3533</v>
      </c>
      <c r="T639" s="2" t="s">
        <v>233</v>
      </c>
      <c r="U639" s="2" t="s">
        <v>233</v>
      </c>
      <c r="V639" s="2" t="s">
        <v>782</v>
      </c>
      <c r="W639" s="2" t="s">
        <v>712</v>
      </c>
      <c r="X639" s="2" t="s">
        <v>1221</v>
      </c>
      <c r="Y639" s="2" t="s">
        <v>238</v>
      </c>
      <c r="Z639" s="4">
        <v>352</v>
      </c>
      <c r="AA639" s="4">
        <f>=ROUNDDOWN(35.2,0)</f>
      </c>
      <c r="AB639" s="5">
        <v>10</v>
      </c>
      <c r="AC639" s="2" t="s">
        <v>168</v>
      </c>
      <c r="AD639" s="4">
        <v>144</v>
      </c>
      <c r="AE639" s="4">
        <v>144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233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233</v>
      </c>
      <c r="AW639" s="8" t="s">
        <v>233</v>
      </c>
      <c r="AX639" s="4" t="s">
        <v>233</v>
      </c>
      <c r="AY639" s="8" t="s">
        <v>233</v>
      </c>
      <c r="AZ639" s="7" t="s">
        <v>233</v>
      </c>
      <c r="BA639" s="7" t="s">
        <v>233</v>
      </c>
      <c r="BB639" s="7"/>
      <c r="BC639" s="4" t="s">
        <v>233</v>
      </c>
      <c r="BD639" s="8" t="s">
        <v>233</v>
      </c>
      <c r="BE639" s="4" t="s">
        <v>233</v>
      </c>
      <c r="BF639" s="8" t="s">
        <v>233</v>
      </c>
      <c r="BG639" s="7" t="s">
        <v>233</v>
      </c>
      <c r="BH639" s="7" t="s">
        <v>233</v>
      </c>
      <c r="BI639" s="7"/>
      <c r="BJ639" s="4">
        <v>21</v>
      </c>
      <c r="BK639" s="8">
        <v>260.73</v>
      </c>
      <c r="BL639" s="2" t="s">
        <v>3534</v>
      </c>
      <c r="BM639" s="7"/>
      <c r="BN639" s="7"/>
      <c r="BO639" s="4"/>
      <c r="BP639" s="8"/>
      <c r="BQ639" s="4"/>
      <c r="BR639" s="8"/>
      <c r="BS639" s="7"/>
      <c r="BT639" s="7"/>
      <c r="BU639" s="2" t="s">
        <v>3521</v>
      </c>
      <c r="BV639" s="2" t="s">
        <v>233</v>
      </c>
      <c r="BW639" s="2" t="s">
        <v>233</v>
      </c>
      <c r="BX639" s="2" t="s">
        <v>241</v>
      </c>
      <c r="BY639" s="2" t="s">
        <v>242</v>
      </c>
      <c r="BZ639" s="2" t="s">
        <v>230</v>
      </c>
      <c r="CA639" s="2" t="s">
        <v>243</v>
      </c>
      <c r="CB639" s="2" t="s">
        <v>3535</v>
      </c>
      <c r="CC639" s="2" t="s">
        <v>245</v>
      </c>
      <c r="CD639" s="2" t="s">
        <v>233</v>
      </c>
      <c r="CE639" s="4">
        <v>352</v>
      </c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>
        <v>144</v>
      </c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>
        <v>352</v>
      </c>
      <c r="GD639" s="4">
        <v>288</v>
      </c>
      <c r="GE639" s="4">
        <v>275</v>
      </c>
      <c r="GF639" s="4">
        <v>263</v>
      </c>
      <c r="GG639" s="4">
        <v>249</v>
      </c>
      <c r="GH639" s="4">
        <v>237</v>
      </c>
      <c r="GI639" s="4">
        <v>223</v>
      </c>
      <c r="GJ639" s="4">
        <v>357</v>
      </c>
      <c r="GK639" s="4">
        <v>346</v>
      </c>
      <c r="GL639" s="4">
        <v>336</v>
      </c>
      <c r="GM639" s="4">
        <v>325</v>
      </c>
      <c r="GN639" s="4">
        <v>315</v>
      </c>
      <c r="GO639" s="4">
        <v>305</v>
      </c>
      <c r="GP639" s="4">
        <v>295</v>
      </c>
      <c r="GQ639" s="4">
        <v>285</v>
      </c>
      <c r="GR639" s="4">
        <v>275</v>
      </c>
      <c r="GS639" s="4">
        <v>265</v>
      </c>
      <c r="GT639" s="4">
        <v>254</v>
      </c>
      <c r="GU639" s="4">
        <v>244</v>
      </c>
      <c r="GV639" s="4">
        <v>234</v>
      </c>
      <c r="GW639" s="4">
        <v>224</v>
      </c>
      <c r="GX639" s="4">
        <v>214</v>
      </c>
      <c r="GY639" s="4">
        <v>204</v>
      </c>
      <c r="GZ639" s="4">
        <v>194</v>
      </c>
      <c r="HA639" s="4">
        <v>183</v>
      </c>
      <c r="HB639" s="4">
        <v>173</v>
      </c>
      <c r="HC639" s="19">
        <v>13.5</v>
      </c>
      <c r="HD639" s="19">
        <v>22.2</v>
      </c>
      <c r="HE639" s="19">
        <v>21.2</v>
      </c>
      <c r="HF639" s="19">
        <v>21.9</v>
      </c>
      <c r="HG639" s="19">
        <v>20.8</v>
      </c>
      <c r="HH639" s="19">
        <v>21.5</v>
      </c>
      <c r="HI639" s="19">
        <v>22.3</v>
      </c>
      <c r="HJ639" s="19">
        <v>35.7</v>
      </c>
      <c r="HK639" s="19">
        <v>34.6</v>
      </c>
      <c r="HL639" s="19">
        <v>33.6</v>
      </c>
      <c r="HM639" s="19">
        <v>32.5</v>
      </c>
      <c r="HN639" s="19">
        <v>31.5</v>
      </c>
      <c r="HO639" s="19">
        <v>30.5</v>
      </c>
      <c r="HP639" s="19">
        <v>29.5</v>
      </c>
      <c r="HQ639" s="19">
        <v>28.5</v>
      </c>
      <c r="HR639" s="19">
        <v>27.5</v>
      </c>
      <c r="HS639" s="19">
        <v>26.5</v>
      </c>
      <c r="HT639" s="19">
        <v>25.4</v>
      </c>
      <c r="HU639" s="19">
        <v>24.4</v>
      </c>
      <c r="HV639" s="19">
        <v>23.4</v>
      </c>
      <c r="HW639" s="19">
        <v>22.4</v>
      </c>
      <c r="HX639" s="19">
        <v>21.4</v>
      </c>
      <c r="HY639" s="19">
        <v>20.4</v>
      </c>
      <c r="HZ639" s="19">
        <v>19.4</v>
      </c>
      <c r="IA639" s="19">
        <v>18.3</v>
      </c>
      <c r="IB639" s="19">
        <v>17.3</v>
      </c>
    </row>
    <row r="640">
      <c r="A640" s="2" t="s">
        <v>3536</v>
      </c>
      <c r="B640" s="2" t="s">
        <v>938</v>
      </c>
      <c r="C640" s="2" t="s">
        <v>280</v>
      </c>
      <c r="D640" s="2" t="s">
        <v>972</v>
      </c>
      <c r="E640" s="2" t="s">
        <v>1221</v>
      </c>
      <c r="F640" s="2" t="s">
        <v>3506</v>
      </c>
      <c r="G640" s="2" t="s">
        <v>3507</v>
      </c>
      <c r="H640" s="2" t="s">
        <v>3508</v>
      </c>
      <c r="I640" s="2" t="s">
        <v>3518</v>
      </c>
      <c r="J640" s="2" t="s">
        <v>1004</v>
      </c>
      <c r="K640" s="2" t="s">
        <v>3532</v>
      </c>
      <c r="L640" s="3">
        <v>16.45</v>
      </c>
      <c r="M640" s="3">
        <v>17.27</v>
      </c>
      <c r="N640" s="3">
        <v>34.99</v>
      </c>
      <c r="O640" s="2" t="s">
        <v>230</v>
      </c>
      <c r="P640" s="2" t="s">
        <v>231</v>
      </c>
      <c r="Q640" s="2" t="s">
        <v>232</v>
      </c>
      <c r="R640" s="2" t="s">
        <v>233</v>
      </c>
      <c r="S640" s="2" t="s">
        <v>3533</v>
      </c>
      <c r="T640" s="2" t="s">
        <v>233</v>
      </c>
      <c r="U640" s="2" t="s">
        <v>233</v>
      </c>
      <c r="V640" s="2" t="s">
        <v>782</v>
      </c>
      <c r="W640" s="2" t="s">
        <v>712</v>
      </c>
      <c r="X640" s="2" t="s">
        <v>1221</v>
      </c>
      <c r="Y640" s="2" t="s">
        <v>238</v>
      </c>
      <c r="Z640" s="4">
        <v>80</v>
      </c>
      <c r="AA640" s="4">
        <f>=ROUNDDOWN(16,0)</f>
      </c>
      <c r="AB640" s="5">
        <v>5</v>
      </c>
      <c r="AC640" s="2" t="s">
        <v>168</v>
      </c>
      <c r="AD640" s="4">
        <v>80</v>
      </c>
      <c r="AE640" s="4">
        <v>80</v>
      </c>
      <c r="AF640" s="6">
        <v>65</v>
      </c>
      <c r="AG640" s="6"/>
      <c r="AH640" s="7">
        <v>0.9677</v>
      </c>
      <c r="AI640" s="4"/>
      <c r="AJ640" s="4">
        <f>=ROUNDDOWN({0},0)</f>
      </c>
      <c r="AK640" s="5"/>
      <c r="AL640" s="2" t="s">
        <v>233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233</v>
      </c>
      <c r="AW640" s="8" t="s">
        <v>233</v>
      </c>
      <c r="AX640" s="4" t="s">
        <v>233</v>
      </c>
      <c r="AY640" s="8" t="s">
        <v>233</v>
      </c>
      <c r="AZ640" s="7" t="s">
        <v>233</v>
      </c>
      <c r="BA640" s="7" t="s">
        <v>233</v>
      </c>
      <c r="BB640" s="7"/>
      <c r="BC640" s="4" t="s">
        <v>233</v>
      </c>
      <c r="BD640" s="8" t="s">
        <v>233</v>
      </c>
      <c r="BE640" s="4" t="s">
        <v>233</v>
      </c>
      <c r="BF640" s="8" t="s">
        <v>233</v>
      </c>
      <c r="BG640" s="7" t="s">
        <v>233</v>
      </c>
      <c r="BH640" s="7" t="s">
        <v>233</v>
      </c>
      <c r="BI640" s="7"/>
      <c r="BJ640" s="4">
        <v>7</v>
      </c>
      <c r="BK640" s="8">
        <v>107.57</v>
      </c>
      <c r="BL640" s="2" t="s">
        <v>3537</v>
      </c>
      <c r="BM640" s="7"/>
      <c r="BN640" s="7"/>
      <c r="BO640" s="4"/>
      <c r="BP640" s="8"/>
      <c r="BQ640" s="4"/>
      <c r="BR640" s="8"/>
      <c r="BS640" s="7"/>
      <c r="BT640" s="7"/>
      <c r="BU640" s="2" t="s">
        <v>3521</v>
      </c>
      <c r="BV640" s="2" t="s">
        <v>233</v>
      </c>
      <c r="BW640" s="2" t="s">
        <v>233</v>
      </c>
      <c r="BX640" s="2" t="s">
        <v>241</v>
      </c>
      <c r="BY640" s="2" t="s">
        <v>242</v>
      </c>
      <c r="BZ640" s="2" t="s">
        <v>230</v>
      </c>
      <c r="CA640" s="2" t="s">
        <v>243</v>
      </c>
      <c r="CB640" s="2" t="s">
        <v>3538</v>
      </c>
      <c r="CC640" s="2" t="s">
        <v>245</v>
      </c>
      <c r="CD640" s="2" t="s">
        <v>233</v>
      </c>
      <c r="CE640" s="4">
        <v>80</v>
      </c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>
        <v>80</v>
      </c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>
        <v>80</v>
      </c>
      <c r="GD640" s="4">
        <v>69</v>
      </c>
      <c r="GE640" s="4">
        <v>62</v>
      </c>
      <c r="GF640" s="4">
        <v>56</v>
      </c>
      <c r="GG640" s="4">
        <v>49</v>
      </c>
      <c r="GH640" s="4">
        <v>43</v>
      </c>
      <c r="GI640" s="4">
        <v>36</v>
      </c>
      <c r="GJ640" s="4">
        <v>111</v>
      </c>
      <c r="GK640" s="4">
        <v>105</v>
      </c>
      <c r="GL640" s="4">
        <v>100</v>
      </c>
      <c r="GM640" s="4">
        <v>95</v>
      </c>
      <c r="GN640" s="4">
        <v>90</v>
      </c>
      <c r="GO640" s="4">
        <v>85</v>
      </c>
      <c r="GP640" s="4">
        <v>80</v>
      </c>
      <c r="GQ640" s="4">
        <v>75</v>
      </c>
      <c r="GR640" s="4">
        <v>70</v>
      </c>
      <c r="GS640" s="4">
        <v>65</v>
      </c>
      <c r="GT640" s="4">
        <v>59</v>
      </c>
      <c r="GU640" s="4">
        <v>54</v>
      </c>
      <c r="GV640" s="4">
        <v>49</v>
      </c>
      <c r="GW640" s="4">
        <v>44</v>
      </c>
      <c r="GX640" s="4">
        <v>39</v>
      </c>
      <c r="GY640" s="4">
        <v>34</v>
      </c>
      <c r="GZ640" s="4">
        <v>29</v>
      </c>
      <c r="HA640" s="4">
        <v>24</v>
      </c>
      <c r="HB640" s="4">
        <v>55</v>
      </c>
      <c r="HC640" s="19">
        <v>10</v>
      </c>
      <c r="HD640" s="19">
        <v>11.5</v>
      </c>
      <c r="HE640" s="19">
        <v>10.3</v>
      </c>
      <c r="HF640" s="19">
        <v>9.3</v>
      </c>
      <c r="HG640" s="19">
        <v>8.2</v>
      </c>
      <c r="HH640" s="19">
        <v>7.2</v>
      </c>
      <c r="HI640" s="19">
        <v>7.2</v>
      </c>
      <c r="HJ640" s="19">
        <v>22.2</v>
      </c>
      <c r="HK640" s="19">
        <v>21</v>
      </c>
      <c r="HL640" s="19">
        <v>20</v>
      </c>
      <c r="HM640" s="19">
        <v>19</v>
      </c>
      <c r="HN640" s="19">
        <v>18</v>
      </c>
      <c r="HO640" s="19">
        <v>17</v>
      </c>
      <c r="HP640" s="19">
        <v>16</v>
      </c>
      <c r="HQ640" s="19">
        <v>15</v>
      </c>
      <c r="HR640" s="19">
        <v>14</v>
      </c>
      <c r="HS640" s="19">
        <v>13</v>
      </c>
      <c r="HT640" s="19">
        <v>11.8</v>
      </c>
      <c r="HU640" s="19">
        <v>10.8</v>
      </c>
      <c r="HV640" s="19">
        <v>9.8</v>
      </c>
      <c r="HW640" s="19">
        <v>8.8</v>
      </c>
      <c r="HX640" s="19">
        <v>7.8</v>
      </c>
      <c r="HY640" s="19">
        <v>6.8</v>
      </c>
      <c r="HZ640" s="19">
        <v>5.8</v>
      </c>
      <c r="IA640" s="19">
        <v>4.8</v>
      </c>
      <c r="IB640" s="19">
        <v>11</v>
      </c>
    </row>
    <row r="641">
      <c r="A641" s="2" t="s">
        <v>3539</v>
      </c>
      <c r="B641" s="2" t="s">
        <v>938</v>
      </c>
      <c r="C641" s="2" t="s">
        <v>280</v>
      </c>
      <c r="D641" s="2" t="s">
        <v>939</v>
      </c>
      <c r="E641" s="2" t="s">
        <v>940</v>
      </c>
      <c r="F641" s="2" t="s">
        <v>3506</v>
      </c>
      <c r="G641" s="2" t="s">
        <v>3507</v>
      </c>
      <c r="H641" s="2" t="s">
        <v>3508</v>
      </c>
      <c r="I641" s="2" t="s">
        <v>3528</v>
      </c>
      <c r="J641" s="2" t="s">
        <v>3529</v>
      </c>
      <c r="K641" s="2" t="s">
        <v>3532</v>
      </c>
      <c r="L641" s="3">
        <v>12.42</v>
      </c>
      <c r="M641" s="3">
        <v>13.04</v>
      </c>
      <c r="N641" s="3">
        <v>26.99</v>
      </c>
      <c r="O641" s="2" t="s">
        <v>230</v>
      </c>
      <c r="P641" s="2" t="s">
        <v>231</v>
      </c>
      <c r="Q641" s="2" t="s">
        <v>232</v>
      </c>
      <c r="R641" s="2" t="s">
        <v>233</v>
      </c>
      <c r="S641" s="2" t="s">
        <v>3533</v>
      </c>
      <c r="T641" s="2" t="s">
        <v>233</v>
      </c>
      <c r="U641" s="2" t="s">
        <v>233</v>
      </c>
      <c r="V641" s="2" t="s">
        <v>782</v>
      </c>
      <c r="W641" s="2" t="s">
        <v>712</v>
      </c>
      <c r="X641" s="2" t="s">
        <v>233</v>
      </c>
      <c r="Y641" s="2" t="s">
        <v>3512</v>
      </c>
      <c r="Z641" s="4">
        <v>238</v>
      </c>
      <c r="AA641" s="4">
        <f>=ROUNDDOWN(29.75,0)</f>
      </c>
      <c r="AB641" s="5">
        <v>8</v>
      </c>
      <c r="AC641" s="2" t="s">
        <v>168</v>
      </c>
      <c r="AD641" s="4">
        <v>104</v>
      </c>
      <c r="AE641" s="4">
        <v>104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233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233</v>
      </c>
      <c r="AW641" s="8" t="s">
        <v>233</v>
      </c>
      <c r="AX641" s="4" t="s">
        <v>233</v>
      </c>
      <c r="AY641" s="8" t="s">
        <v>233</v>
      </c>
      <c r="AZ641" s="7" t="s">
        <v>233</v>
      </c>
      <c r="BA641" s="7" t="s">
        <v>233</v>
      </c>
      <c r="BB641" s="7"/>
      <c r="BC641" s="4" t="s">
        <v>233</v>
      </c>
      <c r="BD641" s="8" t="s">
        <v>233</v>
      </c>
      <c r="BE641" s="4" t="s">
        <v>233</v>
      </c>
      <c r="BF641" s="8" t="s">
        <v>233</v>
      </c>
      <c r="BG641" s="7" t="s">
        <v>233</v>
      </c>
      <c r="BH641" s="7" t="s">
        <v>233</v>
      </c>
      <c r="BI641" s="7"/>
      <c r="BJ641" s="4">
        <v>26</v>
      </c>
      <c r="BK641" s="8">
        <v>323.28</v>
      </c>
      <c r="BL641" s="2" t="s">
        <v>3540</v>
      </c>
      <c r="BM641" s="7"/>
      <c r="BN641" s="7"/>
      <c r="BO641" s="4"/>
      <c r="BP641" s="8"/>
      <c r="BQ641" s="4"/>
      <c r="BR641" s="8"/>
      <c r="BS641" s="7"/>
      <c r="BT641" s="7"/>
      <c r="BU641" s="2" t="s">
        <v>3530</v>
      </c>
      <c r="BV641" s="2" t="s">
        <v>233</v>
      </c>
      <c r="BW641" s="2" t="s">
        <v>233</v>
      </c>
      <c r="BX641" s="2" t="s">
        <v>241</v>
      </c>
      <c r="BY641" s="2" t="s">
        <v>242</v>
      </c>
      <c r="BZ641" s="2" t="s">
        <v>230</v>
      </c>
      <c r="CA641" s="2" t="s">
        <v>3515</v>
      </c>
      <c r="CB641" s="2" t="s">
        <v>1253</v>
      </c>
      <c r="CC641" s="2" t="s">
        <v>245</v>
      </c>
      <c r="CD641" s="2" t="s">
        <v>233</v>
      </c>
      <c r="CE641" s="4">
        <v>238</v>
      </c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>
        <v>104</v>
      </c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>
        <v>238</v>
      </c>
      <c r="GD641" s="4">
        <v>231</v>
      </c>
      <c r="GE641" s="4">
        <v>223</v>
      </c>
      <c r="GF641" s="4">
        <v>216</v>
      </c>
      <c r="GG641" s="4">
        <v>205</v>
      </c>
      <c r="GH641" s="4">
        <v>196</v>
      </c>
      <c r="GI641" s="4">
        <v>186</v>
      </c>
      <c r="GJ641" s="4">
        <v>283</v>
      </c>
      <c r="GK641" s="4">
        <v>277</v>
      </c>
      <c r="GL641" s="4">
        <v>271</v>
      </c>
      <c r="GM641" s="4">
        <v>265</v>
      </c>
      <c r="GN641" s="4">
        <v>259</v>
      </c>
      <c r="GO641" s="4">
        <v>253</v>
      </c>
      <c r="GP641" s="4">
        <v>247</v>
      </c>
      <c r="GQ641" s="4">
        <v>241</v>
      </c>
      <c r="GR641" s="4">
        <v>235</v>
      </c>
      <c r="GS641" s="4">
        <v>229</v>
      </c>
      <c r="GT641" s="4">
        <v>222</v>
      </c>
      <c r="GU641" s="4">
        <v>216</v>
      </c>
      <c r="GV641" s="4">
        <v>210</v>
      </c>
      <c r="GW641" s="4">
        <v>204</v>
      </c>
      <c r="GX641" s="4">
        <v>197</v>
      </c>
      <c r="GY641" s="4">
        <v>189</v>
      </c>
      <c r="GZ641" s="4">
        <v>181</v>
      </c>
      <c r="HA641" s="4">
        <v>173</v>
      </c>
      <c r="HB641" s="4">
        <v>165</v>
      </c>
      <c r="HC641" s="19">
        <v>29.8</v>
      </c>
      <c r="HD641" s="19">
        <v>25.7</v>
      </c>
      <c r="HE641" s="19">
        <v>24.8</v>
      </c>
      <c r="HF641" s="19">
        <v>24</v>
      </c>
      <c r="HG641" s="19">
        <v>25.6</v>
      </c>
      <c r="HH641" s="19">
        <v>28</v>
      </c>
      <c r="HI641" s="19">
        <v>31</v>
      </c>
      <c r="HJ641" s="19">
        <v>47.2</v>
      </c>
      <c r="HK641" s="19">
        <v>46.2</v>
      </c>
      <c r="HL641" s="19">
        <v>45.2</v>
      </c>
      <c r="HM641" s="19">
        <v>44.2</v>
      </c>
      <c r="HN641" s="19">
        <v>43.2</v>
      </c>
      <c r="HO641" s="19">
        <v>42.2</v>
      </c>
      <c r="HP641" s="19">
        <v>41.2</v>
      </c>
      <c r="HQ641" s="19">
        <v>40.2</v>
      </c>
      <c r="HR641" s="19">
        <v>39.2</v>
      </c>
      <c r="HS641" s="19">
        <v>38.2</v>
      </c>
      <c r="HT641" s="19">
        <v>37</v>
      </c>
      <c r="HU641" s="19">
        <v>30.9</v>
      </c>
      <c r="HV641" s="19">
        <v>30</v>
      </c>
      <c r="HW641" s="19">
        <v>25.5</v>
      </c>
      <c r="HX641" s="19">
        <v>24.6</v>
      </c>
      <c r="HY641" s="19">
        <v>23.6</v>
      </c>
      <c r="HZ641" s="19">
        <v>22.6</v>
      </c>
      <c r="IA641" s="19">
        <v>21.6</v>
      </c>
      <c r="IB641" s="19">
        <v>20.6</v>
      </c>
    </row>
    <row r="642">
      <c r="A642" s="2" t="s">
        <v>3541</v>
      </c>
      <c r="B642" s="2" t="s">
        <v>825</v>
      </c>
      <c r="C642" s="2" t="s">
        <v>1772</v>
      </c>
      <c r="D642" s="2" t="s">
        <v>884</v>
      </c>
      <c r="E642" s="2" t="s">
        <v>3542</v>
      </c>
      <c r="F642" s="2" t="s">
        <v>3507</v>
      </c>
      <c r="G642" s="2" t="s">
        <v>3543</v>
      </c>
      <c r="H642" s="2" t="s">
        <v>3181</v>
      </c>
      <c r="I642" s="2" t="s">
        <v>3544</v>
      </c>
      <c r="J642" s="2" t="s">
        <v>228</v>
      </c>
      <c r="K642" s="2" t="s">
        <v>484</v>
      </c>
      <c r="L642" s="3">
        <v>33.33</v>
      </c>
      <c r="M642" s="3">
        <v>35</v>
      </c>
      <c r="N642" s="3">
        <v>69.99</v>
      </c>
      <c r="O642" s="2" t="s">
        <v>230</v>
      </c>
      <c r="P642" s="2" t="s">
        <v>721</v>
      </c>
      <c r="Q642" s="2" t="s">
        <v>232</v>
      </c>
      <c r="R642" s="2" t="s">
        <v>233</v>
      </c>
      <c r="S642" s="2" t="s">
        <v>3545</v>
      </c>
      <c r="T642" s="2" t="s">
        <v>348</v>
      </c>
      <c r="U642" s="2" t="s">
        <v>711</v>
      </c>
      <c r="V642" s="2" t="s">
        <v>1431</v>
      </c>
      <c r="W642" s="2" t="s">
        <v>237</v>
      </c>
      <c r="X642" s="2" t="s">
        <v>712</v>
      </c>
      <c r="Y642" s="2" t="s">
        <v>3546</v>
      </c>
      <c r="Z642" s="4">
        <v>182</v>
      </c>
      <c r="AA642" s="4">
        <f>=ROUNDDOWN(45.5,0)</f>
      </c>
      <c r="AB642" s="5">
        <v>4</v>
      </c>
      <c r="AC642" s="2" t="s">
        <v>233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233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/>
      <c r="BD642" s="8"/>
      <c r="BE642" s="4"/>
      <c r="BF642" s="8"/>
      <c r="BG642" s="7"/>
      <c r="BH642" s="7"/>
      <c r="BI642" s="7"/>
      <c r="BJ642" s="4">
        <v>6</v>
      </c>
      <c r="BK642" s="8">
        <v>221.02</v>
      </c>
      <c r="BL642" s="2" t="s">
        <v>3547</v>
      </c>
      <c r="BM642" s="7"/>
      <c r="BN642" s="7"/>
      <c r="BO642" s="4"/>
      <c r="BP642" s="8"/>
      <c r="BQ642" s="4"/>
      <c r="BR642" s="8"/>
      <c r="BS642" s="7"/>
      <c r="BT642" s="7"/>
      <c r="BU642" s="2" t="s">
        <v>3548</v>
      </c>
      <c r="BV642" s="2" t="s">
        <v>233</v>
      </c>
      <c r="BW642" s="2" t="s">
        <v>233</v>
      </c>
      <c r="BX642" s="2" t="s">
        <v>241</v>
      </c>
      <c r="BY642" s="2" t="s">
        <v>242</v>
      </c>
      <c r="BZ642" s="2" t="s">
        <v>230</v>
      </c>
      <c r="CA642" s="2" t="s">
        <v>758</v>
      </c>
      <c r="CB642" s="2" t="s">
        <v>3549</v>
      </c>
      <c r="CC642" s="2" t="s">
        <v>245</v>
      </c>
      <c r="CD642" s="2" t="s">
        <v>233</v>
      </c>
      <c r="CE642" s="4">
        <v>182</v>
      </c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>
        <v>199</v>
      </c>
      <c r="GD642" s="4">
        <v>181</v>
      </c>
      <c r="GE642" s="4">
        <v>178</v>
      </c>
      <c r="GF642" s="4">
        <v>173</v>
      </c>
      <c r="GG642" s="4">
        <v>167</v>
      </c>
      <c r="GH642" s="4">
        <v>159</v>
      </c>
      <c r="GI642" s="4">
        <v>151</v>
      </c>
      <c r="GJ642" s="4">
        <v>146</v>
      </c>
      <c r="GK642" s="4">
        <v>143</v>
      </c>
      <c r="GL642" s="4">
        <v>140</v>
      </c>
      <c r="GM642" s="4">
        <v>137</v>
      </c>
      <c r="GN642" s="4">
        <v>134</v>
      </c>
      <c r="GO642" s="4">
        <v>131</v>
      </c>
      <c r="GP642" s="4">
        <v>128</v>
      </c>
      <c r="GQ642" s="4">
        <v>125</v>
      </c>
      <c r="GR642" s="4">
        <v>122</v>
      </c>
      <c r="GS642" s="4">
        <v>119</v>
      </c>
      <c r="GT642" s="4">
        <v>116</v>
      </c>
      <c r="GU642" s="4">
        <v>113</v>
      </c>
      <c r="GV642" s="4">
        <v>109</v>
      </c>
      <c r="GW642" s="4">
        <v>105</v>
      </c>
      <c r="GX642" s="4">
        <v>101</v>
      </c>
      <c r="GY642" s="4">
        <v>97</v>
      </c>
      <c r="GZ642" s="4">
        <v>93</v>
      </c>
      <c r="HA642" s="4">
        <v>89</v>
      </c>
      <c r="HB642" s="4">
        <v>85</v>
      </c>
      <c r="HC642" s="19">
        <v>24.9</v>
      </c>
      <c r="HD642" s="19">
        <v>30.2</v>
      </c>
      <c r="HE642" s="19">
        <v>25.4</v>
      </c>
      <c r="HF642" s="19">
        <v>24.7</v>
      </c>
      <c r="HG642" s="19">
        <v>27.8</v>
      </c>
      <c r="HH642" s="19">
        <v>31.8</v>
      </c>
      <c r="HI642" s="19">
        <v>37.8</v>
      </c>
      <c r="HJ642" s="19">
        <v>48.7</v>
      </c>
      <c r="HK642" s="19">
        <v>47.7</v>
      </c>
      <c r="HL642" s="19">
        <v>46.7</v>
      </c>
      <c r="HM642" s="19">
        <v>45.7</v>
      </c>
      <c r="HN642" s="19">
        <v>44.7</v>
      </c>
      <c r="HO642" s="19">
        <v>43.7</v>
      </c>
      <c r="HP642" s="19">
        <v>42.7</v>
      </c>
      <c r="HQ642" s="19">
        <v>41.7</v>
      </c>
      <c r="HR642" s="19">
        <v>40.7</v>
      </c>
      <c r="HS642" s="19">
        <v>29.8</v>
      </c>
      <c r="HT642" s="19">
        <v>29</v>
      </c>
      <c r="HU642" s="19">
        <v>28.3</v>
      </c>
      <c r="HV642" s="19">
        <v>27.3</v>
      </c>
      <c r="HW642" s="19">
        <v>26.3</v>
      </c>
      <c r="HX642" s="19">
        <v>25.3</v>
      </c>
      <c r="HY642" s="19">
        <v>24.3</v>
      </c>
      <c r="HZ642" s="19">
        <v>23.3</v>
      </c>
      <c r="IA642" s="19">
        <v>22.3</v>
      </c>
      <c r="IB642" s="19">
        <v>21.3</v>
      </c>
    </row>
    <row r="643">
      <c r="A643" s="2" t="s">
        <v>3550</v>
      </c>
      <c r="B643" s="2" t="s">
        <v>872</v>
      </c>
      <c r="C643" s="2" t="s">
        <v>343</v>
      </c>
      <c r="D643" s="2" t="s">
        <v>261</v>
      </c>
      <c r="E643" s="2" t="s">
        <v>1119</v>
      </c>
      <c r="F643" s="2" t="s">
        <v>3551</v>
      </c>
      <c r="G643" s="2" t="s">
        <v>3552</v>
      </c>
      <c r="H643" s="2" t="s">
        <v>3553</v>
      </c>
      <c r="I643" s="2" t="s">
        <v>3554</v>
      </c>
      <c r="J643" s="2" t="s">
        <v>252</v>
      </c>
      <c r="K643" s="2" t="s">
        <v>3555</v>
      </c>
      <c r="L643" s="3">
        <v>35.71</v>
      </c>
      <c r="M643" s="3">
        <v>37.5</v>
      </c>
      <c r="N643" s="3">
        <v>74.99</v>
      </c>
      <c r="O643" s="2" t="s">
        <v>230</v>
      </c>
      <c r="P643" s="2" t="s">
        <v>231</v>
      </c>
      <c r="Q643" s="2" t="s">
        <v>232</v>
      </c>
      <c r="R643" s="2" t="s">
        <v>233</v>
      </c>
      <c r="S643" s="2" t="s">
        <v>3556</v>
      </c>
      <c r="T643" s="2" t="s">
        <v>469</v>
      </c>
      <c r="U643" s="2" t="s">
        <v>635</v>
      </c>
      <c r="V643" s="2" t="s">
        <v>349</v>
      </c>
      <c r="W643" s="2" t="s">
        <v>620</v>
      </c>
      <c r="X643" s="2" t="s">
        <v>233</v>
      </c>
      <c r="Y643" s="2" t="s">
        <v>3557</v>
      </c>
      <c r="Z643" s="4">
        <v>311</v>
      </c>
      <c r="AA643" s="4">
        <f>=ROUNDDOWN(44.4285714285714,0)</f>
      </c>
      <c r="AB643" s="5">
        <v>7</v>
      </c>
      <c r="AC643" s="2" t="s">
        <v>233</v>
      </c>
      <c r="AD643" s="4"/>
      <c r="AE643" s="4"/>
      <c r="AF643" s="6">
        <v>64</v>
      </c>
      <c r="AG643" s="6"/>
      <c r="AH643" s="7">
        <v>1</v>
      </c>
      <c r="AI643" s="4"/>
      <c r="AJ643" s="4">
        <f>=ROUNDDOWN({0},0)</f>
      </c>
      <c r="AK643" s="5"/>
      <c r="AL643" s="2" t="s">
        <v>233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/>
      <c r="BD643" s="8"/>
      <c r="BE643" s="4"/>
      <c r="BF643" s="8"/>
      <c r="BG643" s="7"/>
      <c r="BH643" s="7"/>
      <c r="BI643" s="7"/>
      <c r="BJ643" s="4">
        <v>56</v>
      </c>
      <c r="BK643" s="8">
        <v>2245.57</v>
      </c>
      <c r="BL643" s="2" t="s">
        <v>3558</v>
      </c>
      <c r="BM643" s="7"/>
      <c r="BN643" s="7"/>
      <c r="BO643" s="4"/>
      <c r="BP643" s="8"/>
      <c r="BQ643" s="4"/>
      <c r="BR643" s="8"/>
      <c r="BS643" s="7"/>
      <c r="BT643" s="7"/>
      <c r="BU643" s="2" t="s">
        <v>3559</v>
      </c>
      <c r="BV643" s="2" t="s">
        <v>233</v>
      </c>
      <c r="BW643" s="2" t="s">
        <v>233</v>
      </c>
      <c r="BX643" s="2" t="s">
        <v>293</v>
      </c>
      <c r="BY643" s="2" t="s">
        <v>242</v>
      </c>
      <c r="BZ643" s="2" t="s">
        <v>230</v>
      </c>
      <c r="CA643" s="2" t="s">
        <v>3560</v>
      </c>
      <c r="CB643" s="2" t="s">
        <v>3561</v>
      </c>
      <c r="CC643" s="2" t="s">
        <v>245</v>
      </c>
      <c r="CD643" s="2" t="s">
        <v>233</v>
      </c>
      <c r="CE643" s="4">
        <v>311</v>
      </c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>
        <v>316</v>
      </c>
      <c r="GD643" s="4">
        <v>296</v>
      </c>
      <c r="GE643" s="4">
        <v>285</v>
      </c>
      <c r="GF643" s="4">
        <v>273</v>
      </c>
      <c r="GG643" s="4">
        <v>251</v>
      </c>
      <c r="GH643" s="4">
        <v>238</v>
      </c>
      <c r="GI643" s="4">
        <v>224</v>
      </c>
      <c r="GJ643" s="4">
        <v>216</v>
      </c>
      <c r="GK643" s="4">
        <v>211</v>
      </c>
      <c r="GL643" s="4">
        <v>203</v>
      </c>
      <c r="GM643" s="4">
        <v>196</v>
      </c>
      <c r="GN643" s="4">
        <v>189</v>
      </c>
      <c r="GO643" s="4">
        <v>182</v>
      </c>
      <c r="GP643" s="4">
        <v>175</v>
      </c>
      <c r="GQ643" s="4">
        <v>168</v>
      </c>
      <c r="GR643" s="4">
        <v>161</v>
      </c>
      <c r="GS643" s="4">
        <v>154</v>
      </c>
      <c r="GT643" s="4">
        <v>146</v>
      </c>
      <c r="GU643" s="4">
        <v>139</v>
      </c>
      <c r="GV643" s="4">
        <v>132</v>
      </c>
      <c r="GW643" s="4">
        <v>125</v>
      </c>
      <c r="GX643" s="4">
        <v>118</v>
      </c>
      <c r="GY643" s="4">
        <v>111</v>
      </c>
      <c r="GZ643" s="4">
        <v>104</v>
      </c>
      <c r="HA643" s="4">
        <v>97</v>
      </c>
      <c r="HB643" s="4">
        <v>90</v>
      </c>
      <c r="HC643" s="19">
        <v>19.8</v>
      </c>
      <c r="HD643" s="19">
        <v>21.1</v>
      </c>
      <c r="HE643" s="19">
        <v>19</v>
      </c>
      <c r="HF643" s="19">
        <v>19.5</v>
      </c>
      <c r="HG643" s="19">
        <v>25.1</v>
      </c>
      <c r="HH643" s="19">
        <v>26.4</v>
      </c>
      <c r="HI643" s="19">
        <v>32</v>
      </c>
      <c r="HJ643" s="19">
        <v>30.9</v>
      </c>
      <c r="HK643" s="19">
        <v>30.1</v>
      </c>
      <c r="HL643" s="19">
        <v>29</v>
      </c>
      <c r="HM643" s="19">
        <v>28</v>
      </c>
      <c r="HN643" s="19">
        <v>27</v>
      </c>
      <c r="HO643" s="19">
        <v>26</v>
      </c>
      <c r="HP643" s="19">
        <v>25</v>
      </c>
      <c r="HQ643" s="19">
        <v>24</v>
      </c>
      <c r="HR643" s="19">
        <v>23</v>
      </c>
      <c r="HS643" s="19">
        <v>22</v>
      </c>
      <c r="HT643" s="19">
        <v>20.9</v>
      </c>
      <c r="HU643" s="19">
        <v>19.9</v>
      </c>
      <c r="HV643" s="19">
        <v>18.9</v>
      </c>
      <c r="HW643" s="19">
        <v>17.9</v>
      </c>
      <c r="HX643" s="19">
        <v>16.9</v>
      </c>
      <c r="HY643" s="19">
        <v>15.9</v>
      </c>
      <c r="HZ643" s="19">
        <v>14.9</v>
      </c>
      <c r="IA643" s="19">
        <v>13.9</v>
      </c>
      <c r="IB643" s="19">
        <v>12.9</v>
      </c>
    </row>
    <row r="644">
      <c r="A644" s="2" t="s">
        <v>3562</v>
      </c>
      <c r="B644" s="2" t="s">
        <v>761</v>
      </c>
      <c r="C644" s="2" t="s">
        <v>812</v>
      </c>
      <c r="D644" s="2" t="s">
        <v>1531</v>
      </c>
      <c r="E644" s="2" t="s">
        <v>1532</v>
      </c>
      <c r="F644" s="2" t="s">
        <v>3563</v>
      </c>
      <c r="G644" s="2" t="s">
        <v>3563</v>
      </c>
      <c r="H644" s="2" t="s">
        <v>3563</v>
      </c>
      <c r="I644" s="2" t="s">
        <v>1536</v>
      </c>
      <c r="J644" s="2" t="s">
        <v>741</v>
      </c>
      <c r="K644" s="2" t="s">
        <v>1157</v>
      </c>
      <c r="L644" s="3">
        <v>175.75</v>
      </c>
      <c r="M644" s="3">
        <v>184.54</v>
      </c>
      <c r="N644" s="3">
        <v>369</v>
      </c>
      <c r="O644" s="2" t="s">
        <v>230</v>
      </c>
      <c r="P644" s="2" t="s">
        <v>231</v>
      </c>
      <c r="Q644" s="2" t="s">
        <v>232</v>
      </c>
      <c r="R644" s="2" t="s">
        <v>233</v>
      </c>
      <c r="S644" s="2" t="s">
        <v>233</v>
      </c>
      <c r="T644" s="2" t="s">
        <v>233</v>
      </c>
      <c r="U644" s="2" t="s">
        <v>329</v>
      </c>
      <c r="V644" s="2" t="s">
        <v>236</v>
      </c>
      <c r="W644" s="2" t="s">
        <v>288</v>
      </c>
      <c r="X644" s="2" t="s">
        <v>3564</v>
      </c>
      <c r="Y644" s="2" t="s">
        <v>3565</v>
      </c>
      <c r="Z644" s="4">
        <v>178</v>
      </c>
      <c r="AA644" s="4">
        <f>=ROUNDDOWN(17.8,0)</f>
      </c>
      <c r="AB644" s="5">
        <v>10</v>
      </c>
      <c r="AC644" s="2" t="s">
        <v>142</v>
      </c>
      <c r="AD644" s="4">
        <v>80</v>
      </c>
      <c r="AE644" s="4">
        <v>190</v>
      </c>
      <c r="AF644" s="6">
        <v>68</v>
      </c>
      <c r="AG644" s="6">
        <v>51</v>
      </c>
      <c r="AH644" s="7">
        <v>1</v>
      </c>
      <c r="AI644" s="4"/>
      <c r="AJ644" s="4">
        <f>=ROUNDDOWN({0},0)</f>
      </c>
      <c r="AK644" s="5"/>
      <c r="AL644" s="2" t="s">
        <v>233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 t="s">
        <v>233</v>
      </c>
      <c r="BD644" s="8" t="s">
        <v>233</v>
      </c>
      <c r="BE644" s="4" t="s">
        <v>233</v>
      </c>
      <c r="BF644" s="8" t="s">
        <v>233</v>
      </c>
      <c r="BG644" s="7" t="s">
        <v>233</v>
      </c>
      <c r="BH644" s="7" t="s">
        <v>233</v>
      </c>
      <c r="BI644" s="7"/>
      <c r="BJ644" s="4">
        <v>32</v>
      </c>
      <c r="BK644" s="8">
        <v>5533.58</v>
      </c>
      <c r="BL644" s="2" t="s">
        <v>3566</v>
      </c>
      <c r="BM644" s="7"/>
      <c r="BN644" s="7"/>
      <c r="BO644" s="4"/>
      <c r="BP644" s="8"/>
      <c r="BQ644" s="4"/>
      <c r="BR644" s="8"/>
      <c r="BS644" s="7"/>
      <c r="BT644" s="7"/>
      <c r="BU644" s="2" t="s">
        <v>3567</v>
      </c>
      <c r="BV644" s="2" t="s">
        <v>233</v>
      </c>
      <c r="BW644" s="2" t="s">
        <v>233</v>
      </c>
      <c r="BX644" s="2" t="s">
        <v>241</v>
      </c>
      <c r="BY644" s="2" t="s">
        <v>242</v>
      </c>
      <c r="BZ644" s="2" t="s">
        <v>230</v>
      </c>
      <c r="CA644" s="2" t="s">
        <v>2918</v>
      </c>
      <c r="CB644" s="2" t="s">
        <v>3568</v>
      </c>
      <c r="CC644" s="2" t="s">
        <v>245</v>
      </c>
      <c r="CD644" s="2" t="s">
        <v>233</v>
      </c>
      <c r="CE644" s="4"/>
      <c r="CF644" s="4">
        <v>178</v>
      </c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>
        <v>80</v>
      </c>
      <c r="DE644" s="4"/>
      <c r="DF644" s="4"/>
      <c r="DG644" s="4">
        <v>10</v>
      </c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>
        <v>100</v>
      </c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>
        <v>185</v>
      </c>
      <c r="GD644" s="4">
        <v>154</v>
      </c>
      <c r="GE644" s="4">
        <v>141</v>
      </c>
      <c r="GF644" s="4">
        <v>220</v>
      </c>
      <c r="GG644" s="4">
        <v>203</v>
      </c>
      <c r="GH644" s="4">
        <v>192</v>
      </c>
      <c r="GI644" s="4">
        <v>184</v>
      </c>
      <c r="GJ644" s="4">
        <v>177</v>
      </c>
      <c r="GK644" s="4">
        <v>170</v>
      </c>
      <c r="GL644" s="4">
        <v>161</v>
      </c>
      <c r="GM644" s="4">
        <v>153</v>
      </c>
      <c r="GN644" s="4">
        <v>244</v>
      </c>
      <c r="GO644" s="4">
        <v>236</v>
      </c>
      <c r="GP644" s="4">
        <v>228</v>
      </c>
      <c r="GQ644" s="4">
        <v>217</v>
      </c>
      <c r="GR644" s="4">
        <v>206</v>
      </c>
      <c r="GS644" s="4">
        <v>195</v>
      </c>
      <c r="GT644" s="4">
        <v>183</v>
      </c>
      <c r="GU644" s="4">
        <v>175</v>
      </c>
      <c r="GV644" s="4">
        <v>166</v>
      </c>
      <c r="GW644" s="4">
        <v>157</v>
      </c>
      <c r="GX644" s="4">
        <v>148</v>
      </c>
      <c r="GY644" s="4">
        <v>139</v>
      </c>
      <c r="GZ644" s="4">
        <v>128</v>
      </c>
      <c r="HA644" s="4">
        <v>117</v>
      </c>
      <c r="HB644" s="4">
        <v>106</v>
      </c>
      <c r="HC644" s="19">
        <v>5.2</v>
      </c>
      <c r="HD644" s="19">
        <v>5.9</v>
      </c>
      <c r="HE644" s="19">
        <v>5.9</v>
      </c>
      <c r="HF644" s="19">
        <v>10</v>
      </c>
      <c r="HG644" s="19">
        <v>12.7</v>
      </c>
      <c r="HH644" s="19">
        <v>12</v>
      </c>
      <c r="HI644" s="19">
        <v>11.5</v>
      </c>
      <c r="HJ644" s="19">
        <v>11.1</v>
      </c>
      <c r="HK644" s="19">
        <v>10.7</v>
      </c>
      <c r="HL644" s="19">
        <v>10.1</v>
      </c>
      <c r="HM644" s="19">
        <v>8.5</v>
      </c>
      <c r="HN644" s="19">
        <v>12.2</v>
      </c>
      <c r="HO644" s="19">
        <v>11.8</v>
      </c>
      <c r="HP644" s="19">
        <v>10.4</v>
      </c>
      <c r="HQ644" s="19">
        <v>10.9</v>
      </c>
      <c r="HR644" s="19">
        <v>10.3</v>
      </c>
      <c r="HS644" s="19">
        <v>9.8</v>
      </c>
      <c r="HT644" s="19">
        <v>10.2</v>
      </c>
      <c r="HU644" s="19">
        <v>9.7</v>
      </c>
      <c r="HV644" s="19">
        <v>8.3</v>
      </c>
      <c r="HW644" s="19">
        <v>7.9</v>
      </c>
      <c r="HX644" s="19">
        <v>7.4</v>
      </c>
      <c r="HY644" s="19">
        <v>6.3</v>
      </c>
      <c r="HZ644" s="19">
        <v>5.8</v>
      </c>
      <c r="IA644" s="19">
        <v>5.9</v>
      </c>
      <c r="IB644" s="19">
        <v>5.3</v>
      </c>
    </row>
    <row r="645">
      <c r="A645" s="2" t="s">
        <v>3569</v>
      </c>
      <c r="B645" s="2" t="s">
        <v>761</v>
      </c>
      <c r="C645" s="2" t="s">
        <v>812</v>
      </c>
      <c r="D645" s="2" t="s">
        <v>1531</v>
      </c>
      <c r="E645" s="2" t="s">
        <v>1532</v>
      </c>
      <c r="F645" s="2" t="s">
        <v>3563</v>
      </c>
      <c r="G645" s="2" t="s">
        <v>3563</v>
      </c>
      <c r="H645" s="2" t="s">
        <v>3563</v>
      </c>
      <c r="I645" s="2" t="s">
        <v>1536</v>
      </c>
      <c r="J645" s="2" t="s">
        <v>741</v>
      </c>
      <c r="K645" s="2" t="s">
        <v>458</v>
      </c>
      <c r="L645" s="3">
        <v>175.75</v>
      </c>
      <c r="M645" s="3">
        <v>184.54</v>
      </c>
      <c r="N645" s="3">
        <v>369</v>
      </c>
      <c r="O645" s="2" t="s">
        <v>230</v>
      </c>
      <c r="P645" s="2" t="s">
        <v>721</v>
      </c>
      <c r="Q645" s="2" t="s">
        <v>232</v>
      </c>
      <c r="R645" s="2" t="s">
        <v>233</v>
      </c>
      <c r="S645" s="2" t="s">
        <v>233</v>
      </c>
      <c r="T645" s="2" t="s">
        <v>233</v>
      </c>
      <c r="U645" s="2" t="s">
        <v>329</v>
      </c>
      <c r="V645" s="2" t="s">
        <v>236</v>
      </c>
      <c r="W645" s="2" t="s">
        <v>3564</v>
      </c>
      <c r="X645" s="2" t="s">
        <v>288</v>
      </c>
      <c r="Y645" s="2" t="s">
        <v>1505</v>
      </c>
      <c r="Z645" s="4">
        <v>157</v>
      </c>
      <c r="AA645" s="4">
        <f>=ROUNDDOWN(78.5,0)</f>
      </c>
      <c r="AB645" s="5">
        <v>2</v>
      </c>
      <c r="AC645" s="2" t="s">
        <v>233</v>
      </c>
      <c r="AD645" s="4"/>
      <c r="AE645" s="4"/>
      <c r="AF645" s="6">
        <v>68</v>
      </c>
      <c r="AG645" s="6"/>
      <c r="AH645" s="7">
        <v>1</v>
      </c>
      <c r="AI645" s="4"/>
      <c r="AJ645" s="4">
        <f>=ROUNDDOWN({0},0)</f>
      </c>
      <c r="AK645" s="5"/>
      <c r="AL645" s="2" t="s">
        <v>233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 t="s">
        <v>233</v>
      </c>
      <c r="BD645" s="8" t="s">
        <v>233</v>
      </c>
      <c r="BE645" s="4" t="s">
        <v>233</v>
      </c>
      <c r="BF645" s="8" t="s">
        <v>233</v>
      </c>
      <c r="BG645" s="7" t="s">
        <v>233</v>
      </c>
      <c r="BH645" s="7" t="s">
        <v>233</v>
      </c>
      <c r="BI645" s="7"/>
      <c r="BJ645" s="4">
        <v>3</v>
      </c>
      <c r="BK645" s="8">
        <v>568.38</v>
      </c>
      <c r="BL645" s="2" t="s">
        <v>2652</v>
      </c>
      <c r="BM645" s="7"/>
      <c r="BN645" s="7"/>
      <c r="BO645" s="4"/>
      <c r="BP645" s="8"/>
      <c r="BQ645" s="4"/>
      <c r="BR645" s="8"/>
      <c r="BS645" s="7"/>
      <c r="BT645" s="7"/>
      <c r="BU645" s="2" t="s">
        <v>3567</v>
      </c>
      <c r="BV645" s="2" t="s">
        <v>233</v>
      </c>
      <c r="BW645" s="2" t="s">
        <v>233</v>
      </c>
      <c r="BX645" s="2" t="s">
        <v>241</v>
      </c>
      <c r="BY645" s="2" t="s">
        <v>242</v>
      </c>
      <c r="BZ645" s="2" t="s">
        <v>230</v>
      </c>
      <c r="CA645" s="2" t="s">
        <v>3570</v>
      </c>
      <c r="CB645" s="2" t="s">
        <v>3549</v>
      </c>
      <c r="CC645" s="2" t="s">
        <v>245</v>
      </c>
      <c r="CD645" s="2" t="s">
        <v>233</v>
      </c>
      <c r="CE645" s="4"/>
      <c r="CF645" s="4">
        <v>157</v>
      </c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>
        <v>157</v>
      </c>
      <c r="GD645" s="4">
        <v>147</v>
      </c>
      <c r="GE645" s="4">
        <v>145</v>
      </c>
      <c r="GF645" s="4">
        <v>143</v>
      </c>
      <c r="GG645" s="4">
        <v>140</v>
      </c>
      <c r="GH645" s="4">
        <v>138</v>
      </c>
      <c r="GI645" s="4">
        <v>136</v>
      </c>
      <c r="GJ645" s="4">
        <v>134</v>
      </c>
      <c r="GK645" s="4">
        <v>132</v>
      </c>
      <c r="GL645" s="4">
        <v>130</v>
      </c>
      <c r="GM645" s="4">
        <v>128</v>
      </c>
      <c r="GN645" s="4">
        <v>126</v>
      </c>
      <c r="GO645" s="4">
        <v>124</v>
      </c>
      <c r="GP645" s="4">
        <v>122</v>
      </c>
      <c r="GQ645" s="4">
        <v>120</v>
      </c>
      <c r="GR645" s="4">
        <v>118</v>
      </c>
      <c r="GS645" s="4">
        <v>116</v>
      </c>
      <c r="GT645" s="4">
        <v>114</v>
      </c>
      <c r="GU645" s="4">
        <v>112</v>
      </c>
      <c r="GV645" s="4">
        <v>110</v>
      </c>
      <c r="GW645" s="4">
        <v>108</v>
      </c>
      <c r="GX645" s="4">
        <v>106</v>
      </c>
      <c r="GY645" s="4">
        <v>104</v>
      </c>
      <c r="GZ645" s="4">
        <v>102</v>
      </c>
      <c r="HA645" s="4">
        <v>100</v>
      </c>
      <c r="HB645" s="4">
        <v>98</v>
      </c>
      <c r="HC645" s="19">
        <v>39.3</v>
      </c>
      <c r="HD645" s="19">
        <v>73.5</v>
      </c>
      <c r="HE645" s="19">
        <v>72.5</v>
      </c>
      <c r="HF645" s="19">
        <v>71.5</v>
      </c>
      <c r="HG645" s="19">
        <v>70</v>
      </c>
      <c r="HH645" s="19">
        <v>69</v>
      </c>
      <c r="HI645" s="19">
        <v>68</v>
      </c>
      <c r="HJ645" s="19">
        <v>67</v>
      </c>
      <c r="HK645" s="19">
        <v>66</v>
      </c>
      <c r="HL645" s="19">
        <v>65</v>
      </c>
      <c r="HM645" s="19">
        <v>64</v>
      </c>
      <c r="HN645" s="19">
        <v>63</v>
      </c>
      <c r="HO645" s="19">
        <v>62</v>
      </c>
      <c r="HP645" s="19">
        <v>61</v>
      </c>
      <c r="HQ645" s="19">
        <v>60</v>
      </c>
      <c r="HR645" s="19">
        <v>59</v>
      </c>
      <c r="HS645" s="19">
        <v>58</v>
      </c>
      <c r="HT645" s="19">
        <v>57</v>
      </c>
      <c r="HU645" s="19">
        <v>56</v>
      </c>
      <c r="HV645" s="19">
        <v>55</v>
      </c>
      <c r="HW645" s="19">
        <v>54</v>
      </c>
      <c r="HX645" s="19">
        <v>53</v>
      </c>
      <c r="HY645" s="19">
        <v>52</v>
      </c>
      <c r="HZ645" s="19">
        <v>51</v>
      </c>
      <c r="IA645" s="19">
        <v>50</v>
      </c>
      <c r="IB645" s="19">
        <v>49</v>
      </c>
    </row>
    <row r="646">
      <c r="A646" s="2" t="s">
        <v>3571</v>
      </c>
      <c r="B646" s="2" t="s">
        <v>811</v>
      </c>
      <c r="C646" s="2" t="s">
        <v>762</v>
      </c>
      <c r="D646" s="2" t="s">
        <v>813</v>
      </c>
      <c r="E646" s="2" t="s">
        <v>814</v>
      </c>
      <c r="F646" s="2" t="s">
        <v>3572</v>
      </c>
      <c r="G646" s="2" t="s">
        <v>3572</v>
      </c>
      <c r="H646" s="2" t="s">
        <v>3572</v>
      </c>
      <c r="I646" s="2" t="s">
        <v>3573</v>
      </c>
      <c r="J646" s="2" t="s">
        <v>741</v>
      </c>
      <c r="K646" s="2" t="s">
        <v>229</v>
      </c>
      <c r="L646" s="3">
        <v>40.38</v>
      </c>
      <c r="M646" s="3">
        <v>42.4</v>
      </c>
      <c r="N646" s="3">
        <v>89.99</v>
      </c>
      <c r="O646" s="2" t="s">
        <v>230</v>
      </c>
      <c r="P646" s="2" t="s">
        <v>231</v>
      </c>
      <c r="Q646" s="2" t="s">
        <v>232</v>
      </c>
      <c r="R646" s="2" t="s">
        <v>233</v>
      </c>
      <c r="S646" s="2" t="s">
        <v>233</v>
      </c>
      <c r="T646" s="2" t="s">
        <v>233</v>
      </c>
      <c r="U646" s="2" t="s">
        <v>329</v>
      </c>
      <c r="V646" s="2" t="s">
        <v>609</v>
      </c>
      <c r="W646" s="2" t="s">
        <v>620</v>
      </c>
      <c r="X646" s="2" t="s">
        <v>233</v>
      </c>
      <c r="Y646" s="2" t="s">
        <v>3574</v>
      </c>
      <c r="Z646" s="4">
        <v>51</v>
      </c>
      <c r="AA646" s="4">
        <f>=ROUNDDOWN(17,0)</f>
      </c>
      <c r="AB646" s="5">
        <v>3</v>
      </c>
      <c r="AC646" s="2" t="s">
        <v>233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233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/>
      <c r="BD646" s="8"/>
      <c r="BE646" s="4"/>
      <c r="BF646" s="8"/>
      <c r="BG646" s="7"/>
      <c r="BH646" s="7"/>
      <c r="BI646" s="7"/>
      <c r="BJ646" s="4">
        <v>9</v>
      </c>
      <c r="BK646" s="8">
        <v>388.72</v>
      </c>
      <c r="BL646" s="2" t="s">
        <v>3575</v>
      </c>
      <c r="BM646" s="7"/>
      <c r="BN646" s="7"/>
      <c r="BO646" s="4"/>
      <c r="BP646" s="8"/>
      <c r="BQ646" s="4"/>
      <c r="BR646" s="8"/>
      <c r="BS646" s="7"/>
      <c r="BT646" s="7"/>
      <c r="BU646" s="2" t="s">
        <v>3576</v>
      </c>
      <c r="BV646" s="2" t="s">
        <v>233</v>
      </c>
      <c r="BW646" s="2" t="s">
        <v>233</v>
      </c>
      <c r="BX646" s="2" t="s">
        <v>241</v>
      </c>
      <c r="BY646" s="2" t="s">
        <v>242</v>
      </c>
      <c r="BZ646" s="2" t="s">
        <v>230</v>
      </c>
      <c r="CA646" s="2" t="s">
        <v>3577</v>
      </c>
      <c r="CB646" s="2" t="s">
        <v>1897</v>
      </c>
      <c r="CC646" s="2" t="s">
        <v>245</v>
      </c>
      <c r="CD646" s="2" t="s">
        <v>233</v>
      </c>
      <c r="CE646" s="4"/>
      <c r="CF646" s="4">
        <v>51</v>
      </c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>
        <v>53</v>
      </c>
      <c r="GD646" s="4">
        <v>48</v>
      </c>
      <c r="GE646" s="4">
        <v>44</v>
      </c>
      <c r="GF646" s="4">
        <v>40</v>
      </c>
      <c r="GG646" s="4">
        <v>37</v>
      </c>
      <c r="GH646" s="4">
        <v>34</v>
      </c>
      <c r="GI646" s="4">
        <v>30</v>
      </c>
      <c r="GJ646" s="4">
        <v>27</v>
      </c>
      <c r="GK646" s="4">
        <v>24</v>
      </c>
      <c r="GL646" s="4">
        <v>21</v>
      </c>
      <c r="GM646" s="4">
        <v>18</v>
      </c>
      <c r="GN646" s="4">
        <v>15</v>
      </c>
      <c r="GO646" s="4">
        <v>12</v>
      </c>
      <c r="GP646" s="4">
        <v>9</v>
      </c>
      <c r="GQ646" s="4">
        <v>6</v>
      </c>
      <c r="GR646" s="4">
        <v>3</v>
      </c>
      <c r="GS646" s="4"/>
      <c r="GT646" s="4"/>
      <c r="GU646" s="4"/>
      <c r="GV646" s="4">
        <v>102</v>
      </c>
      <c r="GW646" s="4">
        <v>99</v>
      </c>
      <c r="GX646" s="4">
        <v>96</v>
      </c>
      <c r="GY646" s="4">
        <v>93</v>
      </c>
      <c r="GZ646" s="4">
        <v>90</v>
      </c>
      <c r="HA646" s="4">
        <v>87</v>
      </c>
      <c r="HB646" s="4">
        <v>84</v>
      </c>
      <c r="HC646" s="19">
        <v>13.3</v>
      </c>
      <c r="HD646" s="19">
        <v>12</v>
      </c>
      <c r="HE646" s="19">
        <v>11</v>
      </c>
      <c r="HF646" s="19">
        <v>13.3</v>
      </c>
      <c r="HG646" s="19">
        <v>12.3</v>
      </c>
      <c r="HH646" s="19">
        <v>11.3</v>
      </c>
      <c r="HI646" s="19">
        <v>10</v>
      </c>
      <c r="HJ646" s="19">
        <v>9</v>
      </c>
      <c r="HK646" s="19">
        <v>8</v>
      </c>
      <c r="HL646" s="19">
        <v>7</v>
      </c>
      <c r="HM646" s="19">
        <v>6</v>
      </c>
      <c r="HN646" s="19">
        <v>5</v>
      </c>
      <c r="HO646" s="19">
        <v>4</v>
      </c>
      <c r="HP646" s="19">
        <v>3</v>
      </c>
      <c r="HQ646" s="19">
        <v>2</v>
      </c>
      <c r="HR646" s="19">
        <v>1</v>
      </c>
      <c r="HS646" s="20">
        <v>0</v>
      </c>
      <c r="HT646" s="20">
        <v>0</v>
      </c>
      <c r="HU646" s="20">
        <v>0</v>
      </c>
      <c r="HV646" s="19">
        <v>34</v>
      </c>
      <c r="HW646" s="19">
        <v>33</v>
      </c>
      <c r="HX646" s="19">
        <v>32</v>
      </c>
      <c r="HY646" s="19">
        <v>31</v>
      </c>
      <c r="HZ646" s="19">
        <v>30</v>
      </c>
      <c r="IA646" s="19">
        <v>29</v>
      </c>
      <c r="IB646" s="19">
        <v>28</v>
      </c>
    </row>
    <row r="647">
      <c r="A647" s="2" t="s">
        <v>3578</v>
      </c>
      <c r="B647" s="2" t="s">
        <v>811</v>
      </c>
      <c r="C647" s="2" t="s">
        <v>812</v>
      </c>
      <c r="D647" s="2" t="s">
        <v>813</v>
      </c>
      <c r="E647" s="2" t="s">
        <v>814</v>
      </c>
      <c r="F647" s="2" t="s">
        <v>3579</v>
      </c>
      <c r="G647" s="2" t="s">
        <v>3579</v>
      </c>
      <c r="H647" s="2" t="s">
        <v>3579</v>
      </c>
      <c r="I647" s="2" t="s">
        <v>2216</v>
      </c>
      <c r="J647" s="2" t="s">
        <v>741</v>
      </c>
      <c r="K647" s="2" t="s">
        <v>266</v>
      </c>
      <c r="L647" s="3">
        <v>64.06</v>
      </c>
      <c r="M647" s="3">
        <v>67.26</v>
      </c>
      <c r="N647" s="3">
        <v>139.99</v>
      </c>
      <c r="O647" s="2" t="s">
        <v>230</v>
      </c>
      <c r="P647" s="2" t="s">
        <v>231</v>
      </c>
      <c r="Q647" s="2" t="s">
        <v>232</v>
      </c>
      <c r="R647" s="2" t="s">
        <v>233</v>
      </c>
      <c r="S647" s="2" t="s">
        <v>233</v>
      </c>
      <c r="T647" s="2" t="s">
        <v>233</v>
      </c>
      <c r="U647" s="2" t="s">
        <v>233</v>
      </c>
      <c r="V647" s="2" t="s">
        <v>236</v>
      </c>
      <c r="W647" s="2" t="s">
        <v>712</v>
      </c>
      <c r="X647" s="2" t="s">
        <v>819</v>
      </c>
      <c r="Y647" s="2" t="s">
        <v>3580</v>
      </c>
      <c r="Z647" s="4">
        <v>2</v>
      </c>
      <c r="AA647" s="4">
        <f>=ROUNDDOWN(0.666666666666667,0)</f>
      </c>
      <c r="AB647" s="5">
        <v>3</v>
      </c>
      <c r="AC647" s="2" t="s">
        <v>148</v>
      </c>
      <c r="AD647" s="4">
        <v>100</v>
      </c>
      <c r="AE647" s="4">
        <v>100</v>
      </c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233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/>
      <c r="BD647" s="8"/>
      <c r="BE647" s="4"/>
      <c r="BF647" s="8"/>
      <c r="BG647" s="7"/>
      <c r="BH647" s="7"/>
      <c r="BI647" s="7"/>
      <c r="BJ647" s="4">
        <v>1</v>
      </c>
      <c r="BK647" s="8">
        <v>73.99</v>
      </c>
      <c r="BL647" s="2" t="s">
        <v>1304</v>
      </c>
      <c r="BM647" s="7"/>
      <c r="BN647" s="7"/>
      <c r="BO647" s="4"/>
      <c r="BP647" s="8"/>
      <c r="BQ647" s="4"/>
      <c r="BR647" s="8"/>
      <c r="BS647" s="7"/>
      <c r="BT647" s="7"/>
      <c r="BU647" s="2" t="s">
        <v>3581</v>
      </c>
      <c r="BV647" s="2" t="s">
        <v>233</v>
      </c>
      <c r="BW647" s="2" t="s">
        <v>233</v>
      </c>
      <c r="BX647" s="2" t="s">
        <v>241</v>
      </c>
      <c r="BY647" s="2" t="s">
        <v>242</v>
      </c>
      <c r="BZ647" s="2" t="s">
        <v>230</v>
      </c>
      <c r="CA647" s="2" t="s">
        <v>3582</v>
      </c>
      <c r="CB647" s="2" t="s">
        <v>3583</v>
      </c>
      <c r="CC647" s="2" t="s">
        <v>245</v>
      </c>
      <c r="CD647" s="2" t="s">
        <v>233</v>
      </c>
      <c r="CE647" s="4"/>
      <c r="CF647" s="4">
        <v>2</v>
      </c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>
        <v>100</v>
      </c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>
        <v>2</v>
      </c>
      <c r="GD647" s="4"/>
      <c r="GE647" s="4"/>
      <c r="GF647" s="4"/>
      <c r="GG647" s="4">
        <v>100</v>
      </c>
      <c r="GH647" s="4">
        <v>97</v>
      </c>
      <c r="GI647" s="4">
        <v>93</v>
      </c>
      <c r="GJ647" s="4">
        <v>90</v>
      </c>
      <c r="GK647" s="4">
        <v>87</v>
      </c>
      <c r="GL647" s="4">
        <v>84</v>
      </c>
      <c r="GM647" s="4">
        <v>81</v>
      </c>
      <c r="GN647" s="4">
        <v>78</v>
      </c>
      <c r="GO647" s="4">
        <v>75</v>
      </c>
      <c r="GP647" s="4">
        <v>72</v>
      </c>
      <c r="GQ647" s="4">
        <v>69</v>
      </c>
      <c r="GR647" s="4">
        <v>66</v>
      </c>
      <c r="GS647" s="4">
        <v>63</v>
      </c>
      <c r="GT647" s="4">
        <v>59</v>
      </c>
      <c r="GU647" s="4">
        <v>56</v>
      </c>
      <c r="GV647" s="4">
        <v>53</v>
      </c>
      <c r="GW647" s="4">
        <v>50</v>
      </c>
      <c r="GX647" s="4">
        <v>47</v>
      </c>
      <c r="GY647" s="4">
        <v>44</v>
      </c>
      <c r="GZ647" s="4">
        <v>41</v>
      </c>
      <c r="HA647" s="4">
        <v>38</v>
      </c>
      <c r="HB647" s="4">
        <v>35</v>
      </c>
      <c r="HC647" s="19">
        <v>0.5</v>
      </c>
      <c r="HD647" s="20">
        <v>0</v>
      </c>
      <c r="HE647" s="20">
        <v>0</v>
      </c>
      <c r="HF647" s="20">
        <v>0</v>
      </c>
      <c r="HG647" s="19">
        <v>33.3</v>
      </c>
      <c r="HH647" s="19">
        <v>32.3</v>
      </c>
      <c r="HI647" s="19">
        <v>31</v>
      </c>
      <c r="HJ647" s="19">
        <v>30</v>
      </c>
      <c r="HK647" s="19">
        <v>29</v>
      </c>
      <c r="HL647" s="19">
        <v>28</v>
      </c>
      <c r="HM647" s="19">
        <v>27</v>
      </c>
      <c r="HN647" s="19">
        <v>26</v>
      </c>
      <c r="HO647" s="19">
        <v>25</v>
      </c>
      <c r="HP647" s="19">
        <v>24</v>
      </c>
      <c r="HQ647" s="19">
        <v>23</v>
      </c>
      <c r="HR647" s="19">
        <v>22</v>
      </c>
      <c r="HS647" s="19">
        <v>21</v>
      </c>
      <c r="HT647" s="19">
        <v>19.7</v>
      </c>
      <c r="HU647" s="19">
        <v>18.7</v>
      </c>
      <c r="HV647" s="19">
        <v>17.7</v>
      </c>
      <c r="HW647" s="19">
        <v>16.7</v>
      </c>
      <c r="HX647" s="19">
        <v>15.7</v>
      </c>
      <c r="HY647" s="19">
        <v>14.7</v>
      </c>
      <c r="HZ647" s="19">
        <v>13.7</v>
      </c>
      <c r="IA647" s="19">
        <v>12.7</v>
      </c>
      <c r="IB647" s="19">
        <v>11.7</v>
      </c>
    </row>
    <row r="648">
      <c r="A648" s="2" t="s">
        <v>3584</v>
      </c>
      <c r="B648" s="2" t="s">
        <v>872</v>
      </c>
      <c r="C648" s="2" t="s">
        <v>280</v>
      </c>
      <c r="D648" s="2" t="s">
        <v>261</v>
      </c>
      <c r="E648" s="2" t="s">
        <v>603</v>
      </c>
      <c r="F648" s="2" t="s">
        <v>3585</v>
      </c>
      <c r="G648" s="2" t="s">
        <v>3586</v>
      </c>
      <c r="H648" s="2" t="s">
        <v>3587</v>
      </c>
      <c r="I648" s="2" t="s">
        <v>3588</v>
      </c>
      <c r="J648" s="2" t="s">
        <v>336</v>
      </c>
      <c r="K648" s="2" t="s">
        <v>229</v>
      </c>
      <c r="L648" s="3">
        <v>45.71</v>
      </c>
      <c r="M648" s="3">
        <v>48</v>
      </c>
      <c r="N648" s="3">
        <v>99.99</v>
      </c>
      <c r="O648" s="2" t="s">
        <v>230</v>
      </c>
      <c r="P648" s="2" t="s">
        <v>231</v>
      </c>
      <c r="Q648" s="2" t="s">
        <v>232</v>
      </c>
      <c r="R648" s="2" t="s">
        <v>233</v>
      </c>
      <c r="S648" s="2" t="s">
        <v>3589</v>
      </c>
      <c r="T648" s="2" t="s">
        <v>469</v>
      </c>
      <c r="U648" s="2" t="s">
        <v>635</v>
      </c>
      <c r="V648" s="2" t="s">
        <v>349</v>
      </c>
      <c r="W648" s="2" t="s">
        <v>620</v>
      </c>
      <c r="X648" s="2" t="s">
        <v>712</v>
      </c>
      <c r="Y648" s="2" t="s">
        <v>3590</v>
      </c>
      <c r="Z648" s="4">
        <v>3</v>
      </c>
      <c r="AA648" s="4">
        <f>=ROUNDDOWN(0.136363636363636,0)</f>
      </c>
      <c r="AB648" s="5">
        <v>22</v>
      </c>
      <c r="AC648" s="2" t="s">
        <v>172</v>
      </c>
      <c r="AD648" s="4">
        <v>410</v>
      </c>
      <c r="AE648" s="4">
        <v>810</v>
      </c>
      <c r="AF648" s="6">
        <v>69</v>
      </c>
      <c r="AG648" s="6"/>
      <c r="AH648" s="7">
        <v>0</v>
      </c>
      <c r="AI648" s="4"/>
      <c r="AJ648" s="4">
        <f>=ROUNDDOWN({0},0)</f>
      </c>
      <c r="AK648" s="5"/>
      <c r="AL648" s="2" t="s">
        <v>233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 t="s">
        <v>233</v>
      </c>
      <c r="BD648" s="8" t="s">
        <v>233</v>
      </c>
      <c r="BE648" s="4" t="s">
        <v>233</v>
      </c>
      <c r="BF648" s="8" t="s">
        <v>233</v>
      </c>
      <c r="BG648" s="7" t="s">
        <v>233</v>
      </c>
      <c r="BH648" s="7" t="s">
        <v>233</v>
      </c>
      <c r="BI648" s="7"/>
      <c r="BJ648" s="4"/>
      <c r="BK648" s="8"/>
      <c r="BL648" s="2" t="s">
        <v>233</v>
      </c>
      <c r="BM648" s="7"/>
      <c r="BN648" s="7"/>
      <c r="BO648" s="4"/>
      <c r="BP648" s="8"/>
      <c r="BQ648" s="4"/>
      <c r="BR648" s="8"/>
      <c r="BS648" s="7"/>
      <c r="BT648" s="7"/>
      <c r="BU648" s="2" t="s">
        <v>3591</v>
      </c>
      <c r="BV648" s="2" t="s">
        <v>233</v>
      </c>
      <c r="BW648" s="2" t="s">
        <v>233</v>
      </c>
      <c r="BX648" s="2" t="s">
        <v>293</v>
      </c>
      <c r="BY648" s="2" t="s">
        <v>242</v>
      </c>
      <c r="BZ648" s="2" t="s">
        <v>230</v>
      </c>
      <c r="CA648" s="2" t="s">
        <v>3592</v>
      </c>
      <c r="CB648" s="2" t="s">
        <v>2451</v>
      </c>
      <c r="CC648" s="2" t="s">
        <v>245</v>
      </c>
      <c r="CD648" s="2" t="s">
        <v>233</v>
      </c>
      <c r="CE648" s="4">
        <v>3</v>
      </c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>
        <v>410</v>
      </c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>
        <v>200</v>
      </c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>
        <v>200</v>
      </c>
      <c r="FV648" s="4"/>
      <c r="FW648" s="4"/>
      <c r="FX648" s="4"/>
      <c r="FY648" s="4"/>
      <c r="FZ648" s="4"/>
      <c r="GA648" s="4"/>
      <c r="GB648" s="4"/>
      <c r="GC648" s="4">
        <v>3</v>
      </c>
      <c r="GD648" s="4"/>
      <c r="GE648" s="4"/>
      <c r="GF648" s="4"/>
      <c r="GG648" s="4"/>
      <c r="GH648" s="4"/>
      <c r="GI648" s="4"/>
      <c r="GJ648" s="4">
        <v>410</v>
      </c>
      <c r="GK648" s="4">
        <v>395</v>
      </c>
      <c r="GL648" s="4">
        <v>371</v>
      </c>
      <c r="GM648" s="4">
        <v>549</v>
      </c>
      <c r="GN648" s="4">
        <v>527</v>
      </c>
      <c r="GO648" s="4">
        <v>505</v>
      </c>
      <c r="GP648" s="4">
        <v>483</v>
      </c>
      <c r="GQ648" s="4">
        <v>461</v>
      </c>
      <c r="GR648" s="4">
        <v>439</v>
      </c>
      <c r="GS648" s="4">
        <v>417</v>
      </c>
      <c r="GT648" s="4">
        <v>593</v>
      </c>
      <c r="GU648" s="4">
        <v>571</v>
      </c>
      <c r="GV648" s="4">
        <v>549</v>
      </c>
      <c r="GW648" s="4">
        <v>527</v>
      </c>
      <c r="GX648" s="4">
        <v>505</v>
      </c>
      <c r="GY648" s="4">
        <v>483</v>
      </c>
      <c r="GZ648" s="4">
        <v>461</v>
      </c>
      <c r="HA648" s="4">
        <v>439</v>
      </c>
      <c r="HB648" s="4">
        <v>417</v>
      </c>
      <c r="HC648" s="19">
        <v>0.1</v>
      </c>
      <c r="HD648" s="20">
        <v>0</v>
      </c>
      <c r="HE648" s="20">
        <v>0</v>
      </c>
      <c r="HF648" s="20">
        <v>0</v>
      </c>
      <c r="HG648" s="20">
        <v>0</v>
      </c>
      <c r="HH648" s="20">
        <v>0</v>
      </c>
      <c r="HI648" s="20">
        <v>0</v>
      </c>
      <c r="HJ648" s="19">
        <v>19.5</v>
      </c>
      <c r="HK648" s="19">
        <v>18</v>
      </c>
      <c r="HL648" s="19">
        <v>16.9</v>
      </c>
      <c r="HM648" s="19">
        <v>25</v>
      </c>
      <c r="HN648" s="19">
        <v>24</v>
      </c>
      <c r="HO648" s="19">
        <v>23</v>
      </c>
      <c r="HP648" s="19">
        <v>22</v>
      </c>
      <c r="HQ648" s="19">
        <v>21</v>
      </c>
      <c r="HR648" s="19">
        <v>20</v>
      </c>
      <c r="HS648" s="19">
        <v>19</v>
      </c>
      <c r="HT648" s="19">
        <v>27</v>
      </c>
      <c r="HU648" s="19">
        <v>26</v>
      </c>
      <c r="HV648" s="19">
        <v>25</v>
      </c>
      <c r="HW648" s="19">
        <v>24</v>
      </c>
      <c r="HX648" s="19">
        <v>23</v>
      </c>
      <c r="HY648" s="19">
        <v>22</v>
      </c>
      <c r="HZ648" s="19">
        <v>21</v>
      </c>
      <c r="IA648" s="19">
        <v>20</v>
      </c>
      <c r="IB648" s="19">
        <v>19</v>
      </c>
    </row>
    <row r="649">
      <c r="A649" s="2" t="s">
        <v>3593</v>
      </c>
      <c r="B649" s="2" t="s">
        <v>872</v>
      </c>
      <c r="C649" s="2" t="s">
        <v>280</v>
      </c>
      <c r="D649" s="2" t="s">
        <v>261</v>
      </c>
      <c r="E649" s="2" t="s">
        <v>603</v>
      </c>
      <c r="F649" s="2" t="s">
        <v>3585</v>
      </c>
      <c r="G649" s="2" t="s">
        <v>3586</v>
      </c>
      <c r="H649" s="2" t="s">
        <v>3587</v>
      </c>
      <c r="I649" s="2" t="s">
        <v>3588</v>
      </c>
      <c r="J649" s="2" t="s">
        <v>336</v>
      </c>
      <c r="K649" s="2" t="s">
        <v>3594</v>
      </c>
      <c r="L649" s="3">
        <v>45.71</v>
      </c>
      <c r="M649" s="3">
        <v>48</v>
      </c>
      <c r="N649" s="3">
        <v>99.99</v>
      </c>
      <c r="O649" s="2" t="s">
        <v>230</v>
      </c>
      <c r="P649" s="2" t="s">
        <v>231</v>
      </c>
      <c r="Q649" s="2" t="s">
        <v>232</v>
      </c>
      <c r="R649" s="2" t="s">
        <v>233</v>
      </c>
      <c r="S649" s="2" t="s">
        <v>3595</v>
      </c>
      <c r="T649" s="2" t="s">
        <v>469</v>
      </c>
      <c r="U649" s="2" t="s">
        <v>635</v>
      </c>
      <c r="V649" s="2" t="s">
        <v>349</v>
      </c>
      <c r="W649" s="2" t="s">
        <v>620</v>
      </c>
      <c r="X649" s="2" t="s">
        <v>712</v>
      </c>
      <c r="Y649" s="2" t="s">
        <v>3596</v>
      </c>
      <c r="Z649" s="4">
        <v>1</v>
      </c>
      <c r="AA649" s="4">
        <f>=ROUNDDOWN(0.0285714285714286,0)</f>
      </c>
      <c r="AB649" s="5">
        <v>35</v>
      </c>
      <c r="AC649" s="2" t="s">
        <v>172</v>
      </c>
      <c r="AD649" s="4">
        <v>320</v>
      </c>
      <c r="AE649" s="4">
        <v>780</v>
      </c>
      <c r="AF649" s="6">
        <v>69</v>
      </c>
      <c r="AG649" s="6"/>
      <c r="AH649" s="7">
        <v>0</v>
      </c>
      <c r="AI649" s="4"/>
      <c r="AJ649" s="4">
        <f>=ROUNDDOWN({0},0)</f>
      </c>
      <c r="AK649" s="5"/>
      <c r="AL649" s="2" t="s">
        <v>233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 t="s">
        <v>233</v>
      </c>
      <c r="BD649" s="8" t="s">
        <v>233</v>
      </c>
      <c r="BE649" s="4" t="s">
        <v>233</v>
      </c>
      <c r="BF649" s="8" t="s">
        <v>233</v>
      </c>
      <c r="BG649" s="7" t="s">
        <v>233</v>
      </c>
      <c r="BH649" s="7" t="s">
        <v>233</v>
      </c>
      <c r="BI649" s="7"/>
      <c r="BJ649" s="4">
        <v>4</v>
      </c>
      <c r="BK649" s="8">
        <v>192</v>
      </c>
      <c r="BL649" s="2" t="s">
        <v>1304</v>
      </c>
      <c r="BM649" s="7"/>
      <c r="BN649" s="7"/>
      <c r="BO649" s="4"/>
      <c r="BP649" s="8"/>
      <c r="BQ649" s="4"/>
      <c r="BR649" s="8"/>
      <c r="BS649" s="7"/>
      <c r="BT649" s="7"/>
      <c r="BU649" s="2" t="s">
        <v>3591</v>
      </c>
      <c r="BV649" s="2" t="s">
        <v>233</v>
      </c>
      <c r="BW649" s="2" t="s">
        <v>233</v>
      </c>
      <c r="BX649" s="2" t="s">
        <v>293</v>
      </c>
      <c r="BY649" s="2" t="s">
        <v>242</v>
      </c>
      <c r="BZ649" s="2" t="s">
        <v>230</v>
      </c>
      <c r="CA649" s="2" t="s">
        <v>3405</v>
      </c>
      <c r="CB649" s="2" t="s">
        <v>1569</v>
      </c>
      <c r="CC649" s="2" t="s">
        <v>245</v>
      </c>
      <c r="CD649" s="2" t="s">
        <v>233</v>
      </c>
      <c r="CE649" s="4">
        <v>1</v>
      </c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>
        <v>320</v>
      </c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>
        <v>230</v>
      </c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>
        <v>230</v>
      </c>
      <c r="FV649" s="4"/>
      <c r="FW649" s="4"/>
      <c r="FX649" s="4"/>
      <c r="FY649" s="4"/>
      <c r="FZ649" s="4"/>
      <c r="GA649" s="4"/>
      <c r="GB649" s="4"/>
      <c r="GC649" s="4">
        <v>1</v>
      </c>
      <c r="GD649" s="4"/>
      <c r="GE649" s="4"/>
      <c r="GF649" s="4"/>
      <c r="GG649" s="4"/>
      <c r="GH649" s="4"/>
      <c r="GI649" s="4"/>
      <c r="GJ649" s="4">
        <v>320</v>
      </c>
      <c r="GK649" s="4">
        <v>295</v>
      </c>
      <c r="GL649" s="4">
        <v>256</v>
      </c>
      <c r="GM649" s="4">
        <v>451</v>
      </c>
      <c r="GN649" s="4">
        <v>416</v>
      </c>
      <c r="GO649" s="4">
        <v>381</v>
      </c>
      <c r="GP649" s="4">
        <v>346</v>
      </c>
      <c r="GQ649" s="4">
        <v>311</v>
      </c>
      <c r="GR649" s="4">
        <v>276</v>
      </c>
      <c r="GS649" s="4">
        <v>241</v>
      </c>
      <c r="GT649" s="4">
        <v>432</v>
      </c>
      <c r="GU649" s="4">
        <v>397</v>
      </c>
      <c r="GV649" s="4">
        <v>362</v>
      </c>
      <c r="GW649" s="4">
        <v>327</v>
      </c>
      <c r="GX649" s="4">
        <v>292</v>
      </c>
      <c r="GY649" s="4">
        <v>257</v>
      </c>
      <c r="GZ649" s="4">
        <v>222</v>
      </c>
      <c r="HA649" s="4">
        <v>187</v>
      </c>
      <c r="HB649" s="4">
        <v>152</v>
      </c>
      <c r="HC649" s="20">
        <v>0</v>
      </c>
      <c r="HD649" s="20">
        <v>0</v>
      </c>
      <c r="HE649" s="20">
        <v>0</v>
      </c>
      <c r="HF649" s="20">
        <v>0</v>
      </c>
      <c r="HG649" s="20">
        <v>0</v>
      </c>
      <c r="HH649" s="20">
        <v>0</v>
      </c>
      <c r="HI649" s="20">
        <v>0</v>
      </c>
      <c r="HJ649" s="19">
        <v>9.4</v>
      </c>
      <c r="HK649" s="19">
        <v>8.2</v>
      </c>
      <c r="HL649" s="19">
        <v>7.3</v>
      </c>
      <c r="HM649" s="19">
        <v>12.9</v>
      </c>
      <c r="HN649" s="19">
        <v>11.9</v>
      </c>
      <c r="HO649" s="19">
        <v>10.9</v>
      </c>
      <c r="HP649" s="19">
        <v>9.6</v>
      </c>
      <c r="HQ649" s="19">
        <v>8.6</v>
      </c>
      <c r="HR649" s="19">
        <v>7.7</v>
      </c>
      <c r="HS649" s="19">
        <v>6.7</v>
      </c>
      <c r="HT649" s="19">
        <v>12.3</v>
      </c>
      <c r="HU649" s="19">
        <v>11.3</v>
      </c>
      <c r="HV649" s="19">
        <v>10.3</v>
      </c>
      <c r="HW649" s="19">
        <v>9.3</v>
      </c>
      <c r="HX649" s="19">
        <v>8.3</v>
      </c>
      <c r="HY649" s="19">
        <v>7.3</v>
      </c>
      <c r="HZ649" s="19">
        <v>6.3</v>
      </c>
      <c r="IA649" s="19">
        <v>5.3</v>
      </c>
      <c r="IB649" s="19">
        <v>4.3</v>
      </c>
    </row>
    <row r="650">
      <c r="A650" s="2" t="s">
        <v>3597</v>
      </c>
      <c r="B650" s="2" t="s">
        <v>761</v>
      </c>
      <c r="C650" s="2" t="s">
        <v>280</v>
      </c>
      <c r="D650" s="2" t="s">
        <v>763</v>
      </c>
      <c r="E650" s="2" t="s">
        <v>764</v>
      </c>
      <c r="F650" s="2" t="s">
        <v>3598</v>
      </c>
      <c r="G650" s="2" t="s">
        <v>3599</v>
      </c>
      <c r="H650" s="2" t="s">
        <v>3600</v>
      </c>
      <c r="I650" s="2" t="s">
        <v>3601</v>
      </c>
      <c r="J650" s="2" t="s">
        <v>741</v>
      </c>
      <c r="K650" s="2" t="s">
        <v>1157</v>
      </c>
      <c r="L650" s="3">
        <v>165</v>
      </c>
      <c r="M650" s="3">
        <v>173.25</v>
      </c>
      <c r="N650" s="3">
        <v>349</v>
      </c>
      <c r="O650" s="2" t="s">
        <v>230</v>
      </c>
      <c r="P650" s="2" t="s">
        <v>231</v>
      </c>
      <c r="Q650" s="2" t="s">
        <v>232</v>
      </c>
      <c r="R650" s="2" t="s">
        <v>233</v>
      </c>
      <c r="S650" s="2" t="s">
        <v>233</v>
      </c>
      <c r="T650" s="2" t="s">
        <v>233</v>
      </c>
      <c r="U650" s="2" t="s">
        <v>329</v>
      </c>
      <c r="V650" s="2" t="s">
        <v>236</v>
      </c>
      <c r="W650" s="2" t="s">
        <v>712</v>
      </c>
      <c r="X650" s="2" t="s">
        <v>620</v>
      </c>
      <c r="Y650" s="2" t="s">
        <v>3602</v>
      </c>
      <c r="Z650" s="4">
        <v>167</v>
      </c>
      <c r="AA650" s="4">
        <f>=ROUNDDOWN(13.9166666666667,0)</f>
      </c>
      <c r="AB650" s="5">
        <v>12</v>
      </c>
      <c r="AC650" s="2" t="s">
        <v>168</v>
      </c>
      <c r="AD650" s="4">
        <v>157</v>
      </c>
      <c r="AE650" s="4">
        <v>165</v>
      </c>
      <c r="AF650" s="6">
        <v>69</v>
      </c>
      <c r="AG650" s="6">
        <v>52</v>
      </c>
      <c r="AH650" s="7">
        <v>1</v>
      </c>
      <c r="AI650" s="4"/>
      <c r="AJ650" s="4">
        <f>=ROUNDDOWN({0},0)</f>
      </c>
      <c r="AK650" s="5"/>
      <c r="AL650" s="2" t="s">
        <v>233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/>
      <c r="BD650" s="8"/>
      <c r="BE650" s="4"/>
      <c r="BF650" s="8"/>
      <c r="BG650" s="7"/>
      <c r="BH650" s="7"/>
      <c r="BI650" s="7"/>
      <c r="BJ650" s="4">
        <v>41</v>
      </c>
      <c r="BK650" s="8">
        <v>6618.59</v>
      </c>
      <c r="BL650" s="2" t="s">
        <v>3603</v>
      </c>
      <c r="BM650" s="7"/>
      <c r="BN650" s="7"/>
      <c r="BO650" s="4"/>
      <c r="BP650" s="8"/>
      <c r="BQ650" s="4"/>
      <c r="BR650" s="8"/>
      <c r="BS650" s="7"/>
      <c r="BT650" s="7"/>
      <c r="BU650" s="2" t="s">
        <v>3604</v>
      </c>
      <c r="BV650" s="2" t="s">
        <v>233</v>
      </c>
      <c r="BW650" s="2" t="s">
        <v>233</v>
      </c>
      <c r="BX650" s="2" t="s">
        <v>293</v>
      </c>
      <c r="BY650" s="2" t="s">
        <v>242</v>
      </c>
      <c r="BZ650" s="2" t="s">
        <v>230</v>
      </c>
      <c r="CA650" s="2" t="s">
        <v>3602</v>
      </c>
      <c r="CB650" s="2" t="s">
        <v>3605</v>
      </c>
      <c r="CC650" s="2" t="s">
        <v>245</v>
      </c>
      <c r="CD650" s="2" t="s">
        <v>233</v>
      </c>
      <c r="CE650" s="4"/>
      <c r="CF650" s="4">
        <v>164</v>
      </c>
      <c r="CG650" s="4"/>
      <c r="CH650" s="4">
        <v>3</v>
      </c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>
        <v>157</v>
      </c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>
        <v>8</v>
      </c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>
        <v>172</v>
      </c>
      <c r="GD650" s="4">
        <v>137</v>
      </c>
      <c r="GE650" s="4">
        <v>113</v>
      </c>
      <c r="GF650" s="4">
        <v>94</v>
      </c>
      <c r="GG650" s="4">
        <v>53</v>
      </c>
      <c r="GH650" s="4">
        <v>31</v>
      </c>
      <c r="GI650" s="4">
        <v>11</v>
      </c>
      <c r="GJ650" s="4">
        <v>159</v>
      </c>
      <c r="GK650" s="4">
        <v>149</v>
      </c>
      <c r="GL650" s="4">
        <v>138</v>
      </c>
      <c r="GM650" s="4">
        <v>129</v>
      </c>
      <c r="GN650" s="4">
        <v>118</v>
      </c>
      <c r="GO650" s="4">
        <v>109</v>
      </c>
      <c r="GP650" s="4">
        <v>108</v>
      </c>
      <c r="GQ650" s="4">
        <v>98</v>
      </c>
      <c r="GR650" s="4">
        <v>88</v>
      </c>
      <c r="GS650" s="4">
        <v>78</v>
      </c>
      <c r="GT650" s="4">
        <v>67</v>
      </c>
      <c r="GU650" s="4">
        <v>57</v>
      </c>
      <c r="GV650" s="4">
        <v>46</v>
      </c>
      <c r="GW650" s="4">
        <v>35</v>
      </c>
      <c r="GX650" s="4">
        <v>24</v>
      </c>
      <c r="GY650" s="4">
        <v>13</v>
      </c>
      <c r="GZ650" s="4">
        <v>1</v>
      </c>
      <c r="HA650" s="4"/>
      <c r="HB650" s="4">
        <v>31</v>
      </c>
      <c r="HC650" s="19">
        <v>4.4</v>
      </c>
      <c r="HD650" s="19">
        <v>2.7</v>
      </c>
      <c r="HE650" s="19">
        <v>2.2</v>
      </c>
      <c r="HF650" s="19">
        <v>2.1</v>
      </c>
      <c r="HG650" s="19">
        <v>1.8</v>
      </c>
      <c r="HH650" s="19">
        <v>1.3</v>
      </c>
      <c r="HI650" s="19">
        <v>0.6</v>
      </c>
      <c r="HJ650" s="19">
        <v>8</v>
      </c>
      <c r="HK650" s="19">
        <v>7.5</v>
      </c>
      <c r="HL650" s="19">
        <v>6.9</v>
      </c>
      <c r="HM650" s="19">
        <v>6.5</v>
      </c>
      <c r="HN650" s="19">
        <v>5.9</v>
      </c>
      <c r="HO650" s="19">
        <v>5.5</v>
      </c>
      <c r="HP650" s="19">
        <v>5.4</v>
      </c>
      <c r="HQ650" s="19">
        <v>4.9</v>
      </c>
      <c r="HR650" s="19">
        <v>4.4</v>
      </c>
      <c r="HS650" s="19">
        <v>3.6</v>
      </c>
      <c r="HT650" s="19">
        <v>3.1</v>
      </c>
      <c r="HU650" s="19">
        <v>2.6</v>
      </c>
      <c r="HV650" s="19">
        <v>2.1</v>
      </c>
      <c r="HW650" s="19">
        <v>1.6</v>
      </c>
      <c r="HX650" s="19">
        <v>1.1</v>
      </c>
      <c r="HY650" s="19">
        <v>0.8</v>
      </c>
      <c r="HZ650" s="19">
        <v>0.1</v>
      </c>
      <c r="IA650" s="20">
        <v>0</v>
      </c>
      <c r="IB650" s="19">
        <v>2.2</v>
      </c>
    </row>
    <row r="651">
      <c r="A651" s="2" t="s">
        <v>3606</v>
      </c>
      <c r="B651" s="2" t="s">
        <v>872</v>
      </c>
      <c r="C651" s="2" t="s">
        <v>280</v>
      </c>
      <c r="D651" s="2" t="s">
        <v>261</v>
      </c>
      <c r="E651" s="2" t="s">
        <v>603</v>
      </c>
      <c r="F651" s="2" t="s">
        <v>3607</v>
      </c>
      <c r="G651" s="2" t="s">
        <v>3608</v>
      </c>
      <c r="H651" s="2" t="s">
        <v>1817</v>
      </c>
      <c r="I651" s="2" t="s">
        <v>3609</v>
      </c>
      <c r="J651" s="2" t="s">
        <v>256</v>
      </c>
      <c r="K651" s="2" t="s">
        <v>229</v>
      </c>
      <c r="L651" s="3">
        <v>83.3</v>
      </c>
      <c r="M651" s="3">
        <v>87.46</v>
      </c>
      <c r="N651" s="3">
        <v>169.99</v>
      </c>
      <c r="O651" s="2" t="s">
        <v>230</v>
      </c>
      <c r="P651" s="2" t="s">
        <v>231</v>
      </c>
      <c r="Q651" s="2" t="s">
        <v>232</v>
      </c>
      <c r="R651" s="2" t="s">
        <v>233</v>
      </c>
      <c r="S651" s="2" t="s">
        <v>3610</v>
      </c>
      <c r="T651" s="2" t="s">
        <v>233</v>
      </c>
      <c r="U651" s="2" t="s">
        <v>2641</v>
      </c>
      <c r="V651" s="2" t="s">
        <v>3611</v>
      </c>
      <c r="W651" s="2" t="s">
        <v>712</v>
      </c>
      <c r="X651" s="2" t="s">
        <v>3612</v>
      </c>
      <c r="Y651" s="2" t="s">
        <v>238</v>
      </c>
      <c r="Z651" s="4">
        <v>487</v>
      </c>
      <c r="AA651" s="4">
        <f>=ROUNDDOWN(40.5833333333333,0)</f>
      </c>
      <c r="AB651" s="5">
        <v>12</v>
      </c>
      <c r="AC651" s="2" t="s">
        <v>149</v>
      </c>
      <c r="AD651" s="4">
        <v>20</v>
      </c>
      <c r="AE651" s="4">
        <v>250</v>
      </c>
      <c r="AF651" s="6">
        <v>65</v>
      </c>
      <c r="AG651" s="6">
        <v>48</v>
      </c>
      <c r="AH651" s="7">
        <v>1</v>
      </c>
      <c r="AI651" s="4"/>
      <c r="AJ651" s="4">
        <f>=ROUNDDOWN({0},0)</f>
      </c>
      <c r="AK651" s="5"/>
      <c r="AL651" s="2" t="s">
        <v>233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/>
      <c r="BD651" s="8"/>
      <c r="BE651" s="4"/>
      <c r="BF651" s="8"/>
      <c r="BG651" s="7"/>
      <c r="BH651" s="7"/>
      <c r="BI651" s="7"/>
      <c r="BJ651" s="4">
        <v>50</v>
      </c>
      <c r="BK651" s="8">
        <v>4439.32</v>
      </c>
      <c r="BL651" s="2" t="s">
        <v>3613</v>
      </c>
      <c r="BM651" s="7"/>
      <c r="BN651" s="7"/>
      <c r="BO651" s="4"/>
      <c r="BP651" s="8"/>
      <c r="BQ651" s="4"/>
      <c r="BR651" s="8"/>
      <c r="BS651" s="7"/>
      <c r="BT651" s="7"/>
      <c r="BU651" s="2" t="s">
        <v>3614</v>
      </c>
      <c r="BV651" s="2" t="s">
        <v>233</v>
      </c>
      <c r="BW651" s="2" t="s">
        <v>233</v>
      </c>
      <c r="BX651" s="2" t="s">
        <v>241</v>
      </c>
      <c r="BY651" s="2" t="s">
        <v>242</v>
      </c>
      <c r="BZ651" s="2" t="s">
        <v>230</v>
      </c>
      <c r="CA651" s="2" t="s">
        <v>243</v>
      </c>
      <c r="CB651" s="2" t="s">
        <v>3615</v>
      </c>
      <c r="CC651" s="2" t="s">
        <v>245</v>
      </c>
      <c r="CD651" s="2" t="s">
        <v>233</v>
      </c>
      <c r="CE651" s="4">
        <v>372</v>
      </c>
      <c r="CF651" s="4"/>
      <c r="CG651" s="4"/>
      <c r="CH651" s="4">
        <v>115</v>
      </c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>
        <v>20</v>
      </c>
      <c r="DL651" s="4"/>
      <c r="DM651" s="4"/>
      <c r="DN651" s="4">
        <v>100</v>
      </c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>
        <v>130</v>
      </c>
      <c r="FZ651" s="4"/>
      <c r="GA651" s="4"/>
      <c r="GB651" s="4"/>
      <c r="GC651" s="4">
        <v>495</v>
      </c>
      <c r="GD651" s="4">
        <v>467</v>
      </c>
      <c r="GE651" s="4">
        <v>451</v>
      </c>
      <c r="GF651" s="4">
        <v>434</v>
      </c>
      <c r="GG651" s="4">
        <v>525</v>
      </c>
      <c r="GH651" s="4">
        <v>508</v>
      </c>
      <c r="GI651" s="4">
        <v>492</v>
      </c>
      <c r="GJ651" s="4">
        <v>481</v>
      </c>
      <c r="GK651" s="4">
        <v>472</v>
      </c>
      <c r="GL651" s="4">
        <v>459</v>
      </c>
      <c r="GM651" s="4">
        <v>447</v>
      </c>
      <c r="GN651" s="4">
        <v>435</v>
      </c>
      <c r="GO651" s="4">
        <v>423</v>
      </c>
      <c r="GP651" s="4">
        <v>411</v>
      </c>
      <c r="GQ651" s="4">
        <v>399</v>
      </c>
      <c r="GR651" s="4">
        <v>387</v>
      </c>
      <c r="GS651" s="4">
        <v>375</v>
      </c>
      <c r="GT651" s="4">
        <v>362</v>
      </c>
      <c r="GU651" s="4">
        <v>350</v>
      </c>
      <c r="GV651" s="4">
        <v>468</v>
      </c>
      <c r="GW651" s="4">
        <v>456</v>
      </c>
      <c r="GX651" s="4">
        <v>444</v>
      </c>
      <c r="GY651" s="4">
        <v>432</v>
      </c>
      <c r="GZ651" s="4">
        <v>420</v>
      </c>
      <c r="HA651" s="4">
        <v>408</v>
      </c>
      <c r="HB651" s="4">
        <v>396</v>
      </c>
      <c r="HC651" s="19">
        <v>25</v>
      </c>
      <c r="HD651" s="19">
        <v>25.1</v>
      </c>
      <c r="HE651" s="19">
        <v>24.2</v>
      </c>
      <c r="HF651" s="19">
        <v>24.1</v>
      </c>
      <c r="HG651" s="19">
        <v>48.2</v>
      </c>
      <c r="HH651" s="19">
        <v>48.6</v>
      </c>
      <c r="HI651" s="19">
        <v>47.2</v>
      </c>
      <c r="HJ651" s="19">
        <v>46.3</v>
      </c>
      <c r="HK651" s="19">
        <v>45.6</v>
      </c>
      <c r="HL651" s="19">
        <v>44.6</v>
      </c>
      <c r="HM651" s="19">
        <v>43.6</v>
      </c>
      <c r="HN651" s="19">
        <v>42.6</v>
      </c>
      <c r="HO651" s="19">
        <v>41.6</v>
      </c>
      <c r="HP651" s="19">
        <v>40.6</v>
      </c>
      <c r="HQ651" s="19">
        <v>39.6</v>
      </c>
      <c r="HR651" s="19">
        <v>38.6</v>
      </c>
      <c r="HS651" s="19">
        <v>37.6</v>
      </c>
      <c r="HT651" s="19">
        <v>36.5</v>
      </c>
      <c r="HU651" s="19">
        <v>35.5</v>
      </c>
      <c r="HV651" s="19">
        <v>41</v>
      </c>
      <c r="HW651" s="19">
        <v>40</v>
      </c>
      <c r="HX651" s="19">
        <v>39</v>
      </c>
      <c r="HY651" s="19">
        <v>38</v>
      </c>
      <c r="HZ651" s="19">
        <v>37</v>
      </c>
      <c r="IA651" s="19">
        <v>36</v>
      </c>
      <c r="IB651" s="19">
        <v>35</v>
      </c>
    </row>
    <row r="652">
      <c r="A652" s="2" t="s">
        <v>3616</v>
      </c>
      <c r="B652" s="2" t="s">
        <v>938</v>
      </c>
      <c r="C652" s="2" t="s">
        <v>1318</v>
      </c>
      <c r="D652" s="2" t="s">
        <v>972</v>
      </c>
      <c r="E652" s="2" t="s">
        <v>973</v>
      </c>
      <c r="F652" s="2" t="s">
        <v>3617</v>
      </c>
      <c r="G652" s="2" t="s">
        <v>3618</v>
      </c>
      <c r="H652" s="2" t="s">
        <v>3619</v>
      </c>
      <c r="I652" s="2" t="s">
        <v>3620</v>
      </c>
      <c r="J652" s="2" t="s">
        <v>1004</v>
      </c>
      <c r="K652" s="2" t="s">
        <v>434</v>
      </c>
      <c r="L652" s="3">
        <v>18</v>
      </c>
      <c r="M652" s="3">
        <v>18.9</v>
      </c>
      <c r="N652" s="3">
        <v>39.99</v>
      </c>
      <c r="O652" s="2" t="s">
        <v>230</v>
      </c>
      <c r="P652" s="2" t="s">
        <v>231</v>
      </c>
      <c r="Q652" s="2" t="s">
        <v>232</v>
      </c>
      <c r="R652" s="2" t="s">
        <v>233</v>
      </c>
      <c r="S652" s="2" t="s">
        <v>3621</v>
      </c>
      <c r="T652" s="2" t="s">
        <v>233</v>
      </c>
      <c r="U652" s="2" t="s">
        <v>233</v>
      </c>
      <c r="V652" s="2" t="s">
        <v>361</v>
      </c>
      <c r="W652" s="2" t="s">
        <v>237</v>
      </c>
      <c r="X652" s="2" t="s">
        <v>1432</v>
      </c>
      <c r="Y652" s="2" t="s">
        <v>3622</v>
      </c>
      <c r="Z652" s="4">
        <v>173</v>
      </c>
      <c r="AA652" s="4">
        <f>=ROUNDDOWN(15.7272727272727,0)</f>
      </c>
      <c r="AB652" s="5">
        <v>11</v>
      </c>
      <c r="AC652" s="2" t="s">
        <v>151</v>
      </c>
      <c r="AD652" s="4">
        <v>148</v>
      </c>
      <c r="AE652" s="4">
        <v>320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233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>
        <v>26</v>
      </c>
      <c r="BK652" s="8">
        <v>688.58</v>
      </c>
      <c r="BL652" s="2" t="s">
        <v>3623</v>
      </c>
      <c r="BM652" s="7"/>
      <c r="BN652" s="7"/>
      <c r="BO652" s="4"/>
      <c r="BP652" s="8"/>
      <c r="BQ652" s="4"/>
      <c r="BR652" s="8"/>
      <c r="BS652" s="7"/>
      <c r="BT652" s="7"/>
      <c r="BU652" s="2" t="s">
        <v>3624</v>
      </c>
      <c r="BV652" s="2" t="s">
        <v>233</v>
      </c>
      <c r="BW652" s="2" t="s">
        <v>233</v>
      </c>
      <c r="BX652" s="2" t="s">
        <v>241</v>
      </c>
      <c r="BY652" s="2" t="s">
        <v>242</v>
      </c>
      <c r="BZ652" s="2" t="s">
        <v>230</v>
      </c>
      <c r="CA652" s="2" t="s">
        <v>498</v>
      </c>
      <c r="CB652" s="2" t="s">
        <v>3625</v>
      </c>
      <c r="CC652" s="2" t="s">
        <v>245</v>
      </c>
      <c r="CD652" s="2" t="s">
        <v>233</v>
      </c>
      <c r="CE652" s="4">
        <v>173</v>
      </c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>
        <v>148</v>
      </c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>
        <v>172</v>
      </c>
      <c r="FX652" s="4"/>
      <c r="FY652" s="4"/>
      <c r="FZ652" s="4"/>
      <c r="GA652" s="4"/>
      <c r="GB652" s="4"/>
      <c r="GC652" s="4">
        <v>173</v>
      </c>
      <c r="GD652" s="4">
        <v>159</v>
      </c>
      <c r="GE652" s="4">
        <v>141</v>
      </c>
      <c r="GF652" s="4">
        <v>126</v>
      </c>
      <c r="GG652" s="4">
        <v>254</v>
      </c>
      <c r="GH652" s="4">
        <v>240</v>
      </c>
      <c r="GI652" s="4">
        <v>221</v>
      </c>
      <c r="GJ652" s="4">
        <v>210</v>
      </c>
      <c r="GK652" s="4">
        <v>197</v>
      </c>
      <c r="GL652" s="4">
        <v>186</v>
      </c>
      <c r="GM652" s="4">
        <v>175</v>
      </c>
      <c r="GN652" s="4">
        <v>164</v>
      </c>
      <c r="GO652" s="4">
        <v>153</v>
      </c>
      <c r="GP652" s="4">
        <v>142</v>
      </c>
      <c r="GQ652" s="4">
        <v>131</v>
      </c>
      <c r="GR652" s="4">
        <v>120</v>
      </c>
      <c r="GS652" s="4">
        <v>109</v>
      </c>
      <c r="GT652" s="4">
        <v>96</v>
      </c>
      <c r="GU652" s="4">
        <v>257</v>
      </c>
      <c r="GV652" s="4">
        <v>246</v>
      </c>
      <c r="GW652" s="4">
        <v>235</v>
      </c>
      <c r="GX652" s="4">
        <v>224</v>
      </c>
      <c r="GY652" s="4">
        <v>213</v>
      </c>
      <c r="GZ652" s="4">
        <v>202</v>
      </c>
      <c r="HA652" s="4">
        <v>191</v>
      </c>
      <c r="HB652" s="4">
        <v>180</v>
      </c>
      <c r="HC652" s="19">
        <v>10.2</v>
      </c>
      <c r="HD652" s="19">
        <v>9.4</v>
      </c>
      <c r="HE652" s="19">
        <v>8.3</v>
      </c>
      <c r="HF652" s="19">
        <v>7.9</v>
      </c>
      <c r="HG652" s="19">
        <v>18.1</v>
      </c>
      <c r="HH652" s="19">
        <v>17.1</v>
      </c>
      <c r="HI652" s="19">
        <v>18.4</v>
      </c>
      <c r="HJ652" s="19">
        <v>17.5</v>
      </c>
      <c r="HK652" s="19">
        <v>17.9</v>
      </c>
      <c r="HL652" s="19">
        <v>16.9</v>
      </c>
      <c r="HM652" s="19">
        <v>15.9</v>
      </c>
      <c r="HN652" s="19">
        <v>14.9</v>
      </c>
      <c r="HO652" s="19">
        <v>13.9</v>
      </c>
      <c r="HP652" s="19">
        <v>11.8</v>
      </c>
      <c r="HQ652" s="19">
        <v>10.9</v>
      </c>
      <c r="HR652" s="19">
        <v>10</v>
      </c>
      <c r="HS652" s="19">
        <v>9.1</v>
      </c>
      <c r="HT652" s="19">
        <v>8.7</v>
      </c>
      <c r="HU652" s="19">
        <v>23.4</v>
      </c>
      <c r="HV652" s="19">
        <v>22.4</v>
      </c>
      <c r="HW652" s="19">
        <v>21.4</v>
      </c>
      <c r="HX652" s="19">
        <v>20.4</v>
      </c>
      <c r="HY652" s="19">
        <v>19.4</v>
      </c>
      <c r="HZ652" s="19">
        <v>18.4</v>
      </c>
      <c r="IA652" s="19">
        <v>17.4</v>
      </c>
      <c r="IB652" s="19">
        <v>16.4</v>
      </c>
    </row>
    <row r="653">
      <c r="A653" s="2" t="s">
        <v>3626</v>
      </c>
      <c r="B653" s="2" t="s">
        <v>872</v>
      </c>
      <c r="C653" s="2" t="s">
        <v>1171</v>
      </c>
      <c r="D653" s="2" t="s">
        <v>261</v>
      </c>
      <c r="E653" s="2" t="s">
        <v>603</v>
      </c>
      <c r="F653" s="2" t="s">
        <v>3627</v>
      </c>
      <c r="G653" s="2" t="s">
        <v>3627</v>
      </c>
      <c r="H653" s="2" t="s">
        <v>3627</v>
      </c>
      <c r="I653" s="2" t="s">
        <v>3628</v>
      </c>
      <c r="J653" s="2" t="s">
        <v>285</v>
      </c>
      <c r="K653" s="2" t="s">
        <v>3629</v>
      </c>
      <c r="L653" s="3">
        <v>204.28</v>
      </c>
      <c r="M653" s="3">
        <v>214.5</v>
      </c>
      <c r="N653" s="3">
        <v>599.99</v>
      </c>
      <c r="O653" s="2" t="s">
        <v>230</v>
      </c>
      <c r="P653" s="2" t="s">
        <v>231</v>
      </c>
      <c r="Q653" s="2" t="s">
        <v>232</v>
      </c>
      <c r="R653" s="2" t="s">
        <v>233</v>
      </c>
      <c r="S653" s="2" t="s">
        <v>233</v>
      </c>
      <c r="T653" s="2" t="s">
        <v>233</v>
      </c>
      <c r="U653" s="2" t="s">
        <v>287</v>
      </c>
      <c r="V653" s="2" t="s">
        <v>1178</v>
      </c>
      <c r="W653" s="2" t="s">
        <v>818</v>
      </c>
      <c r="X653" s="2" t="s">
        <v>233</v>
      </c>
      <c r="Y653" s="2" t="s">
        <v>378</v>
      </c>
      <c r="Z653" s="4">
        <v>38</v>
      </c>
      <c r="AA653" s="4">
        <f>=ROUNDDOWN(11.5151515151515,0)</f>
      </c>
      <c r="AB653" s="5">
        <v>3.3</v>
      </c>
      <c r="AC653" s="2" t="s">
        <v>140</v>
      </c>
      <c r="AD653" s="4">
        <v>130</v>
      </c>
      <c r="AE653" s="4">
        <v>130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233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 t="s">
        <v>233</v>
      </c>
      <c r="BD653" s="8" t="s">
        <v>233</v>
      </c>
      <c r="BE653" s="4" t="s">
        <v>233</v>
      </c>
      <c r="BF653" s="8" t="s">
        <v>233</v>
      </c>
      <c r="BG653" s="7" t="s">
        <v>233</v>
      </c>
      <c r="BH653" s="7" t="s">
        <v>233</v>
      </c>
      <c r="BI653" s="7"/>
      <c r="BJ653" s="4">
        <v>16</v>
      </c>
      <c r="BK653" s="8">
        <v>3752.18</v>
      </c>
      <c r="BL653" s="2" t="s">
        <v>3630</v>
      </c>
      <c r="BM653" s="7"/>
      <c r="BN653" s="7"/>
      <c r="BO653" s="4"/>
      <c r="BP653" s="8"/>
      <c r="BQ653" s="4"/>
      <c r="BR653" s="8"/>
      <c r="BS653" s="7"/>
      <c r="BT653" s="7"/>
      <c r="BU653" s="2" t="s">
        <v>3631</v>
      </c>
      <c r="BV653" s="2" t="s">
        <v>233</v>
      </c>
      <c r="BW653" s="2" t="s">
        <v>233</v>
      </c>
      <c r="BX653" s="2" t="s">
        <v>293</v>
      </c>
      <c r="BY653" s="2" t="s">
        <v>242</v>
      </c>
      <c r="BZ653" s="2" t="s">
        <v>230</v>
      </c>
      <c r="CA653" s="2" t="s">
        <v>3632</v>
      </c>
      <c r="CB653" s="2" t="s">
        <v>3633</v>
      </c>
      <c r="CC653" s="2" t="s">
        <v>245</v>
      </c>
      <c r="CD653" s="2" t="s">
        <v>233</v>
      </c>
      <c r="CE653" s="4">
        <v>20</v>
      </c>
      <c r="CF653" s="4">
        <v>18</v>
      </c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>
        <v>130</v>
      </c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>
        <v>27</v>
      </c>
      <c r="GD653" s="4">
        <v>14</v>
      </c>
      <c r="GE653" s="4">
        <v>140</v>
      </c>
      <c r="GF653" s="4">
        <v>136</v>
      </c>
      <c r="GG653" s="4">
        <v>131</v>
      </c>
      <c r="GH653" s="4">
        <v>127</v>
      </c>
      <c r="GI653" s="4">
        <v>123</v>
      </c>
      <c r="GJ653" s="4">
        <v>120</v>
      </c>
      <c r="GK653" s="4">
        <v>117</v>
      </c>
      <c r="GL653" s="4">
        <v>114</v>
      </c>
      <c r="GM653" s="4">
        <v>111</v>
      </c>
      <c r="GN653" s="4">
        <v>108</v>
      </c>
      <c r="GO653" s="4">
        <v>105</v>
      </c>
      <c r="GP653" s="4">
        <v>102</v>
      </c>
      <c r="GQ653" s="4">
        <v>99</v>
      </c>
      <c r="GR653" s="4">
        <v>96</v>
      </c>
      <c r="GS653" s="4">
        <v>93</v>
      </c>
      <c r="GT653" s="4">
        <v>90</v>
      </c>
      <c r="GU653" s="4">
        <v>87</v>
      </c>
      <c r="GV653" s="4">
        <v>84</v>
      </c>
      <c r="GW653" s="4">
        <v>81</v>
      </c>
      <c r="GX653" s="4">
        <v>78</v>
      </c>
      <c r="GY653" s="4">
        <v>75</v>
      </c>
      <c r="GZ653" s="4">
        <v>72</v>
      </c>
      <c r="HA653" s="4">
        <v>69</v>
      </c>
      <c r="HB653" s="4">
        <v>66</v>
      </c>
      <c r="HC653" s="19">
        <v>4.5</v>
      </c>
      <c r="HD653" s="19">
        <v>3.5</v>
      </c>
      <c r="HE653" s="19">
        <v>35</v>
      </c>
      <c r="HF653" s="19">
        <v>34</v>
      </c>
      <c r="HG653" s="19">
        <v>32.8</v>
      </c>
      <c r="HH653" s="19">
        <v>42.3</v>
      </c>
      <c r="HI653" s="19">
        <v>41</v>
      </c>
      <c r="HJ653" s="19">
        <v>40</v>
      </c>
      <c r="HK653" s="19">
        <v>39</v>
      </c>
      <c r="HL653" s="19">
        <v>38</v>
      </c>
      <c r="HM653" s="19">
        <v>37</v>
      </c>
      <c r="HN653" s="19">
        <v>36</v>
      </c>
      <c r="HO653" s="19">
        <v>35</v>
      </c>
      <c r="HP653" s="19">
        <v>34</v>
      </c>
      <c r="HQ653" s="19">
        <v>33</v>
      </c>
      <c r="HR653" s="19">
        <v>32</v>
      </c>
      <c r="HS653" s="19">
        <v>31</v>
      </c>
      <c r="HT653" s="19">
        <v>30</v>
      </c>
      <c r="HU653" s="19">
        <v>29</v>
      </c>
      <c r="HV653" s="19">
        <v>28</v>
      </c>
      <c r="HW653" s="19">
        <v>27</v>
      </c>
      <c r="HX653" s="19">
        <v>26</v>
      </c>
      <c r="HY653" s="19">
        <v>25</v>
      </c>
      <c r="HZ653" s="19">
        <v>24</v>
      </c>
      <c r="IA653" s="19">
        <v>23</v>
      </c>
      <c r="IB653" s="19">
        <v>22</v>
      </c>
    </row>
    <row r="654">
      <c r="A654" s="2" t="s">
        <v>3634</v>
      </c>
      <c r="B654" s="2" t="s">
        <v>872</v>
      </c>
      <c r="C654" s="2" t="s">
        <v>1171</v>
      </c>
      <c r="D654" s="2" t="s">
        <v>261</v>
      </c>
      <c r="E654" s="2" t="s">
        <v>603</v>
      </c>
      <c r="F654" s="2" t="s">
        <v>3627</v>
      </c>
      <c r="G654" s="2" t="s">
        <v>3627</v>
      </c>
      <c r="H654" s="2" t="s">
        <v>3627</v>
      </c>
      <c r="I654" s="2" t="s">
        <v>3628</v>
      </c>
      <c r="J654" s="2" t="s">
        <v>285</v>
      </c>
      <c r="K654" s="2" t="s">
        <v>1108</v>
      </c>
      <c r="L654" s="3">
        <v>204.28</v>
      </c>
      <c r="M654" s="3">
        <v>214.49</v>
      </c>
      <c r="N654" s="3">
        <v>599.99</v>
      </c>
      <c r="O654" s="2" t="s">
        <v>230</v>
      </c>
      <c r="P654" s="2" t="s">
        <v>231</v>
      </c>
      <c r="Q654" s="2" t="s">
        <v>232</v>
      </c>
      <c r="R654" s="2" t="s">
        <v>233</v>
      </c>
      <c r="S654" s="2" t="s">
        <v>233</v>
      </c>
      <c r="T654" s="2" t="s">
        <v>233</v>
      </c>
      <c r="U654" s="2" t="s">
        <v>287</v>
      </c>
      <c r="V654" s="2" t="s">
        <v>1178</v>
      </c>
      <c r="W654" s="2" t="s">
        <v>818</v>
      </c>
      <c r="X654" s="2" t="s">
        <v>233</v>
      </c>
      <c r="Y654" s="2" t="s">
        <v>3635</v>
      </c>
      <c r="Z654" s="4">
        <v>37</v>
      </c>
      <c r="AA654" s="4">
        <f>=ROUNDDOWN(15.4166666666667,0)</f>
      </c>
      <c r="AB654" s="5">
        <v>2.4</v>
      </c>
      <c r="AC654" s="2" t="s">
        <v>140</v>
      </c>
      <c r="AD654" s="4">
        <v>140</v>
      </c>
      <c r="AE654" s="4">
        <v>140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233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 t="s">
        <v>233</v>
      </c>
      <c r="BD654" s="8" t="s">
        <v>233</v>
      </c>
      <c r="BE654" s="4" t="s">
        <v>233</v>
      </c>
      <c r="BF654" s="8" t="s">
        <v>233</v>
      </c>
      <c r="BG654" s="7" t="s">
        <v>233</v>
      </c>
      <c r="BH654" s="7" t="s">
        <v>233</v>
      </c>
      <c r="BI654" s="7"/>
      <c r="BJ654" s="4">
        <v>18</v>
      </c>
      <c r="BK654" s="8">
        <v>4220.79</v>
      </c>
      <c r="BL654" s="2" t="s">
        <v>3636</v>
      </c>
      <c r="BM654" s="7"/>
      <c r="BN654" s="7"/>
      <c r="BO654" s="4"/>
      <c r="BP654" s="8"/>
      <c r="BQ654" s="4"/>
      <c r="BR654" s="8"/>
      <c r="BS654" s="7"/>
      <c r="BT654" s="7"/>
      <c r="BU654" s="2" t="s">
        <v>3631</v>
      </c>
      <c r="BV654" s="2" t="s">
        <v>233</v>
      </c>
      <c r="BW654" s="2" t="s">
        <v>233</v>
      </c>
      <c r="BX654" s="2" t="s">
        <v>293</v>
      </c>
      <c r="BY654" s="2" t="s">
        <v>242</v>
      </c>
      <c r="BZ654" s="2" t="s">
        <v>230</v>
      </c>
      <c r="CA654" s="2" t="s">
        <v>1368</v>
      </c>
      <c r="CB654" s="2" t="s">
        <v>3637</v>
      </c>
      <c r="CC654" s="2" t="s">
        <v>245</v>
      </c>
      <c r="CD654" s="2" t="s">
        <v>233</v>
      </c>
      <c r="CE654" s="4">
        <v>37</v>
      </c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>
        <v>140</v>
      </c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>
        <v>42</v>
      </c>
      <c r="GD654" s="4">
        <v>35</v>
      </c>
      <c r="GE654" s="4">
        <v>172</v>
      </c>
      <c r="GF654" s="4">
        <v>169</v>
      </c>
      <c r="GG654" s="4">
        <v>165</v>
      </c>
      <c r="GH654" s="4">
        <v>162</v>
      </c>
      <c r="GI654" s="4">
        <v>159</v>
      </c>
      <c r="GJ654" s="4">
        <v>157</v>
      </c>
      <c r="GK654" s="4">
        <v>155</v>
      </c>
      <c r="GL654" s="4">
        <v>153</v>
      </c>
      <c r="GM654" s="4">
        <v>151</v>
      </c>
      <c r="GN654" s="4">
        <v>149</v>
      </c>
      <c r="GO654" s="4">
        <v>147</v>
      </c>
      <c r="GP654" s="4">
        <v>145</v>
      </c>
      <c r="GQ654" s="4">
        <v>143</v>
      </c>
      <c r="GR654" s="4">
        <v>141</v>
      </c>
      <c r="GS654" s="4">
        <v>139</v>
      </c>
      <c r="GT654" s="4">
        <v>137</v>
      </c>
      <c r="GU654" s="4">
        <v>135</v>
      </c>
      <c r="GV654" s="4">
        <v>133</v>
      </c>
      <c r="GW654" s="4">
        <v>131</v>
      </c>
      <c r="GX654" s="4">
        <v>129</v>
      </c>
      <c r="GY654" s="4">
        <v>127</v>
      </c>
      <c r="GZ654" s="4">
        <v>125</v>
      </c>
      <c r="HA654" s="4">
        <v>123</v>
      </c>
      <c r="HB654" s="4">
        <v>121</v>
      </c>
      <c r="HC654" s="19">
        <v>10.5</v>
      </c>
      <c r="HD654" s="19">
        <v>11.7</v>
      </c>
      <c r="HE654" s="19">
        <v>57.3</v>
      </c>
      <c r="HF654" s="19">
        <v>56.3</v>
      </c>
      <c r="HG654" s="19">
        <v>82.5</v>
      </c>
      <c r="HH654" s="19">
        <v>81</v>
      </c>
      <c r="HI654" s="19">
        <v>79.5</v>
      </c>
      <c r="HJ654" s="19">
        <v>78.5</v>
      </c>
      <c r="HK654" s="19">
        <v>77.5</v>
      </c>
      <c r="HL654" s="19">
        <v>76.5</v>
      </c>
      <c r="HM654" s="19">
        <v>75.5</v>
      </c>
      <c r="HN654" s="19">
        <v>74.5</v>
      </c>
      <c r="HO654" s="19">
        <v>73.5</v>
      </c>
      <c r="HP654" s="19">
        <v>72.5</v>
      </c>
      <c r="HQ654" s="19">
        <v>71.5</v>
      </c>
      <c r="HR654" s="19">
        <v>70.5</v>
      </c>
      <c r="HS654" s="19">
        <v>69.5</v>
      </c>
      <c r="HT654" s="19">
        <v>68.5</v>
      </c>
      <c r="HU654" s="19">
        <v>67.5</v>
      </c>
      <c r="HV654" s="19">
        <v>66.5</v>
      </c>
      <c r="HW654" s="19">
        <v>65.5</v>
      </c>
      <c r="HX654" s="19">
        <v>64.5</v>
      </c>
      <c r="HY654" s="19">
        <v>63.5</v>
      </c>
      <c r="HZ654" s="19">
        <v>62.5</v>
      </c>
      <c r="IA654" s="19">
        <v>61.5</v>
      </c>
      <c r="IB654" s="19">
        <v>60.5</v>
      </c>
    </row>
    <row r="655">
      <c r="A655" s="2" t="s">
        <v>3638</v>
      </c>
      <c r="B655" s="2" t="s">
        <v>761</v>
      </c>
      <c r="C655" s="2" t="s">
        <v>280</v>
      </c>
      <c r="D655" s="2" t="s">
        <v>1080</v>
      </c>
      <c r="E655" s="2" t="s">
        <v>1466</v>
      </c>
      <c r="F655" s="2" t="s">
        <v>3639</v>
      </c>
      <c r="G655" s="2" t="s">
        <v>3640</v>
      </c>
      <c r="H655" s="2" t="s">
        <v>3641</v>
      </c>
      <c r="I655" s="2" t="s">
        <v>1468</v>
      </c>
      <c r="J655" s="2" t="s">
        <v>741</v>
      </c>
      <c r="K655" s="2" t="s">
        <v>1500</v>
      </c>
      <c r="L655" s="3">
        <v>216.6</v>
      </c>
      <c r="M655" s="3">
        <v>227.43</v>
      </c>
      <c r="N655" s="3">
        <v>449</v>
      </c>
      <c r="O655" s="2" t="s">
        <v>230</v>
      </c>
      <c r="P655" s="2" t="s">
        <v>721</v>
      </c>
      <c r="Q655" s="2" t="s">
        <v>232</v>
      </c>
      <c r="R655" s="2" t="s">
        <v>233</v>
      </c>
      <c r="S655" s="2" t="s">
        <v>233</v>
      </c>
      <c r="T655" s="2" t="s">
        <v>233</v>
      </c>
      <c r="U655" s="2" t="s">
        <v>233</v>
      </c>
      <c r="V655" s="2" t="s">
        <v>236</v>
      </c>
      <c r="W655" s="2" t="s">
        <v>620</v>
      </c>
      <c r="X655" s="2" t="s">
        <v>288</v>
      </c>
      <c r="Y655" s="2" t="s">
        <v>3642</v>
      </c>
      <c r="Z655" s="4">
        <v>65</v>
      </c>
      <c r="AA655" s="4">
        <f>=ROUNDDOWN(65,0)</f>
      </c>
      <c r="AB655" s="5">
        <v>1</v>
      </c>
      <c r="AC655" s="2" t="s">
        <v>233</v>
      </c>
      <c r="AD655" s="4"/>
      <c r="AE655" s="4"/>
      <c r="AF655" s="6">
        <v>69</v>
      </c>
      <c r="AG655" s="6"/>
      <c r="AH655" s="7">
        <v>1</v>
      </c>
      <c r="AI655" s="4"/>
      <c r="AJ655" s="4">
        <f>=ROUNDDOWN({0},0)</f>
      </c>
      <c r="AK655" s="5"/>
      <c r="AL655" s="2" t="s">
        <v>233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/>
      <c r="BD655" s="8"/>
      <c r="BE655" s="4"/>
      <c r="BF655" s="8"/>
      <c r="BG655" s="7"/>
      <c r="BH655" s="7"/>
      <c r="BI655" s="7"/>
      <c r="BJ655" s="4">
        <v>7</v>
      </c>
      <c r="BK655" s="8">
        <v>1617.56</v>
      </c>
      <c r="BL655" s="2" t="s">
        <v>3643</v>
      </c>
      <c r="BM655" s="7"/>
      <c r="BN655" s="7"/>
      <c r="BO655" s="4"/>
      <c r="BP655" s="8"/>
      <c r="BQ655" s="4"/>
      <c r="BR655" s="8"/>
      <c r="BS655" s="7"/>
      <c r="BT655" s="7"/>
      <c r="BU655" s="2" t="s">
        <v>3644</v>
      </c>
      <c r="BV655" s="2" t="s">
        <v>233</v>
      </c>
      <c r="BW655" s="2" t="s">
        <v>233</v>
      </c>
      <c r="BX655" s="2" t="s">
        <v>241</v>
      </c>
      <c r="BY655" s="2" t="s">
        <v>242</v>
      </c>
      <c r="BZ655" s="2" t="s">
        <v>230</v>
      </c>
      <c r="CA655" s="2" t="s">
        <v>3645</v>
      </c>
      <c r="CB655" s="2" t="s">
        <v>2890</v>
      </c>
      <c r="CC655" s="2" t="s">
        <v>245</v>
      </c>
      <c r="CD655" s="2" t="s">
        <v>233</v>
      </c>
      <c r="CE655" s="4"/>
      <c r="CF655" s="4">
        <v>65</v>
      </c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>
        <v>69</v>
      </c>
      <c r="GD655" s="4">
        <v>64</v>
      </c>
      <c r="GE655" s="4">
        <v>63</v>
      </c>
      <c r="GF655" s="4">
        <v>62</v>
      </c>
      <c r="GG655" s="4">
        <v>60</v>
      </c>
      <c r="GH655" s="4">
        <v>58</v>
      </c>
      <c r="GI655" s="4">
        <v>57</v>
      </c>
      <c r="GJ655" s="4">
        <v>56</v>
      </c>
      <c r="GK655" s="4">
        <v>55</v>
      </c>
      <c r="GL655" s="4">
        <v>54</v>
      </c>
      <c r="GM655" s="4">
        <v>53</v>
      </c>
      <c r="GN655" s="4">
        <v>52</v>
      </c>
      <c r="GO655" s="4">
        <v>51</v>
      </c>
      <c r="GP655" s="4">
        <v>50</v>
      </c>
      <c r="GQ655" s="4">
        <v>49</v>
      </c>
      <c r="GR655" s="4">
        <v>48</v>
      </c>
      <c r="GS655" s="4">
        <v>47</v>
      </c>
      <c r="GT655" s="4">
        <v>46</v>
      </c>
      <c r="GU655" s="4">
        <v>45</v>
      </c>
      <c r="GV655" s="4">
        <v>44</v>
      </c>
      <c r="GW655" s="4">
        <v>43</v>
      </c>
      <c r="GX655" s="4">
        <v>42</v>
      </c>
      <c r="GY655" s="4">
        <v>41</v>
      </c>
      <c r="GZ655" s="4">
        <v>40</v>
      </c>
      <c r="HA655" s="4">
        <v>39</v>
      </c>
      <c r="HB655" s="4">
        <v>38</v>
      </c>
      <c r="HC655" s="19">
        <v>34.5</v>
      </c>
      <c r="HD655" s="19">
        <v>32</v>
      </c>
      <c r="HE655" s="19">
        <v>31.5</v>
      </c>
      <c r="HF655" s="19">
        <v>31</v>
      </c>
      <c r="HG655" s="19">
        <v>60</v>
      </c>
      <c r="HH655" s="19">
        <v>58</v>
      </c>
      <c r="HI655" s="19">
        <v>57</v>
      </c>
      <c r="HJ655" s="19">
        <v>56</v>
      </c>
      <c r="HK655" s="19">
        <v>55</v>
      </c>
      <c r="HL655" s="19">
        <v>54</v>
      </c>
      <c r="HM655" s="19">
        <v>53</v>
      </c>
      <c r="HN655" s="19">
        <v>52</v>
      </c>
      <c r="HO655" s="19">
        <v>51</v>
      </c>
      <c r="HP655" s="19">
        <v>50</v>
      </c>
      <c r="HQ655" s="19">
        <v>49</v>
      </c>
      <c r="HR655" s="19">
        <v>48</v>
      </c>
      <c r="HS655" s="19">
        <v>47</v>
      </c>
      <c r="HT655" s="19">
        <v>46</v>
      </c>
      <c r="HU655" s="19">
        <v>45</v>
      </c>
      <c r="HV655" s="19">
        <v>44</v>
      </c>
      <c r="HW655" s="19">
        <v>43</v>
      </c>
      <c r="HX655" s="19">
        <v>42</v>
      </c>
      <c r="HY655" s="19">
        <v>41</v>
      </c>
      <c r="HZ655" s="19">
        <v>40</v>
      </c>
      <c r="IA655" s="19">
        <v>39</v>
      </c>
      <c r="IB655" s="19">
        <v>38</v>
      </c>
    </row>
    <row r="656">
      <c r="A656" s="2" t="s">
        <v>3646</v>
      </c>
      <c r="B656" s="2" t="s">
        <v>872</v>
      </c>
      <c r="C656" s="2" t="s">
        <v>762</v>
      </c>
      <c r="D656" s="2" t="s">
        <v>774</v>
      </c>
      <c r="E656" s="2" t="s">
        <v>775</v>
      </c>
      <c r="F656" s="2" t="s">
        <v>3647</v>
      </c>
      <c r="G656" s="2" t="s">
        <v>3647</v>
      </c>
      <c r="H656" s="2" t="s">
        <v>3647</v>
      </c>
      <c r="I656" s="2" t="s">
        <v>3648</v>
      </c>
      <c r="J656" s="2" t="s">
        <v>275</v>
      </c>
      <c r="K656" s="2" t="s">
        <v>434</v>
      </c>
      <c r="L656" s="3">
        <v>70</v>
      </c>
      <c r="M656" s="3">
        <v>73.5</v>
      </c>
      <c r="N656" s="3">
        <v>139.99</v>
      </c>
      <c r="O656" s="2" t="s">
        <v>230</v>
      </c>
      <c r="P656" s="2" t="s">
        <v>597</v>
      </c>
      <c r="Q656" s="2" t="s">
        <v>232</v>
      </c>
      <c r="R656" s="2" t="s">
        <v>233</v>
      </c>
      <c r="S656" s="2" t="s">
        <v>3649</v>
      </c>
      <c r="T656" s="2" t="s">
        <v>348</v>
      </c>
      <c r="U656" s="2" t="s">
        <v>781</v>
      </c>
      <c r="V656" s="2" t="s">
        <v>236</v>
      </c>
      <c r="W656" s="2" t="s">
        <v>3650</v>
      </c>
      <c r="X656" s="2" t="s">
        <v>237</v>
      </c>
      <c r="Y656" s="2" t="s">
        <v>3651</v>
      </c>
      <c r="Z656" s="4">
        <v>250</v>
      </c>
      <c r="AA656" s="4">
        <f>=ROUNDDOWN(27.7777777777778,0)</f>
      </c>
      <c r="AB656" s="5">
        <v>9</v>
      </c>
      <c r="AC656" s="2" t="s">
        <v>731</v>
      </c>
      <c r="AD656" s="4">
        <v>12</v>
      </c>
      <c r="AE656" s="4">
        <v>242</v>
      </c>
      <c r="AF656" s="6">
        <v>67</v>
      </c>
      <c r="AG656" s="6"/>
      <c r="AH656" s="7">
        <v>1</v>
      </c>
      <c r="AI656" s="4"/>
      <c r="AJ656" s="4">
        <f>=ROUNDDOWN({0},0)</f>
      </c>
      <c r="AK656" s="5"/>
      <c r="AL656" s="2" t="s">
        <v>233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 t="s">
        <v>233</v>
      </c>
      <c r="BD656" s="8" t="s">
        <v>233</v>
      </c>
      <c r="BE656" s="4" t="s">
        <v>233</v>
      </c>
      <c r="BF656" s="8" t="s">
        <v>233</v>
      </c>
      <c r="BG656" s="7" t="s">
        <v>233</v>
      </c>
      <c r="BH656" s="7" t="s">
        <v>233</v>
      </c>
      <c r="BI656" s="7"/>
      <c r="BJ656" s="4">
        <v>37</v>
      </c>
      <c r="BK656" s="8">
        <v>2767.81</v>
      </c>
      <c r="BL656" s="2" t="s">
        <v>3652</v>
      </c>
      <c r="BM656" s="7"/>
      <c r="BN656" s="7"/>
      <c r="BO656" s="4"/>
      <c r="BP656" s="8"/>
      <c r="BQ656" s="4"/>
      <c r="BR656" s="8"/>
      <c r="BS656" s="7"/>
      <c r="BT656" s="7"/>
      <c r="BU656" s="2" t="s">
        <v>3653</v>
      </c>
      <c r="BV656" s="2" t="s">
        <v>233</v>
      </c>
      <c r="BW656" s="2" t="s">
        <v>233</v>
      </c>
      <c r="BX656" s="2" t="s">
        <v>241</v>
      </c>
      <c r="BY656" s="2" t="s">
        <v>242</v>
      </c>
      <c r="BZ656" s="2" t="s">
        <v>230</v>
      </c>
      <c r="CA656" s="2" t="s">
        <v>3654</v>
      </c>
      <c r="CB656" s="2" t="s">
        <v>2059</v>
      </c>
      <c r="CC656" s="2" t="s">
        <v>245</v>
      </c>
      <c r="CD656" s="2" t="s">
        <v>233</v>
      </c>
      <c r="CE656" s="4">
        <v>250</v>
      </c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>
        <v>12</v>
      </c>
      <c r="CX656" s="4"/>
      <c r="CY656" s="4"/>
      <c r="CZ656" s="4"/>
      <c r="DA656" s="4"/>
      <c r="DB656" s="4">
        <v>230</v>
      </c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>
        <v>254</v>
      </c>
      <c r="GD656" s="4">
        <v>223</v>
      </c>
      <c r="GE656" s="4">
        <v>438</v>
      </c>
      <c r="GF656" s="4">
        <v>423</v>
      </c>
      <c r="GG656" s="4">
        <v>397</v>
      </c>
      <c r="GH656" s="4">
        <v>383</v>
      </c>
      <c r="GI656" s="4">
        <v>369</v>
      </c>
      <c r="GJ656" s="4">
        <v>358</v>
      </c>
      <c r="GK656" s="4">
        <v>350</v>
      </c>
      <c r="GL656" s="4">
        <v>340</v>
      </c>
      <c r="GM656" s="4">
        <v>331</v>
      </c>
      <c r="GN656" s="4">
        <v>322</v>
      </c>
      <c r="GO656" s="4">
        <v>313</v>
      </c>
      <c r="GP656" s="4">
        <v>304</v>
      </c>
      <c r="GQ656" s="4">
        <v>295</v>
      </c>
      <c r="GR656" s="4">
        <v>286</v>
      </c>
      <c r="GS656" s="4">
        <v>277</v>
      </c>
      <c r="GT656" s="4">
        <v>267</v>
      </c>
      <c r="GU656" s="4">
        <v>258</v>
      </c>
      <c r="GV656" s="4">
        <v>249</v>
      </c>
      <c r="GW656" s="4">
        <v>240</v>
      </c>
      <c r="GX656" s="4">
        <v>231</v>
      </c>
      <c r="GY656" s="4">
        <v>222</v>
      </c>
      <c r="GZ656" s="4">
        <v>213</v>
      </c>
      <c r="HA656" s="4">
        <v>204</v>
      </c>
      <c r="HB656" s="4">
        <v>195</v>
      </c>
      <c r="HC656" s="19">
        <v>10.2</v>
      </c>
      <c r="HD656" s="19">
        <v>12.4</v>
      </c>
      <c r="HE656" s="19">
        <v>25.8</v>
      </c>
      <c r="HF656" s="19">
        <v>26.4</v>
      </c>
      <c r="HG656" s="19">
        <v>33.1</v>
      </c>
      <c r="HH656" s="19">
        <v>34.8</v>
      </c>
      <c r="HI656" s="19">
        <v>36.9</v>
      </c>
      <c r="HJ656" s="19">
        <v>39.8</v>
      </c>
      <c r="HK656" s="19">
        <v>38.9</v>
      </c>
      <c r="HL656" s="19">
        <v>37.8</v>
      </c>
      <c r="HM656" s="19">
        <v>36.8</v>
      </c>
      <c r="HN656" s="19">
        <v>35.8</v>
      </c>
      <c r="HO656" s="19">
        <v>34.8</v>
      </c>
      <c r="HP656" s="19">
        <v>33.8</v>
      </c>
      <c r="HQ656" s="19">
        <v>32.8</v>
      </c>
      <c r="HR656" s="19">
        <v>31.8</v>
      </c>
      <c r="HS656" s="19">
        <v>30.8</v>
      </c>
      <c r="HT656" s="19">
        <v>29.7</v>
      </c>
      <c r="HU656" s="19">
        <v>28.7</v>
      </c>
      <c r="HV656" s="19">
        <v>27.7</v>
      </c>
      <c r="HW656" s="19">
        <v>26.7</v>
      </c>
      <c r="HX656" s="19">
        <v>25.7</v>
      </c>
      <c r="HY656" s="19">
        <v>24.7</v>
      </c>
      <c r="HZ656" s="19">
        <v>23.7</v>
      </c>
      <c r="IA656" s="19">
        <v>22.7</v>
      </c>
      <c r="IB656" s="19">
        <v>21.7</v>
      </c>
    </row>
    <row r="657">
      <c r="A657" s="2" t="s">
        <v>3655</v>
      </c>
      <c r="B657" s="2" t="s">
        <v>872</v>
      </c>
      <c r="C657" s="2" t="s">
        <v>762</v>
      </c>
      <c r="D657" s="2" t="s">
        <v>261</v>
      </c>
      <c r="E657" s="2" t="s">
        <v>895</v>
      </c>
      <c r="F657" s="2" t="s">
        <v>3647</v>
      </c>
      <c r="G657" s="2" t="s">
        <v>3647</v>
      </c>
      <c r="H657" s="2" t="s">
        <v>3647</v>
      </c>
      <c r="I657" s="2" t="s">
        <v>3656</v>
      </c>
      <c r="J657" s="2" t="s">
        <v>265</v>
      </c>
      <c r="K657" s="2" t="s">
        <v>1788</v>
      </c>
      <c r="L657" s="3">
        <v>65</v>
      </c>
      <c r="M657" s="3">
        <v>68.25</v>
      </c>
      <c r="N657" s="3">
        <v>129.99</v>
      </c>
      <c r="O657" s="2" t="s">
        <v>230</v>
      </c>
      <c r="P657" s="2" t="s">
        <v>231</v>
      </c>
      <c r="Q657" s="2" t="s">
        <v>232</v>
      </c>
      <c r="R657" s="2" t="s">
        <v>233</v>
      </c>
      <c r="S657" s="2" t="s">
        <v>3657</v>
      </c>
      <c r="T657" s="2" t="s">
        <v>348</v>
      </c>
      <c r="U657" s="2" t="s">
        <v>781</v>
      </c>
      <c r="V657" s="2" t="s">
        <v>236</v>
      </c>
      <c r="W657" s="2" t="s">
        <v>3650</v>
      </c>
      <c r="X657" s="2" t="s">
        <v>237</v>
      </c>
      <c r="Y657" s="2" t="s">
        <v>3658</v>
      </c>
      <c r="Z657" s="4">
        <v>280</v>
      </c>
      <c r="AA657" s="4">
        <f>=ROUNDDOWN(56,0)</f>
      </c>
      <c r="AB657" s="5">
        <v>5</v>
      </c>
      <c r="AC657" s="2" t="s">
        <v>233</v>
      </c>
      <c r="AD657" s="4"/>
      <c r="AE657" s="4"/>
      <c r="AF657" s="6">
        <v>67</v>
      </c>
      <c r="AG657" s="6"/>
      <c r="AH657" s="7">
        <v>1</v>
      </c>
      <c r="AI657" s="4"/>
      <c r="AJ657" s="4">
        <f>=ROUNDDOWN({0},0)</f>
      </c>
      <c r="AK657" s="5"/>
      <c r="AL657" s="2" t="s">
        <v>233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233</v>
      </c>
      <c r="AW657" s="8" t="s">
        <v>233</v>
      </c>
      <c r="AX657" s="4" t="s">
        <v>233</v>
      </c>
      <c r="AY657" s="8" t="s">
        <v>233</v>
      </c>
      <c r="AZ657" s="7" t="s">
        <v>233</v>
      </c>
      <c r="BA657" s="7" t="s">
        <v>233</v>
      </c>
      <c r="BB657" s="7" t="s">
        <v>233</v>
      </c>
      <c r="BC657" s="4" t="s">
        <v>233</v>
      </c>
      <c r="BD657" s="8" t="s">
        <v>233</v>
      </c>
      <c r="BE657" s="4" t="s">
        <v>233</v>
      </c>
      <c r="BF657" s="8" t="s">
        <v>233</v>
      </c>
      <c r="BG657" s="7" t="s">
        <v>233</v>
      </c>
      <c r="BH657" s="7" t="s">
        <v>233</v>
      </c>
      <c r="BI657" s="7"/>
      <c r="BJ657" s="4">
        <v>17</v>
      </c>
      <c r="BK657" s="8">
        <v>1275.71</v>
      </c>
      <c r="BL657" s="2" t="s">
        <v>3659</v>
      </c>
      <c r="BM657" s="7"/>
      <c r="BN657" s="7"/>
      <c r="BO657" s="4"/>
      <c r="BP657" s="8"/>
      <c r="BQ657" s="4"/>
      <c r="BR657" s="8"/>
      <c r="BS657" s="7"/>
      <c r="BT657" s="7"/>
      <c r="BU657" s="2" t="s">
        <v>3653</v>
      </c>
      <c r="BV657" s="2" t="s">
        <v>233</v>
      </c>
      <c r="BW657" s="2" t="s">
        <v>233</v>
      </c>
      <c r="BX657" s="2" t="s">
        <v>241</v>
      </c>
      <c r="BY657" s="2" t="s">
        <v>242</v>
      </c>
      <c r="BZ657" s="2" t="s">
        <v>230</v>
      </c>
      <c r="CA657" s="2" t="s">
        <v>3660</v>
      </c>
      <c r="CB657" s="2" t="s">
        <v>3661</v>
      </c>
      <c r="CC657" s="2" t="s">
        <v>245</v>
      </c>
      <c r="CD657" s="2" t="s">
        <v>233</v>
      </c>
      <c r="CE657" s="4">
        <v>280</v>
      </c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>
        <v>281</v>
      </c>
      <c r="GD657" s="4">
        <v>263</v>
      </c>
      <c r="GE657" s="4">
        <v>255</v>
      </c>
      <c r="GF657" s="4">
        <v>247</v>
      </c>
      <c r="GG657" s="4">
        <v>232</v>
      </c>
      <c r="GH657" s="4">
        <v>226</v>
      </c>
      <c r="GI657" s="4">
        <v>219</v>
      </c>
      <c r="GJ657" s="4">
        <v>214</v>
      </c>
      <c r="GK657" s="4">
        <v>211</v>
      </c>
      <c r="GL657" s="4">
        <v>206</v>
      </c>
      <c r="GM657" s="4">
        <v>201</v>
      </c>
      <c r="GN657" s="4">
        <v>196</v>
      </c>
      <c r="GO657" s="4">
        <v>191</v>
      </c>
      <c r="GP657" s="4">
        <v>186</v>
      </c>
      <c r="GQ657" s="4">
        <v>181</v>
      </c>
      <c r="GR657" s="4">
        <v>176</v>
      </c>
      <c r="GS657" s="4">
        <v>171</v>
      </c>
      <c r="GT657" s="4">
        <v>166</v>
      </c>
      <c r="GU657" s="4">
        <v>161</v>
      </c>
      <c r="GV657" s="4">
        <v>156</v>
      </c>
      <c r="GW657" s="4">
        <v>151</v>
      </c>
      <c r="GX657" s="4">
        <v>146</v>
      </c>
      <c r="GY657" s="4">
        <v>141</v>
      </c>
      <c r="GZ657" s="4">
        <v>136</v>
      </c>
      <c r="HA657" s="4">
        <v>131</v>
      </c>
      <c r="HB657" s="4">
        <v>126</v>
      </c>
      <c r="HC657" s="19">
        <v>23.4</v>
      </c>
      <c r="HD657" s="19">
        <v>29.2</v>
      </c>
      <c r="HE657" s="19">
        <v>28.3</v>
      </c>
      <c r="HF657" s="19">
        <v>30.9</v>
      </c>
      <c r="HG657" s="19">
        <v>46.4</v>
      </c>
      <c r="HH657" s="19">
        <v>45.2</v>
      </c>
      <c r="HI657" s="19">
        <v>54.8</v>
      </c>
      <c r="HJ657" s="19">
        <v>53.5</v>
      </c>
      <c r="HK657" s="19">
        <v>42.2</v>
      </c>
      <c r="HL657" s="19">
        <v>41.2</v>
      </c>
      <c r="HM657" s="19">
        <v>40.2</v>
      </c>
      <c r="HN657" s="19">
        <v>39.2</v>
      </c>
      <c r="HO657" s="19">
        <v>38.2</v>
      </c>
      <c r="HP657" s="19">
        <v>37.2</v>
      </c>
      <c r="HQ657" s="19">
        <v>36.2</v>
      </c>
      <c r="HR657" s="19">
        <v>35.2</v>
      </c>
      <c r="HS657" s="19">
        <v>34.2</v>
      </c>
      <c r="HT657" s="19">
        <v>33.2</v>
      </c>
      <c r="HU657" s="19">
        <v>32.2</v>
      </c>
      <c r="HV657" s="19">
        <v>31.2</v>
      </c>
      <c r="HW657" s="19">
        <v>30.2</v>
      </c>
      <c r="HX657" s="19">
        <v>29.2</v>
      </c>
      <c r="HY657" s="19">
        <v>28.2</v>
      </c>
      <c r="HZ657" s="19">
        <v>27.2</v>
      </c>
      <c r="IA657" s="19">
        <v>26.2</v>
      </c>
      <c r="IB657" s="19">
        <v>25.2</v>
      </c>
    </row>
    <row r="658">
      <c r="A658" s="2" t="s">
        <v>3662</v>
      </c>
      <c r="B658" s="2" t="s">
        <v>872</v>
      </c>
      <c r="C658" s="2" t="s">
        <v>762</v>
      </c>
      <c r="D658" s="2" t="s">
        <v>774</v>
      </c>
      <c r="E658" s="2" t="s">
        <v>775</v>
      </c>
      <c r="F658" s="2" t="s">
        <v>3647</v>
      </c>
      <c r="G658" s="2" t="s">
        <v>3647</v>
      </c>
      <c r="H658" s="2" t="s">
        <v>3647</v>
      </c>
      <c r="I658" s="2" t="s">
        <v>3648</v>
      </c>
      <c r="J658" s="2" t="s">
        <v>265</v>
      </c>
      <c r="K658" s="2" t="s">
        <v>1788</v>
      </c>
      <c r="L658" s="3">
        <v>55</v>
      </c>
      <c r="M658" s="3">
        <v>57.74</v>
      </c>
      <c r="N658" s="3">
        <v>109.99</v>
      </c>
      <c r="O658" s="2" t="s">
        <v>230</v>
      </c>
      <c r="P658" s="2" t="s">
        <v>231</v>
      </c>
      <c r="Q658" s="2" t="s">
        <v>232</v>
      </c>
      <c r="R658" s="2" t="s">
        <v>233</v>
      </c>
      <c r="S658" s="2" t="s">
        <v>3657</v>
      </c>
      <c r="T658" s="2" t="s">
        <v>348</v>
      </c>
      <c r="U658" s="2" t="s">
        <v>781</v>
      </c>
      <c r="V658" s="2" t="s">
        <v>236</v>
      </c>
      <c r="W658" s="2" t="s">
        <v>3650</v>
      </c>
      <c r="X658" s="2" t="s">
        <v>237</v>
      </c>
      <c r="Y658" s="2" t="s">
        <v>3658</v>
      </c>
      <c r="Z658" s="4">
        <v>232</v>
      </c>
      <c r="AA658" s="4">
        <f>=ROUNDDOWN(58,0)</f>
      </c>
      <c r="AB658" s="5">
        <v>4</v>
      </c>
      <c r="AC658" s="2" t="s">
        <v>233</v>
      </c>
      <c r="AD658" s="4"/>
      <c r="AE658" s="4"/>
      <c r="AF658" s="6">
        <v>67</v>
      </c>
      <c r="AG658" s="6"/>
      <c r="AH658" s="7">
        <v>1</v>
      </c>
      <c r="AI658" s="4"/>
      <c r="AJ658" s="4">
        <f>=ROUNDDOWN({0},0)</f>
      </c>
      <c r="AK658" s="5"/>
      <c r="AL658" s="2" t="s">
        <v>233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233</v>
      </c>
      <c r="AW658" s="8" t="s">
        <v>233</v>
      </c>
      <c r="AX658" s="4" t="s">
        <v>233</v>
      </c>
      <c r="AY658" s="8" t="s">
        <v>233</v>
      </c>
      <c r="AZ658" s="7" t="s">
        <v>233</v>
      </c>
      <c r="BA658" s="7" t="s">
        <v>233</v>
      </c>
      <c r="BB658" s="7" t="s">
        <v>233</v>
      </c>
      <c r="BC658" s="4" t="s">
        <v>233</v>
      </c>
      <c r="BD658" s="8" t="s">
        <v>233</v>
      </c>
      <c r="BE658" s="4" t="s">
        <v>233</v>
      </c>
      <c r="BF658" s="8" t="s">
        <v>233</v>
      </c>
      <c r="BG658" s="7" t="s">
        <v>233</v>
      </c>
      <c r="BH658" s="7" t="s">
        <v>233</v>
      </c>
      <c r="BI658" s="7"/>
      <c r="BJ658" s="4">
        <v>12</v>
      </c>
      <c r="BK658" s="8">
        <v>725.72</v>
      </c>
      <c r="BL658" s="2" t="s">
        <v>1894</v>
      </c>
      <c r="BM658" s="7"/>
      <c r="BN658" s="7"/>
      <c r="BO658" s="4"/>
      <c r="BP658" s="8"/>
      <c r="BQ658" s="4"/>
      <c r="BR658" s="8"/>
      <c r="BS658" s="7"/>
      <c r="BT658" s="7"/>
      <c r="BU658" s="2" t="s">
        <v>3653</v>
      </c>
      <c r="BV658" s="2" t="s">
        <v>233</v>
      </c>
      <c r="BW658" s="2" t="s">
        <v>233</v>
      </c>
      <c r="BX658" s="2" t="s">
        <v>241</v>
      </c>
      <c r="BY658" s="2" t="s">
        <v>242</v>
      </c>
      <c r="BZ658" s="2" t="s">
        <v>230</v>
      </c>
      <c r="CA658" s="2" t="s">
        <v>3660</v>
      </c>
      <c r="CB658" s="2" t="s">
        <v>3663</v>
      </c>
      <c r="CC658" s="2" t="s">
        <v>245</v>
      </c>
      <c r="CD658" s="2" t="s">
        <v>233</v>
      </c>
      <c r="CE658" s="4">
        <v>232</v>
      </c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>
        <v>232</v>
      </c>
      <c r="GD658" s="4">
        <v>206</v>
      </c>
      <c r="GE658" s="4">
        <v>199</v>
      </c>
      <c r="GF658" s="4">
        <v>192</v>
      </c>
      <c r="GG658" s="4">
        <v>178</v>
      </c>
      <c r="GH658" s="4">
        <v>171</v>
      </c>
      <c r="GI658" s="4">
        <v>164</v>
      </c>
      <c r="GJ658" s="4">
        <v>159</v>
      </c>
      <c r="GK658" s="4">
        <v>155</v>
      </c>
      <c r="GL658" s="4">
        <v>151</v>
      </c>
      <c r="GM658" s="4">
        <v>147</v>
      </c>
      <c r="GN658" s="4">
        <v>143</v>
      </c>
      <c r="GO658" s="4">
        <v>139</v>
      </c>
      <c r="GP658" s="4">
        <v>135</v>
      </c>
      <c r="GQ658" s="4">
        <v>131</v>
      </c>
      <c r="GR658" s="4">
        <v>127</v>
      </c>
      <c r="GS658" s="4">
        <v>123</v>
      </c>
      <c r="GT658" s="4">
        <v>119</v>
      </c>
      <c r="GU658" s="4">
        <v>115</v>
      </c>
      <c r="GV658" s="4">
        <v>111</v>
      </c>
      <c r="GW658" s="4">
        <v>107</v>
      </c>
      <c r="GX658" s="4">
        <v>103</v>
      </c>
      <c r="GY658" s="4">
        <v>99</v>
      </c>
      <c r="GZ658" s="4">
        <v>95</v>
      </c>
      <c r="HA658" s="4">
        <v>91</v>
      </c>
      <c r="HB658" s="4">
        <v>87</v>
      </c>
      <c r="HC658" s="19">
        <v>16.6</v>
      </c>
      <c r="HD658" s="19">
        <v>22.9</v>
      </c>
      <c r="HE658" s="19">
        <v>22.1</v>
      </c>
      <c r="HF658" s="19">
        <v>24</v>
      </c>
      <c r="HG658" s="19">
        <v>29.7</v>
      </c>
      <c r="HH658" s="19">
        <v>34.2</v>
      </c>
      <c r="HI658" s="19">
        <v>41</v>
      </c>
      <c r="HJ658" s="19">
        <v>39.8</v>
      </c>
      <c r="HK658" s="19">
        <v>38.8</v>
      </c>
      <c r="HL658" s="19">
        <v>37.8</v>
      </c>
      <c r="HM658" s="19">
        <v>36.8</v>
      </c>
      <c r="HN658" s="19">
        <v>35.8</v>
      </c>
      <c r="HO658" s="19">
        <v>34.8</v>
      </c>
      <c r="HP658" s="19">
        <v>33.8</v>
      </c>
      <c r="HQ658" s="19">
        <v>32.8</v>
      </c>
      <c r="HR658" s="19">
        <v>31.8</v>
      </c>
      <c r="HS658" s="19">
        <v>30.8</v>
      </c>
      <c r="HT658" s="19">
        <v>29.8</v>
      </c>
      <c r="HU658" s="19">
        <v>28.8</v>
      </c>
      <c r="HV658" s="19">
        <v>27.8</v>
      </c>
      <c r="HW658" s="19">
        <v>26.8</v>
      </c>
      <c r="HX658" s="19">
        <v>25.8</v>
      </c>
      <c r="HY658" s="19">
        <v>24.8</v>
      </c>
      <c r="HZ658" s="19">
        <v>23.8</v>
      </c>
      <c r="IA658" s="19">
        <v>22.8</v>
      </c>
      <c r="IB658" s="19">
        <v>21.8</v>
      </c>
    </row>
    <row r="659">
      <c r="A659" s="2" t="s">
        <v>3664</v>
      </c>
      <c r="B659" s="2" t="s">
        <v>872</v>
      </c>
      <c r="C659" s="2" t="s">
        <v>762</v>
      </c>
      <c r="D659" s="2" t="s">
        <v>261</v>
      </c>
      <c r="E659" s="2" t="s">
        <v>895</v>
      </c>
      <c r="F659" s="2" t="s">
        <v>3647</v>
      </c>
      <c r="G659" s="2" t="s">
        <v>3647</v>
      </c>
      <c r="H659" s="2" t="s">
        <v>3647</v>
      </c>
      <c r="I659" s="2" t="s">
        <v>3656</v>
      </c>
      <c r="J659" s="2" t="s">
        <v>275</v>
      </c>
      <c r="K659" s="2" t="s">
        <v>1788</v>
      </c>
      <c r="L659" s="3">
        <v>80</v>
      </c>
      <c r="M659" s="3">
        <v>83.99</v>
      </c>
      <c r="N659" s="3">
        <v>159.99</v>
      </c>
      <c r="O659" s="2" t="s">
        <v>230</v>
      </c>
      <c r="P659" s="2" t="s">
        <v>231</v>
      </c>
      <c r="Q659" s="2" t="s">
        <v>232</v>
      </c>
      <c r="R659" s="2" t="s">
        <v>233</v>
      </c>
      <c r="S659" s="2" t="s">
        <v>3657</v>
      </c>
      <c r="T659" s="2" t="s">
        <v>348</v>
      </c>
      <c r="U659" s="2" t="s">
        <v>781</v>
      </c>
      <c r="V659" s="2" t="s">
        <v>236</v>
      </c>
      <c r="W659" s="2" t="s">
        <v>3650</v>
      </c>
      <c r="X659" s="2" t="s">
        <v>237</v>
      </c>
      <c r="Y659" s="2" t="s">
        <v>3658</v>
      </c>
      <c r="Z659" s="4">
        <v>257</v>
      </c>
      <c r="AA659" s="4">
        <f>=ROUNDDOWN(42.8333333333333,0)</f>
      </c>
      <c r="AB659" s="5">
        <v>6</v>
      </c>
      <c r="AC659" s="2" t="s">
        <v>233</v>
      </c>
      <c r="AD659" s="4"/>
      <c r="AE659" s="4"/>
      <c r="AF659" s="6">
        <v>67</v>
      </c>
      <c r="AG659" s="6"/>
      <c r="AH659" s="7">
        <v>1</v>
      </c>
      <c r="AI659" s="4"/>
      <c r="AJ659" s="4">
        <f>=ROUNDDOWN({0},0)</f>
      </c>
      <c r="AK659" s="5"/>
      <c r="AL659" s="2" t="s">
        <v>233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233</v>
      </c>
      <c r="AW659" s="8" t="s">
        <v>233</v>
      </c>
      <c r="AX659" s="4" t="s">
        <v>233</v>
      </c>
      <c r="AY659" s="8" t="s">
        <v>233</v>
      </c>
      <c r="AZ659" s="7" t="s">
        <v>233</v>
      </c>
      <c r="BA659" s="7" t="s">
        <v>233</v>
      </c>
      <c r="BB659" s="7" t="s">
        <v>233</v>
      </c>
      <c r="BC659" s="4" t="s">
        <v>233</v>
      </c>
      <c r="BD659" s="8" t="s">
        <v>233</v>
      </c>
      <c r="BE659" s="4" t="s">
        <v>233</v>
      </c>
      <c r="BF659" s="8" t="s">
        <v>233</v>
      </c>
      <c r="BG659" s="7" t="s">
        <v>233</v>
      </c>
      <c r="BH659" s="7" t="s">
        <v>233</v>
      </c>
      <c r="BI659" s="7"/>
      <c r="BJ659" s="4">
        <v>24</v>
      </c>
      <c r="BK659" s="8">
        <v>2165.32</v>
      </c>
      <c r="BL659" s="2" t="s">
        <v>3665</v>
      </c>
      <c r="BM659" s="7"/>
      <c r="BN659" s="7"/>
      <c r="BO659" s="4"/>
      <c r="BP659" s="8"/>
      <c r="BQ659" s="4"/>
      <c r="BR659" s="8"/>
      <c r="BS659" s="7"/>
      <c r="BT659" s="7"/>
      <c r="BU659" s="2" t="s">
        <v>3653</v>
      </c>
      <c r="BV659" s="2" t="s">
        <v>233</v>
      </c>
      <c r="BW659" s="2" t="s">
        <v>233</v>
      </c>
      <c r="BX659" s="2" t="s">
        <v>241</v>
      </c>
      <c r="BY659" s="2" t="s">
        <v>242</v>
      </c>
      <c r="BZ659" s="2" t="s">
        <v>230</v>
      </c>
      <c r="CA659" s="2" t="s">
        <v>3660</v>
      </c>
      <c r="CB659" s="2" t="s">
        <v>3666</v>
      </c>
      <c r="CC659" s="2" t="s">
        <v>245</v>
      </c>
      <c r="CD659" s="2" t="s">
        <v>233</v>
      </c>
      <c r="CE659" s="4">
        <v>257</v>
      </c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>
        <v>279</v>
      </c>
      <c r="GD659" s="4">
        <v>229</v>
      </c>
      <c r="GE659" s="4">
        <v>220</v>
      </c>
      <c r="GF659" s="4">
        <v>211</v>
      </c>
      <c r="GG659" s="4">
        <v>195</v>
      </c>
      <c r="GH659" s="4">
        <v>188</v>
      </c>
      <c r="GI659" s="4">
        <v>180</v>
      </c>
      <c r="GJ659" s="4">
        <v>174</v>
      </c>
      <c r="GK659" s="4">
        <v>170</v>
      </c>
      <c r="GL659" s="4">
        <v>164</v>
      </c>
      <c r="GM659" s="4">
        <v>158</v>
      </c>
      <c r="GN659" s="4">
        <v>152</v>
      </c>
      <c r="GO659" s="4">
        <v>146</v>
      </c>
      <c r="GP659" s="4">
        <v>140</v>
      </c>
      <c r="GQ659" s="4">
        <v>134</v>
      </c>
      <c r="GR659" s="4">
        <v>128</v>
      </c>
      <c r="GS659" s="4">
        <v>122</v>
      </c>
      <c r="GT659" s="4">
        <v>116</v>
      </c>
      <c r="GU659" s="4">
        <v>110</v>
      </c>
      <c r="GV659" s="4">
        <v>104</v>
      </c>
      <c r="GW659" s="4">
        <v>98</v>
      </c>
      <c r="GX659" s="4">
        <v>92</v>
      </c>
      <c r="GY659" s="4">
        <v>86</v>
      </c>
      <c r="GZ659" s="4">
        <v>80</v>
      </c>
      <c r="HA659" s="4">
        <v>74</v>
      </c>
      <c r="HB659" s="4">
        <v>68</v>
      </c>
      <c r="HC659" s="19">
        <v>13.3</v>
      </c>
      <c r="HD659" s="19">
        <v>22.9</v>
      </c>
      <c r="HE659" s="19">
        <v>22</v>
      </c>
      <c r="HF659" s="19">
        <v>23.4</v>
      </c>
      <c r="HG659" s="19">
        <v>32.5</v>
      </c>
      <c r="HH659" s="19">
        <v>31.3</v>
      </c>
      <c r="HI659" s="19">
        <v>30</v>
      </c>
      <c r="HJ659" s="19">
        <v>29</v>
      </c>
      <c r="HK659" s="19">
        <v>28.3</v>
      </c>
      <c r="HL659" s="19">
        <v>27.3</v>
      </c>
      <c r="HM659" s="19">
        <v>26.3</v>
      </c>
      <c r="HN659" s="19">
        <v>25.3</v>
      </c>
      <c r="HO659" s="19">
        <v>24.3</v>
      </c>
      <c r="HP659" s="19">
        <v>23.3</v>
      </c>
      <c r="HQ659" s="19">
        <v>22.3</v>
      </c>
      <c r="HR659" s="19">
        <v>21.3</v>
      </c>
      <c r="HS659" s="19">
        <v>20.3</v>
      </c>
      <c r="HT659" s="19">
        <v>19.3</v>
      </c>
      <c r="HU659" s="19">
        <v>18.3</v>
      </c>
      <c r="HV659" s="19">
        <v>17.3</v>
      </c>
      <c r="HW659" s="19">
        <v>16.3</v>
      </c>
      <c r="HX659" s="19">
        <v>15.3</v>
      </c>
      <c r="HY659" s="19">
        <v>14.3</v>
      </c>
      <c r="HZ659" s="19">
        <v>13.3</v>
      </c>
      <c r="IA659" s="19">
        <v>12.3</v>
      </c>
      <c r="IB659" s="19">
        <v>11.3</v>
      </c>
    </row>
    <row r="660">
      <c r="A660" s="2" t="s">
        <v>3667</v>
      </c>
      <c r="B660" s="2" t="s">
        <v>872</v>
      </c>
      <c r="C660" s="2" t="s">
        <v>762</v>
      </c>
      <c r="D660" s="2" t="s">
        <v>774</v>
      </c>
      <c r="E660" s="2" t="s">
        <v>775</v>
      </c>
      <c r="F660" s="2" t="s">
        <v>3647</v>
      </c>
      <c r="G660" s="2" t="s">
        <v>3647</v>
      </c>
      <c r="H660" s="2" t="s">
        <v>3647</v>
      </c>
      <c r="I660" s="2" t="s">
        <v>3648</v>
      </c>
      <c r="J660" s="2" t="s">
        <v>275</v>
      </c>
      <c r="K660" s="2" t="s">
        <v>1788</v>
      </c>
      <c r="L660" s="3">
        <v>70</v>
      </c>
      <c r="M660" s="3">
        <v>73.49</v>
      </c>
      <c r="N660" s="3">
        <v>139.99</v>
      </c>
      <c r="O660" s="2" t="s">
        <v>230</v>
      </c>
      <c r="P660" s="2" t="s">
        <v>231</v>
      </c>
      <c r="Q660" s="2" t="s">
        <v>232</v>
      </c>
      <c r="R660" s="2" t="s">
        <v>233</v>
      </c>
      <c r="S660" s="2" t="s">
        <v>3657</v>
      </c>
      <c r="T660" s="2" t="s">
        <v>348</v>
      </c>
      <c r="U660" s="2" t="s">
        <v>781</v>
      </c>
      <c r="V660" s="2" t="s">
        <v>236</v>
      </c>
      <c r="W660" s="2" t="s">
        <v>3650</v>
      </c>
      <c r="X660" s="2" t="s">
        <v>237</v>
      </c>
      <c r="Y660" s="2" t="s">
        <v>3658</v>
      </c>
      <c r="Z660" s="4">
        <v>166</v>
      </c>
      <c r="AA660" s="4">
        <f>=ROUNDDOWN(41.5,0)</f>
      </c>
      <c r="AB660" s="5">
        <v>4</v>
      </c>
      <c r="AC660" s="2" t="s">
        <v>233</v>
      </c>
      <c r="AD660" s="4"/>
      <c r="AE660" s="4"/>
      <c r="AF660" s="6">
        <v>67</v>
      </c>
      <c r="AG660" s="6"/>
      <c r="AH660" s="7">
        <v>1</v>
      </c>
      <c r="AI660" s="4"/>
      <c r="AJ660" s="4">
        <f>=ROUNDDOWN({0},0)</f>
      </c>
      <c r="AK660" s="5"/>
      <c r="AL660" s="2" t="s">
        <v>233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233</v>
      </c>
      <c r="AW660" s="8" t="s">
        <v>233</v>
      </c>
      <c r="AX660" s="4" t="s">
        <v>233</v>
      </c>
      <c r="AY660" s="8" t="s">
        <v>233</v>
      </c>
      <c r="AZ660" s="7" t="s">
        <v>233</v>
      </c>
      <c r="BA660" s="7" t="s">
        <v>233</v>
      </c>
      <c r="BB660" s="7" t="s">
        <v>233</v>
      </c>
      <c r="BC660" s="4" t="s">
        <v>233</v>
      </c>
      <c r="BD660" s="8" t="s">
        <v>233</v>
      </c>
      <c r="BE660" s="4" t="s">
        <v>233</v>
      </c>
      <c r="BF660" s="8" t="s">
        <v>233</v>
      </c>
      <c r="BG660" s="7" t="s">
        <v>233</v>
      </c>
      <c r="BH660" s="7" t="s">
        <v>233</v>
      </c>
      <c r="BI660" s="7"/>
      <c r="BJ660" s="4">
        <v>25</v>
      </c>
      <c r="BK660" s="8">
        <v>1916.92</v>
      </c>
      <c r="BL660" s="2" t="s">
        <v>3668</v>
      </c>
      <c r="BM660" s="7"/>
      <c r="BN660" s="7"/>
      <c r="BO660" s="4"/>
      <c r="BP660" s="8"/>
      <c r="BQ660" s="4"/>
      <c r="BR660" s="8"/>
      <c r="BS660" s="7"/>
      <c r="BT660" s="7"/>
      <c r="BU660" s="2" t="s">
        <v>3653</v>
      </c>
      <c r="BV660" s="2" t="s">
        <v>233</v>
      </c>
      <c r="BW660" s="2" t="s">
        <v>233</v>
      </c>
      <c r="BX660" s="2" t="s">
        <v>241</v>
      </c>
      <c r="BY660" s="2" t="s">
        <v>242</v>
      </c>
      <c r="BZ660" s="2" t="s">
        <v>230</v>
      </c>
      <c r="CA660" s="2" t="s">
        <v>3660</v>
      </c>
      <c r="CB660" s="2" t="s">
        <v>3669</v>
      </c>
      <c r="CC660" s="2" t="s">
        <v>245</v>
      </c>
      <c r="CD660" s="2" t="s">
        <v>233</v>
      </c>
      <c r="CE660" s="4">
        <v>166</v>
      </c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>
        <v>167</v>
      </c>
      <c r="GD660" s="4">
        <v>147</v>
      </c>
      <c r="GE660" s="4">
        <v>140</v>
      </c>
      <c r="GF660" s="4">
        <v>133</v>
      </c>
      <c r="GG660" s="4">
        <v>119</v>
      </c>
      <c r="GH660" s="4">
        <v>112</v>
      </c>
      <c r="GI660" s="4">
        <v>105</v>
      </c>
      <c r="GJ660" s="4">
        <v>100</v>
      </c>
      <c r="GK660" s="4">
        <v>97</v>
      </c>
      <c r="GL660" s="4">
        <v>93</v>
      </c>
      <c r="GM660" s="4">
        <v>89</v>
      </c>
      <c r="GN660" s="4">
        <v>85</v>
      </c>
      <c r="GO660" s="4">
        <v>81</v>
      </c>
      <c r="GP660" s="4">
        <v>77</v>
      </c>
      <c r="GQ660" s="4">
        <v>73</v>
      </c>
      <c r="GR660" s="4">
        <v>69</v>
      </c>
      <c r="GS660" s="4">
        <v>65</v>
      </c>
      <c r="GT660" s="4">
        <v>61</v>
      </c>
      <c r="GU660" s="4">
        <v>57</v>
      </c>
      <c r="GV660" s="4">
        <v>53</v>
      </c>
      <c r="GW660" s="4">
        <v>49</v>
      </c>
      <c r="GX660" s="4">
        <v>45</v>
      </c>
      <c r="GY660" s="4">
        <v>41</v>
      </c>
      <c r="GZ660" s="4">
        <v>37</v>
      </c>
      <c r="HA660" s="4">
        <v>33</v>
      </c>
      <c r="HB660" s="4">
        <v>29</v>
      </c>
      <c r="HC660" s="9"/>
      <c r="HD660" s="19">
        <v>16.3</v>
      </c>
      <c r="HE660" s="19">
        <v>15.6</v>
      </c>
      <c r="HF660" s="19">
        <v>16.6</v>
      </c>
      <c r="HG660" s="19">
        <v>19.8</v>
      </c>
      <c r="HH660" s="19">
        <v>22.4</v>
      </c>
      <c r="HI660" s="19">
        <v>26.3</v>
      </c>
      <c r="HJ660" s="19">
        <v>25</v>
      </c>
      <c r="HK660" s="19">
        <v>24.3</v>
      </c>
      <c r="HL660" s="19">
        <v>23.3</v>
      </c>
      <c r="HM660" s="19">
        <v>22.3</v>
      </c>
      <c r="HN660" s="19">
        <v>21.3</v>
      </c>
      <c r="HO660" s="19">
        <v>20.3</v>
      </c>
      <c r="HP660" s="19">
        <v>19.3</v>
      </c>
      <c r="HQ660" s="19">
        <v>18.3</v>
      </c>
      <c r="HR660" s="9"/>
      <c r="HS660" s="19">
        <v>16.3</v>
      </c>
      <c r="HT660" s="19">
        <v>15.3</v>
      </c>
      <c r="HU660" s="19">
        <v>14.3</v>
      </c>
      <c r="HV660" s="19">
        <v>13.3</v>
      </c>
      <c r="HW660" s="19">
        <v>12.3</v>
      </c>
      <c r="HX660" s="19">
        <v>11.3</v>
      </c>
      <c r="HY660" s="19">
        <v>10.3</v>
      </c>
      <c r="HZ660" s="19">
        <v>9.3</v>
      </c>
      <c r="IA660" s="19">
        <v>8.3</v>
      </c>
      <c r="IB660" s="19">
        <v>7.3</v>
      </c>
    </row>
    <row r="661">
      <c r="A661" s="2" t="s">
        <v>3670</v>
      </c>
      <c r="B661" s="2" t="s">
        <v>872</v>
      </c>
      <c r="C661" s="2" t="s">
        <v>280</v>
      </c>
      <c r="D661" s="2" t="s">
        <v>884</v>
      </c>
      <c r="E661" s="2" t="s">
        <v>3542</v>
      </c>
      <c r="F661" s="2" t="s">
        <v>3671</v>
      </c>
      <c r="G661" s="2" t="s">
        <v>3672</v>
      </c>
      <c r="H661" s="2" t="s">
        <v>3673</v>
      </c>
      <c r="I661" s="2" t="s">
        <v>3674</v>
      </c>
      <c r="J661" s="2" t="s">
        <v>1052</v>
      </c>
      <c r="K661" s="2" t="s">
        <v>870</v>
      </c>
      <c r="L661" s="3">
        <v>28.34</v>
      </c>
      <c r="M661" s="3">
        <v>29.76</v>
      </c>
      <c r="N661" s="3">
        <v>54.99</v>
      </c>
      <c r="O661" s="2" t="s">
        <v>230</v>
      </c>
      <c r="P661" s="2" t="s">
        <v>231</v>
      </c>
      <c r="Q661" s="2" t="s">
        <v>232</v>
      </c>
      <c r="R661" s="2" t="s">
        <v>233</v>
      </c>
      <c r="S661" s="2" t="s">
        <v>3675</v>
      </c>
      <c r="T661" s="2" t="s">
        <v>233</v>
      </c>
      <c r="U661" s="2" t="s">
        <v>711</v>
      </c>
      <c r="V661" s="2" t="s">
        <v>236</v>
      </c>
      <c r="W661" s="2" t="s">
        <v>620</v>
      </c>
      <c r="X661" s="2" t="s">
        <v>233</v>
      </c>
      <c r="Y661" s="2" t="s">
        <v>487</v>
      </c>
      <c r="Z661" s="4">
        <v>371</v>
      </c>
      <c r="AA661" s="4">
        <f>=ROUNDDOWN(28.5384615384615,0)</f>
      </c>
      <c r="AB661" s="5">
        <v>13</v>
      </c>
      <c r="AC661" s="2" t="s">
        <v>140</v>
      </c>
      <c r="AD661" s="4">
        <v>120</v>
      </c>
      <c r="AE661" s="4">
        <v>200</v>
      </c>
      <c r="AF661" s="6">
        <v>65</v>
      </c>
      <c r="AG661" s="6">
        <v>48</v>
      </c>
      <c r="AH661" s="7">
        <v>1</v>
      </c>
      <c r="AI661" s="4"/>
      <c r="AJ661" s="4">
        <f>=ROUNDDOWN({0},0)</f>
      </c>
      <c r="AK661" s="5"/>
      <c r="AL661" s="2" t="s">
        <v>233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/>
      <c r="AW661" s="8"/>
      <c r="AX661" s="4"/>
      <c r="AY661" s="8"/>
      <c r="AZ661" s="7"/>
      <c r="BA661" s="7"/>
      <c r="BB661" s="7"/>
      <c r="BC661" s="4"/>
      <c r="BD661" s="8"/>
      <c r="BE661" s="4"/>
      <c r="BF661" s="8"/>
      <c r="BG661" s="7"/>
      <c r="BH661" s="7"/>
      <c r="BI661" s="7"/>
      <c r="BJ661" s="4">
        <v>21</v>
      </c>
      <c r="BK661" s="8">
        <v>683.71</v>
      </c>
      <c r="BL661" s="2" t="s">
        <v>1339</v>
      </c>
      <c r="BM661" s="7"/>
      <c r="BN661" s="7"/>
      <c r="BO661" s="4"/>
      <c r="BP661" s="8"/>
      <c r="BQ661" s="4"/>
      <c r="BR661" s="8"/>
      <c r="BS661" s="7"/>
      <c r="BT661" s="7"/>
      <c r="BU661" s="2" t="s">
        <v>3676</v>
      </c>
      <c r="BV661" s="2" t="s">
        <v>233</v>
      </c>
      <c r="BW661" s="2" t="s">
        <v>233</v>
      </c>
      <c r="BX661" s="2" t="s">
        <v>624</v>
      </c>
      <c r="BY661" s="2" t="s">
        <v>242</v>
      </c>
      <c r="BZ661" s="2" t="s">
        <v>230</v>
      </c>
      <c r="CA661" s="2" t="s">
        <v>3677</v>
      </c>
      <c r="CB661" s="2" t="s">
        <v>3678</v>
      </c>
      <c r="CC661" s="2" t="s">
        <v>245</v>
      </c>
      <c r="CD661" s="2" t="s">
        <v>233</v>
      </c>
      <c r="CE661" s="4">
        <v>148</v>
      </c>
      <c r="CF661" s="4"/>
      <c r="CG661" s="4"/>
      <c r="CH661" s="4">
        <v>113</v>
      </c>
      <c r="CI661" s="4"/>
      <c r="CJ661" s="4"/>
      <c r="CK661" s="4"/>
      <c r="CL661" s="4">
        <v>110</v>
      </c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>
        <v>120</v>
      </c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>
        <v>80</v>
      </c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>
        <v>450</v>
      </c>
      <c r="GD661" s="4">
        <v>440</v>
      </c>
      <c r="GE661" s="4">
        <v>546</v>
      </c>
      <c r="GF661" s="4">
        <v>532</v>
      </c>
      <c r="GG661" s="4">
        <v>503</v>
      </c>
      <c r="GH661" s="4">
        <v>482</v>
      </c>
      <c r="GI661" s="4">
        <v>464</v>
      </c>
      <c r="GJ661" s="4">
        <v>454</v>
      </c>
      <c r="GK661" s="4">
        <v>446</v>
      </c>
      <c r="GL661" s="4">
        <v>512</v>
      </c>
      <c r="GM661" s="4">
        <v>499</v>
      </c>
      <c r="GN661" s="4">
        <v>486</v>
      </c>
      <c r="GO661" s="4">
        <v>473</v>
      </c>
      <c r="GP661" s="4">
        <v>460</v>
      </c>
      <c r="GQ661" s="4">
        <v>447</v>
      </c>
      <c r="GR661" s="4">
        <v>434</v>
      </c>
      <c r="GS661" s="4">
        <v>421</v>
      </c>
      <c r="GT661" s="4">
        <v>407</v>
      </c>
      <c r="GU661" s="4">
        <v>394</v>
      </c>
      <c r="GV661" s="4">
        <v>381</v>
      </c>
      <c r="GW661" s="4">
        <v>368</v>
      </c>
      <c r="GX661" s="4">
        <v>355</v>
      </c>
      <c r="GY661" s="4">
        <v>342</v>
      </c>
      <c r="GZ661" s="4">
        <v>329</v>
      </c>
      <c r="HA661" s="4">
        <v>316</v>
      </c>
      <c r="HB661" s="4">
        <v>303</v>
      </c>
      <c r="HC661" s="19">
        <v>27.1</v>
      </c>
      <c r="HD661" s="19">
        <v>24.9</v>
      </c>
      <c r="HE661" s="19">
        <v>32.8</v>
      </c>
      <c r="HF661" s="19">
        <v>38.4</v>
      </c>
      <c r="HG661" s="19">
        <v>49.3</v>
      </c>
      <c r="HH661" s="19">
        <v>49</v>
      </c>
      <c r="HI661" s="19">
        <v>66.4</v>
      </c>
      <c r="HJ661" s="19">
        <v>48.2</v>
      </c>
      <c r="HK661" s="19">
        <v>46.2</v>
      </c>
      <c r="HL661" s="19">
        <v>49.2</v>
      </c>
      <c r="HM661" s="19">
        <v>48.2</v>
      </c>
      <c r="HN661" s="19">
        <v>47.2</v>
      </c>
      <c r="HO661" s="19">
        <v>46.2</v>
      </c>
      <c r="HP661" s="19">
        <v>45.2</v>
      </c>
      <c r="HQ661" s="19">
        <v>44.2</v>
      </c>
      <c r="HR661" s="19">
        <v>43.2</v>
      </c>
      <c r="HS661" s="19">
        <v>42.2</v>
      </c>
      <c r="HT661" s="19">
        <v>41.1</v>
      </c>
      <c r="HU661" s="19">
        <v>40.1</v>
      </c>
      <c r="HV661" s="19">
        <v>39.1</v>
      </c>
      <c r="HW661" s="19">
        <v>38.1</v>
      </c>
      <c r="HX661" s="19">
        <v>37.1</v>
      </c>
      <c r="HY661" s="19">
        <v>36.1</v>
      </c>
      <c r="HZ661" s="19">
        <v>35.1</v>
      </c>
      <c r="IA661" s="19">
        <v>34.1</v>
      </c>
      <c r="IB661" s="19">
        <v>33.1</v>
      </c>
    </row>
    <row r="662">
      <c r="A662" s="2" t="s">
        <v>3679</v>
      </c>
      <c r="B662" s="2" t="s">
        <v>872</v>
      </c>
      <c r="C662" s="2" t="s">
        <v>343</v>
      </c>
      <c r="D662" s="2" t="s">
        <v>261</v>
      </c>
      <c r="E662" s="2" t="s">
        <v>1119</v>
      </c>
      <c r="F662" s="2" t="s">
        <v>3680</v>
      </c>
      <c r="G662" s="2" t="s">
        <v>3681</v>
      </c>
      <c r="H662" s="2" t="s">
        <v>3682</v>
      </c>
      <c r="I662" s="2" t="s">
        <v>3683</v>
      </c>
      <c r="J662" s="2" t="s">
        <v>228</v>
      </c>
      <c r="K662" s="2" t="s">
        <v>434</v>
      </c>
      <c r="L662" s="3">
        <v>51.99</v>
      </c>
      <c r="M662" s="3">
        <v>54.59</v>
      </c>
      <c r="N662" s="3">
        <v>99.99</v>
      </c>
      <c r="O662" s="2" t="s">
        <v>230</v>
      </c>
      <c r="P662" s="2" t="s">
        <v>231</v>
      </c>
      <c r="Q662" s="2" t="s">
        <v>232</v>
      </c>
      <c r="R662" s="2" t="s">
        <v>233</v>
      </c>
      <c r="S662" s="2" t="s">
        <v>3684</v>
      </c>
      <c r="T662" s="2" t="s">
        <v>233</v>
      </c>
      <c r="U662" s="2" t="s">
        <v>635</v>
      </c>
      <c r="V662" s="2" t="s">
        <v>782</v>
      </c>
      <c r="W662" s="2" t="s">
        <v>620</v>
      </c>
      <c r="X662" s="2" t="s">
        <v>233</v>
      </c>
      <c r="Y662" s="2" t="s">
        <v>238</v>
      </c>
      <c r="Z662" s="4">
        <v>99</v>
      </c>
      <c r="AA662" s="4">
        <f>=ROUNDDOWN(24.75,0)</f>
      </c>
      <c r="AB662" s="5">
        <v>4</v>
      </c>
      <c r="AC662" s="2" t="s">
        <v>139</v>
      </c>
      <c r="AD662" s="4">
        <v>40</v>
      </c>
      <c r="AE662" s="4">
        <v>140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233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 t="s">
        <v>233</v>
      </c>
      <c r="BD662" s="8" t="s">
        <v>233</v>
      </c>
      <c r="BE662" s="4" t="s">
        <v>233</v>
      </c>
      <c r="BF662" s="8" t="s">
        <v>233</v>
      </c>
      <c r="BG662" s="7" t="s">
        <v>233</v>
      </c>
      <c r="BH662" s="7" t="s">
        <v>233</v>
      </c>
      <c r="BI662" s="7"/>
      <c r="BJ662" s="4">
        <v>22</v>
      </c>
      <c r="BK662" s="8">
        <v>1167.49</v>
      </c>
      <c r="BL662" s="2" t="s">
        <v>1361</v>
      </c>
      <c r="BM662" s="7"/>
      <c r="BN662" s="7"/>
      <c r="BO662" s="4"/>
      <c r="BP662" s="8"/>
      <c r="BQ662" s="4"/>
      <c r="BR662" s="8"/>
      <c r="BS662" s="7"/>
      <c r="BT662" s="7"/>
      <c r="BU662" s="2" t="s">
        <v>3685</v>
      </c>
      <c r="BV662" s="2" t="s">
        <v>233</v>
      </c>
      <c r="BW662" s="2" t="s">
        <v>233</v>
      </c>
      <c r="BX662" s="2" t="s">
        <v>293</v>
      </c>
      <c r="BY662" s="2" t="s">
        <v>242</v>
      </c>
      <c r="BZ662" s="2" t="s">
        <v>230</v>
      </c>
      <c r="CA662" s="2" t="s">
        <v>243</v>
      </c>
      <c r="CB662" s="2" t="s">
        <v>3686</v>
      </c>
      <c r="CC662" s="2" t="s">
        <v>245</v>
      </c>
      <c r="CD662" s="2" t="s">
        <v>233</v>
      </c>
      <c r="CE662" s="4">
        <v>99</v>
      </c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>
        <v>40</v>
      </c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>
        <v>100</v>
      </c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>
        <v>99</v>
      </c>
      <c r="GD662" s="4">
        <v>93</v>
      </c>
      <c r="GE662" s="4">
        <v>127</v>
      </c>
      <c r="GF662" s="4">
        <v>121</v>
      </c>
      <c r="GG662" s="4">
        <v>109</v>
      </c>
      <c r="GH662" s="4">
        <v>102</v>
      </c>
      <c r="GI662" s="4">
        <v>94</v>
      </c>
      <c r="GJ662" s="4">
        <v>90</v>
      </c>
      <c r="GK662" s="4">
        <v>87</v>
      </c>
      <c r="GL662" s="4">
        <v>83</v>
      </c>
      <c r="GM662" s="4">
        <v>79</v>
      </c>
      <c r="GN662" s="4">
        <v>75</v>
      </c>
      <c r="GO662" s="4">
        <v>171</v>
      </c>
      <c r="GP662" s="4">
        <v>167</v>
      </c>
      <c r="GQ662" s="4">
        <v>163</v>
      </c>
      <c r="GR662" s="4">
        <v>159</v>
      </c>
      <c r="GS662" s="4">
        <v>155</v>
      </c>
      <c r="GT662" s="4">
        <v>151</v>
      </c>
      <c r="GU662" s="4">
        <v>147</v>
      </c>
      <c r="GV662" s="4">
        <v>143</v>
      </c>
      <c r="GW662" s="4">
        <v>139</v>
      </c>
      <c r="GX662" s="4">
        <v>135</v>
      </c>
      <c r="GY662" s="4">
        <v>131</v>
      </c>
      <c r="GZ662" s="4">
        <v>127</v>
      </c>
      <c r="HA662" s="4">
        <v>123</v>
      </c>
      <c r="HB662" s="4">
        <v>119</v>
      </c>
      <c r="HC662" s="19">
        <v>12.4</v>
      </c>
      <c r="HD662" s="19">
        <v>11.6</v>
      </c>
      <c r="HE662" s="19">
        <v>15.9</v>
      </c>
      <c r="HF662" s="19">
        <v>15.1</v>
      </c>
      <c r="HG662" s="19">
        <v>18.2</v>
      </c>
      <c r="HH662" s="19">
        <v>20.4</v>
      </c>
      <c r="HI662" s="19">
        <v>23.5</v>
      </c>
      <c r="HJ662" s="19">
        <v>22.5</v>
      </c>
      <c r="HK662" s="19">
        <v>21.8</v>
      </c>
      <c r="HL662" s="19">
        <v>20.8</v>
      </c>
      <c r="HM662" s="19">
        <v>19.8</v>
      </c>
      <c r="HN662" s="19">
        <v>18.8</v>
      </c>
      <c r="HO662" s="19">
        <v>42.8</v>
      </c>
      <c r="HP662" s="19">
        <v>41.8</v>
      </c>
      <c r="HQ662" s="19">
        <v>40.8</v>
      </c>
      <c r="HR662" s="19">
        <v>39.8</v>
      </c>
      <c r="HS662" s="19">
        <v>38.8</v>
      </c>
      <c r="HT662" s="19">
        <v>37.8</v>
      </c>
      <c r="HU662" s="19">
        <v>36.8</v>
      </c>
      <c r="HV662" s="19">
        <v>35.8</v>
      </c>
      <c r="HW662" s="19">
        <v>34.8</v>
      </c>
      <c r="HX662" s="19">
        <v>33.8</v>
      </c>
      <c r="HY662" s="19">
        <v>32.8</v>
      </c>
      <c r="HZ662" s="19">
        <v>31.8</v>
      </c>
      <c r="IA662" s="19">
        <v>30.8</v>
      </c>
      <c r="IB662" s="19">
        <v>29.8</v>
      </c>
    </row>
    <row r="663">
      <c r="A663" s="2" t="s">
        <v>3687</v>
      </c>
      <c r="B663" s="2" t="s">
        <v>872</v>
      </c>
      <c r="C663" s="2" t="s">
        <v>343</v>
      </c>
      <c r="D663" s="2" t="s">
        <v>884</v>
      </c>
      <c r="E663" s="2" t="s">
        <v>1119</v>
      </c>
      <c r="F663" s="2" t="s">
        <v>3680</v>
      </c>
      <c r="G663" s="2" t="s">
        <v>3681</v>
      </c>
      <c r="H663" s="2" t="s">
        <v>3682</v>
      </c>
      <c r="I663" s="2" t="s">
        <v>3688</v>
      </c>
      <c r="J663" s="2" t="s">
        <v>228</v>
      </c>
      <c r="K663" s="2" t="s">
        <v>300</v>
      </c>
      <c r="L663" s="3">
        <v>47.17</v>
      </c>
      <c r="M663" s="3">
        <v>49.53</v>
      </c>
      <c r="N663" s="3">
        <v>89</v>
      </c>
      <c r="O663" s="2" t="s">
        <v>230</v>
      </c>
      <c r="P663" s="2" t="s">
        <v>231</v>
      </c>
      <c r="Q663" s="2" t="s">
        <v>232</v>
      </c>
      <c r="R663" s="2" t="s">
        <v>233</v>
      </c>
      <c r="S663" s="2" t="s">
        <v>3689</v>
      </c>
      <c r="T663" s="2" t="s">
        <v>233</v>
      </c>
      <c r="U663" s="2" t="s">
        <v>665</v>
      </c>
      <c r="V663" s="2" t="s">
        <v>782</v>
      </c>
      <c r="W663" s="2" t="s">
        <v>620</v>
      </c>
      <c r="X663" s="2" t="s">
        <v>233</v>
      </c>
      <c r="Y663" s="2" t="s">
        <v>238</v>
      </c>
      <c r="Z663" s="4">
        <v>93</v>
      </c>
      <c r="AA663" s="4">
        <f>=ROUNDDOWN(31,0)</f>
      </c>
      <c r="AB663" s="5">
        <v>3</v>
      </c>
      <c r="AC663" s="2" t="s">
        <v>474</v>
      </c>
      <c r="AD663" s="4">
        <v>30</v>
      </c>
      <c r="AE663" s="4">
        <v>30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233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233</v>
      </c>
      <c r="AW663" s="8" t="s">
        <v>233</v>
      </c>
      <c r="AX663" s="4" t="s">
        <v>233</v>
      </c>
      <c r="AY663" s="8" t="s">
        <v>233</v>
      </c>
      <c r="AZ663" s="7" t="s">
        <v>233</v>
      </c>
      <c r="BA663" s="7" t="s">
        <v>233</v>
      </c>
      <c r="BB663" s="7"/>
      <c r="BC663" s="4" t="s">
        <v>233</v>
      </c>
      <c r="BD663" s="8" t="s">
        <v>233</v>
      </c>
      <c r="BE663" s="4" t="s">
        <v>233</v>
      </c>
      <c r="BF663" s="8" t="s">
        <v>233</v>
      </c>
      <c r="BG663" s="7" t="s">
        <v>233</v>
      </c>
      <c r="BH663" s="7" t="s">
        <v>233</v>
      </c>
      <c r="BI663" s="7"/>
      <c r="BJ663" s="4">
        <v>8</v>
      </c>
      <c r="BK663" s="8">
        <v>397.12</v>
      </c>
      <c r="BL663" s="2" t="s">
        <v>3690</v>
      </c>
      <c r="BM663" s="7"/>
      <c r="BN663" s="7"/>
      <c r="BO663" s="4"/>
      <c r="BP663" s="8"/>
      <c r="BQ663" s="4"/>
      <c r="BR663" s="8"/>
      <c r="BS663" s="7"/>
      <c r="BT663" s="7"/>
      <c r="BU663" s="2" t="s">
        <v>3691</v>
      </c>
      <c r="BV663" s="2" t="s">
        <v>233</v>
      </c>
      <c r="BW663" s="2" t="s">
        <v>233</v>
      </c>
      <c r="BX663" s="2" t="s">
        <v>241</v>
      </c>
      <c r="BY663" s="2" t="s">
        <v>242</v>
      </c>
      <c r="BZ663" s="2" t="s">
        <v>230</v>
      </c>
      <c r="CA663" s="2" t="s">
        <v>3692</v>
      </c>
      <c r="CB663" s="2" t="s">
        <v>3693</v>
      </c>
      <c r="CC663" s="2" t="s">
        <v>245</v>
      </c>
      <c r="CD663" s="2" t="s">
        <v>233</v>
      </c>
      <c r="CE663" s="4">
        <v>93</v>
      </c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>
        <v>30</v>
      </c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>
        <v>93</v>
      </c>
      <c r="GD663" s="4">
        <v>90</v>
      </c>
      <c r="GE663" s="4">
        <v>86</v>
      </c>
      <c r="GF663" s="4">
        <v>82</v>
      </c>
      <c r="GG663" s="4">
        <v>74</v>
      </c>
      <c r="GH663" s="4">
        <v>69</v>
      </c>
      <c r="GI663" s="4">
        <v>64</v>
      </c>
      <c r="GJ663" s="4">
        <v>61</v>
      </c>
      <c r="GK663" s="4">
        <v>59</v>
      </c>
      <c r="GL663" s="4">
        <v>56</v>
      </c>
      <c r="GM663" s="4">
        <v>53</v>
      </c>
      <c r="GN663" s="4">
        <v>50</v>
      </c>
      <c r="GO663" s="4">
        <v>77</v>
      </c>
      <c r="GP663" s="4">
        <v>74</v>
      </c>
      <c r="GQ663" s="4">
        <v>71</v>
      </c>
      <c r="GR663" s="4">
        <v>68</v>
      </c>
      <c r="GS663" s="4">
        <v>65</v>
      </c>
      <c r="GT663" s="4">
        <v>62</v>
      </c>
      <c r="GU663" s="4">
        <v>59</v>
      </c>
      <c r="GV663" s="4">
        <v>56</v>
      </c>
      <c r="GW663" s="4">
        <v>53</v>
      </c>
      <c r="GX663" s="4">
        <v>50</v>
      </c>
      <c r="GY663" s="4">
        <v>47</v>
      </c>
      <c r="GZ663" s="4">
        <v>44</v>
      </c>
      <c r="HA663" s="4">
        <v>41</v>
      </c>
      <c r="HB663" s="4">
        <v>38</v>
      </c>
      <c r="HC663" s="19">
        <v>18.6</v>
      </c>
      <c r="HD663" s="19">
        <v>18</v>
      </c>
      <c r="HE663" s="19">
        <v>14.3</v>
      </c>
      <c r="HF663" s="19">
        <v>16.4</v>
      </c>
      <c r="HG663" s="19">
        <v>18.5</v>
      </c>
      <c r="HH663" s="19">
        <v>23</v>
      </c>
      <c r="HI663" s="19">
        <v>21.3</v>
      </c>
      <c r="HJ663" s="19">
        <v>20.3</v>
      </c>
      <c r="HK663" s="19">
        <v>19.7</v>
      </c>
      <c r="HL663" s="19">
        <v>18.7</v>
      </c>
      <c r="HM663" s="19">
        <v>17.7</v>
      </c>
      <c r="HN663" s="19">
        <v>16.7</v>
      </c>
      <c r="HO663" s="19">
        <v>25.7</v>
      </c>
      <c r="HP663" s="19">
        <v>24.7</v>
      </c>
      <c r="HQ663" s="19">
        <v>23.7</v>
      </c>
      <c r="HR663" s="19">
        <v>22.7</v>
      </c>
      <c r="HS663" s="19">
        <v>21.7</v>
      </c>
      <c r="HT663" s="19">
        <v>20.7</v>
      </c>
      <c r="HU663" s="19">
        <v>19.7</v>
      </c>
      <c r="HV663" s="19">
        <v>18.7</v>
      </c>
      <c r="HW663" s="19">
        <v>17.7</v>
      </c>
      <c r="HX663" s="19">
        <v>16.7</v>
      </c>
      <c r="HY663" s="19">
        <v>15.7</v>
      </c>
      <c r="HZ663" s="19">
        <v>14.7</v>
      </c>
      <c r="IA663" s="19">
        <v>13.7</v>
      </c>
      <c r="IB663" s="19">
        <v>12.7</v>
      </c>
    </row>
    <row r="664">
      <c r="A664" s="2" t="s">
        <v>3694</v>
      </c>
      <c r="B664" s="2" t="s">
        <v>872</v>
      </c>
      <c r="C664" s="2" t="s">
        <v>343</v>
      </c>
      <c r="D664" s="2" t="s">
        <v>261</v>
      </c>
      <c r="E664" s="2" t="s">
        <v>1119</v>
      </c>
      <c r="F664" s="2" t="s">
        <v>3680</v>
      </c>
      <c r="G664" s="2" t="s">
        <v>3681</v>
      </c>
      <c r="H664" s="2" t="s">
        <v>3682</v>
      </c>
      <c r="I664" s="2" t="s">
        <v>3695</v>
      </c>
      <c r="J664" s="2" t="s">
        <v>256</v>
      </c>
      <c r="K664" s="2" t="s">
        <v>300</v>
      </c>
      <c r="L664" s="3">
        <v>67.59</v>
      </c>
      <c r="M664" s="3">
        <v>70.97</v>
      </c>
      <c r="N664" s="3">
        <v>129.99</v>
      </c>
      <c r="O664" s="2" t="s">
        <v>230</v>
      </c>
      <c r="P664" s="2" t="s">
        <v>231</v>
      </c>
      <c r="Q664" s="2" t="s">
        <v>232</v>
      </c>
      <c r="R664" s="2" t="s">
        <v>233</v>
      </c>
      <c r="S664" s="2" t="s">
        <v>3696</v>
      </c>
      <c r="T664" s="2" t="s">
        <v>233</v>
      </c>
      <c r="U664" s="2" t="s">
        <v>2641</v>
      </c>
      <c r="V664" s="2" t="s">
        <v>782</v>
      </c>
      <c r="W664" s="2" t="s">
        <v>620</v>
      </c>
      <c r="X664" s="2" t="s">
        <v>233</v>
      </c>
      <c r="Y664" s="2" t="s">
        <v>238</v>
      </c>
      <c r="Z664" s="4">
        <v>250</v>
      </c>
      <c r="AA664" s="4">
        <f>=ROUNDDOWN(41.6666666666667,0)</f>
      </c>
      <c r="AB664" s="5">
        <v>6</v>
      </c>
      <c r="AC664" s="2" t="s">
        <v>474</v>
      </c>
      <c r="AD664" s="4">
        <v>60</v>
      </c>
      <c r="AE664" s="4">
        <v>60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233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233</v>
      </c>
      <c r="AW664" s="8" t="s">
        <v>233</v>
      </c>
      <c r="AX664" s="4" t="s">
        <v>233</v>
      </c>
      <c r="AY664" s="8" t="s">
        <v>233</v>
      </c>
      <c r="AZ664" s="7" t="s">
        <v>233</v>
      </c>
      <c r="BA664" s="7" t="s">
        <v>233</v>
      </c>
      <c r="BB664" s="7"/>
      <c r="BC664" s="4" t="s">
        <v>233</v>
      </c>
      <c r="BD664" s="8" t="s">
        <v>233</v>
      </c>
      <c r="BE664" s="4" t="s">
        <v>233</v>
      </c>
      <c r="BF664" s="8" t="s">
        <v>233</v>
      </c>
      <c r="BG664" s="7" t="s">
        <v>233</v>
      </c>
      <c r="BH664" s="7" t="s">
        <v>233</v>
      </c>
      <c r="BI664" s="7"/>
      <c r="BJ664" s="4">
        <v>23</v>
      </c>
      <c r="BK664" s="8">
        <v>1645.22</v>
      </c>
      <c r="BL664" s="2" t="s">
        <v>3697</v>
      </c>
      <c r="BM664" s="7"/>
      <c r="BN664" s="7"/>
      <c r="BO664" s="4"/>
      <c r="BP664" s="8"/>
      <c r="BQ664" s="4"/>
      <c r="BR664" s="8"/>
      <c r="BS664" s="7"/>
      <c r="BT664" s="7"/>
      <c r="BU664" s="2" t="s">
        <v>3685</v>
      </c>
      <c r="BV664" s="2" t="s">
        <v>233</v>
      </c>
      <c r="BW664" s="2" t="s">
        <v>233</v>
      </c>
      <c r="BX664" s="2" t="s">
        <v>293</v>
      </c>
      <c r="BY664" s="2" t="s">
        <v>242</v>
      </c>
      <c r="BZ664" s="2" t="s">
        <v>230</v>
      </c>
      <c r="CA664" s="2" t="s">
        <v>243</v>
      </c>
      <c r="CB664" s="2" t="s">
        <v>3698</v>
      </c>
      <c r="CC664" s="2" t="s">
        <v>245</v>
      </c>
      <c r="CD664" s="2" t="s">
        <v>233</v>
      </c>
      <c r="CE664" s="4">
        <v>157</v>
      </c>
      <c r="CF664" s="4">
        <v>93</v>
      </c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>
        <v>60</v>
      </c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>
        <v>262</v>
      </c>
      <c r="GD664" s="4">
        <v>231</v>
      </c>
      <c r="GE664" s="4">
        <v>222</v>
      </c>
      <c r="GF664" s="4">
        <v>213</v>
      </c>
      <c r="GG664" s="4">
        <v>197</v>
      </c>
      <c r="GH664" s="4">
        <v>187</v>
      </c>
      <c r="GI664" s="4">
        <v>176</v>
      </c>
      <c r="GJ664" s="4">
        <v>170</v>
      </c>
      <c r="GK664" s="4">
        <v>165</v>
      </c>
      <c r="GL664" s="4">
        <v>159</v>
      </c>
      <c r="GM664" s="4">
        <v>153</v>
      </c>
      <c r="GN664" s="4">
        <v>147</v>
      </c>
      <c r="GO664" s="4">
        <v>201</v>
      </c>
      <c r="GP664" s="4">
        <v>195</v>
      </c>
      <c r="GQ664" s="4">
        <v>189</v>
      </c>
      <c r="GR664" s="4">
        <v>183</v>
      </c>
      <c r="GS664" s="4">
        <v>177</v>
      </c>
      <c r="GT664" s="4">
        <v>171</v>
      </c>
      <c r="GU664" s="4">
        <v>165</v>
      </c>
      <c r="GV664" s="4">
        <v>159</v>
      </c>
      <c r="GW664" s="4">
        <v>153</v>
      </c>
      <c r="GX664" s="4">
        <v>147</v>
      </c>
      <c r="GY664" s="4">
        <v>141</v>
      </c>
      <c r="GZ664" s="4">
        <v>135</v>
      </c>
      <c r="HA664" s="4">
        <v>129</v>
      </c>
      <c r="HB664" s="4">
        <v>123</v>
      </c>
      <c r="HC664" s="19">
        <v>16.4</v>
      </c>
      <c r="HD664" s="19">
        <v>21</v>
      </c>
      <c r="HE664" s="19">
        <v>18.5</v>
      </c>
      <c r="HF664" s="19">
        <v>19.4</v>
      </c>
      <c r="HG664" s="19">
        <v>24.6</v>
      </c>
      <c r="HH664" s="19">
        <v>26.7</v>
      </c>
      <c r="HI664" s="19">
        <v>29.3</v>
      </c>
      <c r="HJ664" s="19">
        <v>28.3</v>
      </c>
      <c r="HK664" s="19">
        <v>27.5</v>
      </c>
      <c r="HL664" s="19">
        <v>26.5</v>
      </c>
      <c r="HM664" s="19">
        <v>25.5</v>
      </c>
      <c r="HN664" s="19">
        <v>24.5</v>
      </c>
      <c r="HO664" s="19">
        <v>33.5</v>
      </c>
      <c r="HP664" s="19">
        <v>32.5</v>
      </c>
      <c r="HQ664" s="19">
        <v>31.5</v>
      </c>
      <c r="HR664" s="19">
        <v>30.5</v>
      </c>
      <c r="HS664" s="19">
        <v>29.5</v>
      </c>
      <c r="HT664" s="19">
        <v>28.5</v>
      </c>
      <c r="HU664" s="19">
        <v>27.5</v>
      </c>
      <c r="HV664" s="19">
        <v>26.5</v>
      </c>
      <c r="HW664" s="19">
        <v>25.5</v>
      </c>
      <c r="HX664" s="19">
        <v>24.5</v>
      </c>
      <c r="HY664" s="19">
        <v>23.5</v>
      </c>
      <c r="HZ664" s="19">
        <v>22.5</v>
      </c>
      <c r="IA664" s="19">
        <v>21.5</v>
      </c>
      <c r="IB664" s="19">
        <v>20.5</v>
      </c>
    </row>
    <row r="665">
      <c r="A665" s="2" t="s">
        <v>3699</v>
      </c>
      <c r="B665" s="2" t="s">
        <v>872</v>
      </c>
      <c r="C665" s="2" t="s">
        <v>343</v>
      </c>
      <c r="D665" s="2" t="s">
        <v>261</v>
      </c>
      <c r="E665" s="2" t="s">
        <v>1119</v>
      </c>
      <c r="F665" s="2" t="s">
        <v>3680</v>
      </c>
      <c r="G665" s="2" t="s">
        <v>3681</v>
      </c>
      <c r="H665" s="2" t="s">
        <v>3682</v>
      </c>
      <c r="I665" s="2" t="s">
        <v>3695</v>
      </c>
      <c r="J665" s="2" t="s">
        <v>285</v>
      </c>
      <c r="K665" s="2" t="s">
        <v>300</v>
      </c>
      <c r="L665" s="3">
        <v>67.59</v>
      </c>
      <c r="M665" s="3">
        <v>70.97</v>
      </c>
      <c r="N665" s="3">
        <v>129.99</v>
      </c>
      <c r="O665" s="2" t="s">
        <v>230</v>
      </c>
      <c r="P665" s="2" t="s">
        <v>231</v>
      </c>
      <c r="Q665" s="2" t="s">
        <v>232</v>
      </c>
      <c r="R665" s="2" t="s">
        <v>233</v>
      </c>
      <c r="S665" s="2" t="s">
        <v>3696</v>
      </c>
      <c r="T665" s="2" t="s">
        <v>233</v>
      </c>
      <c r="U665" s="2" t="s">
        <v>2641</v>
      </c>
      <c r="V665" s="2" t="s">
        <v>782</v>
      </c>
      <c r="W665" s="2" t="s">
        <v>620</v>
      </c>
      <c r="X665" s="2" t="s">
        <v>233</v>
      </c>
      <c r="Y665" s="2" t="s">
        <v>238</v>
      </c>
      <c r="Z665" s="4">
        <v>87</v>
      </c>
      <c r="AA665" s="4">
        <f>=ROUNDDOWN(29,0)</f>
      </c>
      <c r="AB665" s="5">
        <v>3</v>
      </c>
      <c r="AC665" s="2" t="s">
        <v>139</v>
      </c>
      <c r="AD665" s="4">
        <v>100</v>
      </c>
      <c r="AE665" s="4">
        <v>120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233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233</v>
      </c>
      <c r="AW665" s="8" t="s">
        <v>233</v>
      </c>
      <c r="AX665" s="4" t="s">
        <v>233</v>
      </c>
      <c r="AY665" s="8" t="s">
        <v>233</v>
      </c>
      <c r="AZ665" s="7" t="s">
        <v>233</v>
      </c>
      <c r="BA665" s="7" t="s">
        <v>233</v>
      </c>
      <c r="BB665" s="7" t="s">
        <v>233</v>
      </c>
      <c r="BC665" s="4" t="s">
        <v>233</v>
      </c>
      <c r="BD665" s="8" t="s">
        <v>233</v>
      </c>
      <c r="BE665" s="4" t="s">
        <v>233</v>
      </c>
      <c r="BF665" s="8" t="s">
        <v>233</v>
      </c>
      <c r="BG665" s="7" t="s">
        <v>233</v>
      </c>
      <c r="BH665" s="7" t="s">
        <v>233</v>
      </c>
      <c r="BI665" s="7"/>
      <c r="BJ665" s="4">
        <v>19</v>
      </c>
      <c r="BK665" s="8">
        <v>1351.49</v>
      </c>
      <c r="BL665" s="2" t="s">
        <v>3700</v>
      </c>
      <c r="BM665" s="7"/>
      <c r="BN665" s="7"/>
      <c r="BO665" s="4"/>
      <c r="BP665" s="8"/>
      <c r="BQ665" s="4"/>
      <c r="BR665" s="8"/>
      <c r="BS665" s="7"/>
      <c r="BT665" s="7"/>
      <c r="BU665" s="2" t="s">
        <v>3685</v>
      </c>
      <c r="BV665" s="2" t="s">
        <v>233</v>
      </c>
      <c r="BW665" s="2" t="s">
        <v>233</v>
      </c>
      <c r="BX665" s="2" t="s">
        <v>293</v>
      </c>
      <c r="BY665" s="2" t="s">
        <v>242</v>
      </c>
      <c r="BZ665" s="2" t="s">
        <v>230</v>
      </c>
      <c r="CA665" s="2" t="s">
        <v>243</v>
      </c>
      <c r="CB665" s="2" t="s">
        <v>1102</v>
      </c>
      <c r="CC665" s="2" t="s">
        <v>245</v>
      </c>
      <c r="CD665" s="2" t="s">
        <v>233</v>
      </c>
      <c r="CE665" s="4">
        <v>87</v>
      </c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>
        <v>100</v>
      </c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>
        <v>20</v>
      </c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>
        <v>89</v>
      </c>
      <c r="GD665" s="4">
        <v>82</v>
      </c>
      <c r="GE665" s="4">
        <v>178</v>
      </c>
      <c r="GF665" s="4">
        <v>173</v>
      </c>
      <c r="GG665" s="4">
        <v>165</v>
      </c>
      <c r="GH665" s="4">
        <v>160</v>
      </c>
      <c r="GI665" s="4">
        <v>155</v>
      </c>
      <c r="GJ665" s="4">
        <v>152</v>
      </c>
      <c r="GK665" s="4">
        <v>150</v>
      </c>
      <c r="GL665" s="4">
        <v>147</v>
      </c>
      <c r="GM665" s="4">
        <v>144</v>
      </c>
      <c r="GN665" s="4">
        <v>141</v>
      </c>
      <c r="GO665" s="4">
        <v>158</v>
      </c>
      <c r="GP665" s="4">
        <v>155</v>
      </c>
      <c r="GQ665" s="4">
        <v>152</v>
      </c>
      <c r="GR665" s="4">
        <v>149</v>
      </c>
      <c r="GS665" s="4">
        <v>146</v>
      </c>
      <c r="GT665" s="4">
        <v>143</v>
      </c>
      <c r="GU665" s="4">
        <v>140</v>
      </c>
      <c r="GV665" s="4">
        <v>137</v>
      </c>
      <c r="GW665" s="4">
        <v>134</v>
      </c>
      <c r="GX665" s="4">
        <v>131</v>
      </c>
      <c r="GY665" s="4">
        <v>128</v>
      </c>
      <c r="GZ665" s="4">
        <v>125</v>
      </c>
      <c r="HA665" s="4">
        <v>122</v>
      </c>
      <c r="HB665" s="4">
        <v>119</v>
      </c>
      <c r="HC665" s="19">
        <v>14.8</v>
      </c>
      <c r="HD665" s="19">
        <v>13.7</v>
      </c>
      <c r="HE665" s="19">
        <v>29.7</v>
      </c>
      <c r="HF665" s="19">
        <v>34.6</v>
      </c>
      <c r="HG665" s="19">
        <v>41.3</v>
      </c>
      <c r="HH665" s="19">
        <v>53.3</v>
      </c>
      <c r="HI665" s="19">
        <v>51.7</v>
      </c>
      <c r="HJ665" s="19">
        <v>50.7</v>
      </c>
      <c r="HK665" s="19">
        <v>50</v>
      </c>
      <c r="HL665" s="19">
        <v>49</v>
      </c>
      <c r="HM665" s="19">
        <v>48</v>
      </c>
      <c r="HN665" s="19">
        <v>47</v>
      </c>
      <c r="HO665" s="19">
        <v>52.7</v>
      </c>
      <c r="HP665" s="19">
        <v>51.7</v>
      </c>
      <c r="HQ665" s="19">
        <v>50.7</v>
      </c>
      <c r="HR665" s="19">
        <v>49.7</v>
      </c>
      <c r="HS665" s="19">
        <v>48.7</v>
      </c>
      <c r="HT665" s="19">
        <v>47.7</v>
      </c>
      <c r="HU665" s="19">
        <v>46.7</v>
      </c>
      <c r="HV665" s="19">
        <v>45.7</v>
      </c>
      <c r="HW665" s="19">
        <v>44.7</v>
      </c>
      <c r="HX665" s="19">
        <v>43.7</v>
      </c>
      <c r="HY665" s="19">
        <v>42.7</v>
      </c>
      <c r="HZ665" s="19">
        <v>41.7</v>
      </c>
      <c r="IA665" s="19">
        <v>40.7</v>
      </c>
      <c r="IB665" s="19">
        <v>39.7</v>
      </c>
    </row>
    <row r="666">
      <c r="A666" s="2" t="s">
        <v>3701</v>
      </c>
      <c r="B666" s="2" t="s">
        <v>872</v>
      </c>
      <c r="C666" s="2" t="s">
        <v>343</v>
      </c>
      <c r="D666" s="2" t="s">
        <v>884</v>
      </c>
      <c r="E666" s="2" t="s">
        <v>1119</v>
      </c>
      <c r="F666" s="2" t="s">
        <v>3680</v>
      </c>
      <c r="G666" s="2" t="s">
        <v>3681</v>
      </c>
      <c r="H666" s="2" t="s">
        <v>3682</v>
      </c>
      <c r="I666" s="2" t="s">
        <v>3702</v>
      </c>
      <c r="J666" s="2" t="s">
        <v>285</v>
      </c>
      <c r="K666" s="2" t="s">
        <v>300</v>
      </c>
      <c r="L666" s="3">
        <v>65.45</v>
      </c>
      <c r="M666" s="3">
        <v>68.72</v>
      </c>
      <c r="N666" s="3">
        <v>119</v>
      </c>
      <c r="O666" s="2" t="s">
        <v>230</v>
      </c>
      <c r="P666" s="2" t="s">
        <v>231</v>
      </c>
      <c r="Q666" s="2" t="s">
        <v>232</v>
      </c>
      <c r="R666" s="2" t="s">
        <v>233</v>
      </c>
      <c r="S666" s="2" t="s">
        <v>3689</v>
      </c>
      <c r="T666" s="2" t="s">
        <v>233</v>
      </c>
      <c r="U666" s="2" t="s">
        <v>723</v>
      </c>
      <c r="V666" s="2" t="s">
        <v>782</v>
      </c>
      <c r="W666" s="2" t="s">
        <v>620</v>
      </c>
      <c r="X666" s="2" t="s">
        <v>233</v>
      </c>
      <c r="Y666" s="2" t="s">
        <v>238</v>
      </c>
      <c r="Z666" s="4">
        <v>130</v>
      </c>
      <c r="AA666" s="4">
        <f>=ROUNDDOWN(32.5,0)</f>
      </c>
      <c r="AB666" s="5">
        <v>4</v>
      </c>
      <c r="AC666" s="2" t="s">
        <v>474</v>
      </c>
      <c r="AD666" s="4">
        <v>50</v>
      </c>
      <c r="AE666" s="4">
        <v>50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233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233</v>
      </c>
      <c r="AW666" s="8" t="s">
        <v>233</v>
      </c>
      <c r="AX666" s="4" t="s">
        <v>233</v>
      </c>
      <c r="AY666" s="8" t="s">
        <v>233</v>
      </c>
      <c r="AZ666" s="7" t="s">
        <v>233</v>
      </c>
      <c r="BA666" s="7" t="s">
        <v>233</v>
      </c>
      <c r="BB666" s="7" t="s">
        <v>233</v>
      </c>
      <c r="BC666" s="4" t="s">
        <v>233</v>
      </c>
      <c r="BD666" s="8" t="s">
        <v>233</v>
      </c>
      <c r="BE666" s="4" t="s">
        <v>233</v>
      </c>
      <c r="BF666" s="8" t="s">
        <v>233</v>
      </c>
      <c r="BG666" s="7" t="s">
        <v>233</v>
      </c>
      <c r="BH666" s="7" t="s">
        <v>233</v>
      </c>
      <c r="BI666" s="7"/>
      <c r="BJ666" s="4">
        <v>17</v>
      </c>
      <c r="BK666" s="8">
        <v>1171.31</v>
      </c>
      <c r="BL666" s="2" t="s">
        <v>674</v>
      </c>
      <c r="BM666" s="7"/>
      <c r="BN666" s="7"/>
      <c r="BO666" s="4"/>
      <c r="BP666" s="8"/>
      <c r="BQ666" s="4"/>
      <c r="BR666" s="8"/>
      <c r="BS666" s="7"/>
      <c r="BT666" s="7"/>
      <c r="BU666" s="2" t="s">
        <v>3691</v>
      </c>
      <c r="BV666" s="2" t="s">
        <v>233</v>
      </c>
      <c r="BW666" s="2" t="s">
        <v>233</v>
      </c>
      <c r="BX666" s="2" t="s">
        <v>241</v>
      </c>
      <c r="BY666" s="2" t="s">
        <v>242</v>
      </c>
      <c r="BZ666" s="2" t="s">
        <v>230</v>
      </c>
      <c r="CA666" s="2" t="s">
        <v>3692</v>
      </c>
      <c r="CB666" s="2" t="s">
        <v>3703</v>
      </c>
      <c r="CC666" s="2" t="s">
        <v>245</v>
      </c>
      <c r="CD666" s="2" t="s">
        <v>233</v>
      </c>
      <c r="CE666" s="4">
        <v>130</v>
      </c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>
        <v>50</v>
      </c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>
        <v>130</v>
      </c>
      <c r="GD666" s="4">
        <v>126</v>
      </c>
      <c r="GE666" s="4">
        <v>121</v>
      </c>
      <c r="GF666" s="4">
        <v>116</v>
      </c>
      <c r="GG666" s="4">
        <v>106</v>
      </c>
      <c r="GH666" s="4">
        <v>100</v>
      </c>
      <c r="GI666" s="4">
        <v>93</v>
      </c>
      <c r="GJ666" s="4">
        <v>89</v>
      </c>
      <c r="GK666" s="4">
        <v>87</v>
      </c>
      <c r="GL666" s="4">
        <v>83</v>
      </c>
      <c r="GM666" s="4">
        <v>79</v>
      </c>
      <c r="GN666" s="4">
        <v>75</v>
      </c>
      <c r="GO666" s="4">
        <v>121</v>
      </c>
      <c r="GP666" s="4">
        <v>117</v>
      </c>
      <c r="GQ666" s="4">
        <v>113</v>
      </c>
      <c r="GR666" s="4">
        <v>109</v>
      </c>
      <c r="GS666" s="4">
        <v>105</v>
      </c>
      <c r="GT666" s="4">
        <v>101</v>
      </c>
      <c r="GU666" s="4">
        <v>97</v>
      </c>
      <c r="GV666" s="4">
        <v>93</v>
      </c>
      <c r="GW666" s="4">
        <v>89</v>
      </c>
      <c r="GX666" s="4">
        <v>85</v>
      </c>
      <c r="GY666" s="4">
        <v>81</v>
      </c>
      <c r="GZ666" s="4">
        <v>77</v>
      </c>
      <c r="HA666" s="4">
        <v>73</v>
      </c>
      <c r="HB666" s="4">
        <v>69</v>
      </c>
      <c r="HC666" s="19">
        <v>21.7</v>
      </c>
      <c r="HD666" s="19">
        <v>21</v>
      </c>
      <c r="HE666" s="19">
        <v>17.3</v>
      </c>
      <c r="HF666" s="19">
        <v>16.6</v>
      </c>
      <c r="HG666" s="19">
        <v>21.2</v>
      </c>
      <c r="HH666" s="19">
        <v>25</v>
      </c>
      <c r="HI666" s="19">
        <v>23.3</v>
      </c>
      <c r="HJ666" s="19">
        <v>22.3</v>
      </c>
      <c r="HK666" s="19">
        <v>21.8</v>
      </c>
      <c r="HL666" s="19">
        <v>20.8</v>
      </c>
      <c r="HM666" s="19">
        <v>19.8</v>
      </c>
      <c r="HN666" s="19">
        <v>18.8</v>
      </c>
      <c r="HO666" s="19">
        <v>30.3</v>
      </c>
      <c r="HP666" s="19">
        <v>29.3</v>
      </c>
      <c r="HQ666" s="19">
        <v>28.3</v>
      </c>
      <c r="HR666" s="19">
        <v>27.3</v>
      </c>
      <c r="HS666" s="19">
        <v>26.3</v>
      </c>
      <c r="HT666" s="19">
        <v>25.3</v>
      </c>
      <c r="HU666" s="19">
        <v>24.3</v>
      </c>
      <c r="HV666" s="19">
        <v>23.3</v>
      </c>
      <c r="HW666" s="19">
        <v>22.3</v>
      </c>
      <c r="HX666" s="19">
        <v>21.3</v>
      </c>
      <c r="HY666" s="19">
        <v>20.3</v>
      </c>
      <c r="HZ666" s="19">
        <v>19.3</v>
      </c>
      <c r="IA666" s="19">
        <v>18.3</v>
      </c>
      <c r="IB666" s="19">
        <v>17.3</v>
      </c>
    </row>
    <row r="667">
      <c r="A667" s="2" t="s">
        <v>3704</v>
      </c>
      <c r="B667" s="2" t="s">
        <v>923</v>
      </c>
      <c r="C667" s="2" t="s">
        <v>343</v>
      </c>
      <c r="D667" s="2" t="s">
        <v>951</v>
      </c>
      <c r="E667" s="2" t="s">
        <v>952</v>
      </c>
      <c r="F667" s="2" t="s">
        <v>3680</v>
      </c>
      <c r="G667" s="2" t="s">
        <v>3681</v>
      </c>
      <c r="H667" s="2" t="s">
        <v>3682</v>
      </c>
      <c r="I667" s="2" t="s">
        <v>952</v>
      </c>
      <c r="J667" s="2" t="s">
        <v>954</v>
      </c>
      <c r="K667" s="2" t="s">
        <v>300</v>
      </c>
      <c r="L667" s="3">
        <v>13.2</v>
      </c>
      <c r="M667" s="3">
        <v>13.86</v>
      </c>
      <c r="N667" s="3">
        <v>29.99</v>
      </c>
      <c r="O667" s="2" t="s">
        <v>230</v>
      </c>
      <c r="P667" s="2" t="s">
        <v>231</v>
      </c>
      <c r="Q667" s="2" t="s">
        <v>232</v>
      </c>
      <c r="R667" s="2" t="s">
        <v>233</v>
      </c>
      <c r="S667" s="2" t="s">
        <v>3705</v>
      </c>
      <c r="T667" s="2" t="s">
        <v>233</v>
      </c>
      <c r="U667" s="2" t="s">
        <v>233</v>
      </c>
      <c r="V667" s="2" t="s">
        <v>782</v>
      </c>
      <c r="W667" s="2" t="s">
        <v>237</v>
      </c>
      <c r="X667" s="2" t="s">
        <v>233</v>
      </c>
      <c r="Y667" s="2" t="s">
        <v>238</v>
      </c>
      <c r="Z667" s="4">
        <v>501</v>
      </c>
      <c r="AA667" s="4">
        <f>=ROUNDDOWN(27.8333333333333,0)</f>
      </c>
      <c r="AB667" s="5">
        <v>18</v>
      </c>
      <c r="AC667" s="2" t="s">
        <v>139</v>
      </c>
      <c r="AD667" s="4">
        <v>140</v>
      </c>
      <c r="AE667" s="4">
        <v>140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233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233</v>
      </c>
      <c r="AW667" s="8" t="s">
        <v>233</v>
      </c>
      <c r="AX667" s="4" t="s">
        <v>233</v>
      </c>
      <c r="AY667" s="8" t="s">
        <v>233</v>
      </c>
      <c r="AZ667" s="7" t="s">
        <v>233</v>
      </c>
      <c r="BA667" s="7" t="s">
        <v>233</v>
      </c>
      <c r="BB667" s="7"/>
      <c r="BC667" s="4" t="s">
        <v>233</v>
      </c>
      <c r="BD667" s="8" t="s">
        <v>233</v>
      </c>
      <c r="BE667" s="4" t="s">
        <v>233</v>
      </c>
      <c r="BF667" s="8" t="s">
        <v>233</v>
      </c>
      <c r="BG667" s="7" t="s">
        <v>233</v>
      </c>
      <c r="BH667" s="7" t="s">
        <v>233</v>
      </c>
      <c r="BI667" s="7"/>
      <c r="BJ667" s="4">
        <v>90</v>
      </c>
      <c r="BK667" s="8">
        <v>1282.53</v>
      </c>
      <c r="BL667" s="2" t="s">
        <v>3706</v>
      </c>
      <c r="BM667" s="7"/>
      <c r="BN667" s="7"/>
      <c r="BO667" s="4"/>
      <c r="BP667" s="8"/>
      <c r="BQ667" s="4"/>
      <c r="BR667" s="8"/>
      <c r="BS667" s="7"/>
      <c r="BT667" s="7"/>
      <c r="BU667" s="2" t="s">
        <v>3707</v>
      </c>
      <c r="BV667" s="2" t="s">
        <v>233</v>
      </c>
      <c r="BW667" s="2" t="s">
        <v>233</v>
      </c>
      <c r="BX667" s="2" t="s">
        <v>241</v>
      </c>
      <c r="BY667" s="2" t="s">
        <v>242</v>
      </c>
      <c r="BZ667" s="2" t="s">
        <v>230</v>
      </c>
      <c r="CA667" s="2" t="s">
        <v>243</v>
      </c>
      <c r="CB667" s="2" t="s">
        <v>1359</v>
      </c>
      <c r="CC667" s="2" t="s">
        <v>245</v>
      </c>
      <c r="CD667" s="2" t="s">
        <v>233</v>
      </c>
      <c r="CE667" s="4">
        <v>501</v>
      </c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>
        <v>140</v>
      </c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>
        <v>508</v>
      </c>
      <c r="GD667" s="4">
        <v>467</v>
      </c>
      <c r="GE667" s="4">
        <v>575</v>
      </c>
      <c r="GF667" s="4">
        <v>548</v>
      </c>
      <c r="GG667" s="4">
        <v>503</v>
      </c>
      <c r="GH667" s="4">
        <v>470</v>
      </c>
      <c r="GI667" s="4">
        <v>437</v>
      </c>
      <c r="GJ667" s="4">
        <v>421</v>
      </c>
      <c r="GK667" s="4">
        <v>411</v>
      </c>
      <c r="GL667" s="4">
        <v>391</v>
      </c>
      <c r="GM667" s="4">
        <v>373</v>
      </c>
      <c r="GN667" s="4">
        <v>355</v>
      </c>
      <c r="GO667" s="4">
        <v>337</v>
      </c>
      <c r="GP667" s="4">
        <v>319</v>
      </c>
      <c r="GQ667" s="4">
        <v>301</v>
      </c>
      <c r="GR667" s="4">
        <v>283</v>
      </c>
      <c r="GS667" s="4">
        <v>265</v>
      </c>
      <c r="GT667" s="4">
        <v>245</v>
      </c>
      <c r="GU667" s="4">
        <v>227</v>
      </c>
      <c r="GV667" s="4">
        <v>209</v>
      </c>
      <c r="GW667" s="4">
        <v>191</v>
      </c>
      <c r="GX667" s="4">
        <v>173</v>
      </c>
      <c r="GY667" s="4">
        <v>155</v>
      </c>
      <c r="GZ667" s="4">
        <v>137</v>
      </c>
      <c r="HA667" s="4">
        <v>119</v>
      </c>
      <c r="HB667" s="4">
        <v>198</v>
      </c>
      <c r="HC667" s="19">
        <v>14.1</v>
      </c>
      <c r="HD667" s="19">
        <v>13.7</v>
      </c>
      <c r="HE667" s="19">
        <v>16.9</v>
      </c>
      <c r="HF667" s="19">
        <v>17.1</v>
      </c>
      <c r="HG667" s="19">
        <v>21.9</v>
      </c>
      <c r="HH667" s="19">
        <v>23.5</v>
      </c>
      <c r="HI667" s="19">
        <v>27.3</v>
      </c>
      <c r="HJ667" s="19">
        <v>26.3</v>
      </c>
      <c r="HK667" s="19">
        <v>22.8</v>
      </c>
      <c r="HL667" s="19">
        <v>21.7</v>
      </c>
      <c r="HM667" s="19">
        <v>20.7</v>
      </c>
      <c r="HN667" s="19">
        <v>19.7</v>
      </c>
      <c r="HO667" s="19">
        <v>18.7</v>
      </c>
      <c r="HP667" s="19">
        <v>17.7</v>
      </c>
      <c r="HQ667" s="19">
        <v>16.7</v>
      </c>
      <c r="HR667" s="19">
        <v>15.7</v>
      </c>
      <c r="HS667" s="19">
        <v>14.7</v>
      </c>
      <c r="HT667" s="19">
        <v>13.6</v>
      </c>
      <c r="HU667" s="19">
        <v>12.6</v>
      </c>
      <c r="HV667" s="19">
        <v>11.6</v>
      </c>
      <c r="HW667" s="19">
        <v>10.6</v>
      </c>
      <c r="HX667" s="19">
        <v>9.6</v>
      </c>
      <c r="HY667" s="19">
        <v>8.6</v>
      </c>
      <c r="HZ667" s="19">
        <v>7.6</v>
      </c>
      <c r="IA667" s="19">
        <v>6.6</v>
      </c>
      <c r="IB667" s="19">
        <v>11</v>
      </c>
    </row>
    <row r="668">
      <c r="A668" s="2" t="s">
        <v>3708</v>
      </c>
      <c r="B668" s="2" t="s">
        <v>938</v>
      </c>
      <c r="C668" s="2" t="s">
        <v>280</v>
      </c>
      <c r="D668" s="2" t="s">
        <v>972</v>
      </c>
      <c r="E668" s="2" t="s">
        <v>1092</v>
      </c>
      <c r="F668" s="2" t="s">
        <v>3709</v>
      </c>
      <c r="G668" s="2" t="s">
        <v>3710</v>
      </c>
      <c r="H668" s="2" t="s">
        <v>3711</v>
      </c>
      <c r="I668" s="2" t="s">
        <v>3712</v>
      </c>
      <c r="J668" s="2" t="s">
        <v>3713</v>
      </c>
      <c r="K668" s="2" t="s">
        <v>266</v>
      </c>
      <c r="L668" s="3">
        <v>22.75</v>
      </c>
      <c r="M668" s="3">
        <v>23.89</v>
      </c>
      <c r="N668" s="3">
        <v>47.99</v>
      </c>
      <c r="O668" s="2" t="s">
        <v>230</v>
      </c>
      <c r="P668" s="2" t="s">
        <v>231</v>
      </c>
      <c r="Q668" s="2" t="s">
        <v>232</v>
      </c>
      <c r="R668" s="2" t="s">
        <v>233</v>
      </c>
      <c r="S668" s="2" t="s">
        <v>3714</v>
      </c>
      <c r="T668" s="2" t="s">
        <v>233</v>
      </c>
      <c r="U668" s="2" t="s">
        <v>711</v>
      </c>
      <c r="V668" s="2" t="s">
        <v>236</v>
      </c>
      <c r="W668" s="2" t="s">
        <v>237</v>
      </c>
      <c r="X668" s="2" t="s">
        <v>980</v>
      </c>
      <c r="Y668" s="2" t="s">
        <v>3715</v>
      </c>
      <c r="Z668" s="4">
        <v>717</v>
      </c>
      <c r="AA668" s="4">
        <f>=ROUNDDOWN(71.7,0)</f>
      </c>
      <c r="AB668" s="5">
        <v>10</v>
      </c>
      <c r="AC668" s="2" t="s">
        <v>233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233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/>
      <c r="BD668" s="8"/>
      <c r="BE668" s="4"/>
      <c r="BF668" s="8"/>
      <c r="BG668" s="7"/>
      <c r="BH668" s="7"/>
      <c r="BI668" s="7"/>
      <c r="BJ668" s="4">
        <v>77</v>
      </c>
      <c r="BK668" s="8">
        <v>2090.36</v>
      </c>
      <c r="BL668" s="2" t="s">
        <v>3716</v>
      </c>
      <c r="BM668" s="7"/>
      <c r="BN668" s="7"/>
      <c r="BO668" s="4"/>
      <c r="BP668" s="8"/>
      <c r="BQ668" s="4"/>
      <c r="BR668" s="8"/>
      <c r="BS668" s="7"/>
      <c r="BT668" s="7"/>
      <c r="BU668" s="2" t="s">
        <v>3717</v>
      </c>
      <c r="BV668" s="2" t="s">
        <v>233</v>
      </c>
      <c r="BW668" s="2" t="s">
        <v>233</v>
      </c>
      <c r="BX668" s="2" t="s">
        <v>293</v>
      </c>
      <c r="BY668" s="2" t="s">
        <v>242</v>
      </c>
      <c r="BZ668" s="2" t="s">
        <v>230</v>
      </c>
      <c r="CA668" s="2" t="s">
        <v>3718</v>
      </c>
      <c r="CB668" s="2" t="s">
        <v>3719</v>
      </c>
      <c r="CC668" s="2" t="s">
        <v>245</v>
      </c>
      <c r="CD668" s="2" t="s">
        <v>233</v>
      </c>
      <c r="CE668" s="4">
        <v>717</v>
      </c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>
        <v>719</v>
      </c>
      <c r="GD668" s="4">
        <v>705</v>
      </c>
      <c r="GE668" s="4">
        <v>691</v>
      </c>
      <c r="GF668" s="4">
        <v>679</v>
      </c>
      <c r="GG668" s="4">
        <v>664</v>
      </c>
      <c r="GH668" s="4">
        <v>652</v>
      </c>
      <c r="GI668" s="4">
        <v>637</v>
      </c>
      <c r="GJ668" s="4">
        <v>627</v>
      </c>
      <c r="GK668" s="4">
        <v>615</v>
      </c>
      <c r="GL668" s="4">
        <v>605</v>
      </c>
      <c r="GM668" s="4">
        <v>595</v>
      </c>
      <c r="GN668" s="4">
        <v>585</v>
      </c>
      <c r="GO668" s="4">
        <v>575</v>
      </c>
      <c r="GP668" s="4">
        <v>565</v>
      </c>
      <c r="GQ668" s="4">
        <v>555</v>
      </c>
      <c r="GR668" s="4">
        <v>545</v>
      </c>
      <c r="GS668" s="4">
        <v>535</v>
      </c>
      <c r="GT668" s="4">
        <v>523</v>
      </c>
      <c r="GU668" s="4">
        <v>513</v>
      </c>
      <c r="GV668" s="4">
        <v>503</v>
      </c>
      <c r="GW668" s="4">
        <v>493</v>
      </c>
      <c r="GX668" s="4">
        <v>483</v>
      </c>
      <c r="GY668" s="4">
        <v>473</v>
      </c>
      <c r="GZ668" s="4">
        <v>463</v>
      </c>
      <c r="HA668" s="4">
        <v>453</v>
      </c>
      <c r="HB668" s="4">
        <v>443</v>
      </c>
      <c r="HC668" s="19">
        <v>51.4</v>
      </c>
      <c r="HD668" s="19">
        <v>54.2</v>
      </c>
      <c r="HE668" s="19">
        <v>49.4</v>
      </c>
      <c r="HF668" s="19">
        <v>52.2</v>
      </c>
      <c r="HG668" s="19">
        <v>55.3</v>
      </c>
      <c r="HH668" s="19">
        <v>54.3</v>
      </c>
      <c r="HI668" s="19">
        <v>63.7</v>
      </c>
      <c r="HJ668" s="19">
        <v>62.7</v>
      </c>
      <c r="HK668" s="19">
        <v>61.5</v>
      </c>
      <c r="HL668" s="19">
        <v>60.5</v>
      </c>
      <c r="HM668" s="19">
        <v>59.5</v>
      </c>
      <c r="HN668" s="19">
        <v>58.5</v>
      </c>
      <c r="HO668" s="19">
        <v>57.5</v>
      </c>
      <c r="HP668" s="19">
        <v>56.5</v>
      </c>
      <c r="HQ668" s="19">
        <v>55.5</v>
      </c>
      <c r="HR668" s="19">
        <v>54.5</v>
      </c>
      <c r="HS668" s="19">
        <v>53.5</v>
      </c>
      <c r="HT668" s="19">
        <v>52.3</v>
      </c>
      <c r="HU668" s="19">
        <v>51.3</v>
      </c>
      <c r="HV668" s="19">
        <v>50.3</v>
      </c>
      <c r="HW668" s="19">
        <v>49.3</v>
      </c>
      <c r="HX668" s="19">
        <v>48.3</v>
      </c>
      <c r="HY668" s="19">
        <v>47.3</v>
      </c>
      <c r="HZ668" s="19">
        <v>46.3</v>
      </c>
      <c r="IA668" s="19">
        <v>45.3</v>
      </c>
      <c r="IB668" s="19">
        <v>44.3</v>
      </c>
    </row>
    <row r="669">
      <c r="A669" s="2" t="s">
        <v>3720</v>
      </c>
      <c r="B669" s="2" t="s">
        <v>872</v>
      </c>
      <c r="C669" s="2" t="s">
        <v>280</v>
      </c>
      <c r="D669" s="2" t="s">
        <v>261</v>
      </c>
      <c r="E669" s="2" t="s">
        <v>603</v>
      </c>
      <c r="F669" s="2" t="s">
        <v>3721</v>
      </c>
      <c r="G669" s="2" t="s">
        <v>3722</v>
      </c>
      <c r="H669" s="2" t="s">
        <v>3723</v>
      </c>
      <c r="I669" s="2" t="s">
        <v>3724</v>
      </c>
      <c r="J669" s="2" t="s">
        <v>336</v>
      </c>
      <c r="K669" s="2" t="s">
        <v>458</v>
      </c>
      <c r="L669" s="3">
        <v>42.85</v>
      </c>
      <c r="M669" s="3">
        <v>44.99</v>
      </c>
      <c r="N669" s="3">
        <v>89.99</v>
      </c>
      <c r="O669" s="2" t="s">
        <v>230</v>
      </c>
      <c r="P669" s="2" t="s">
        <v>231</v>
      </c>
      <c r="Q669" s="2" t="s">
        <v>232</v>
      </c>
      <c r="R669" s="2" t="s">
        <v>233</v>
      </c>
      <c r="S669" s="2" t="s">
        <v>3725</v>
      </c>
      <c r="T669" s="2" t="s">
        <v>469</v>
      </c>
      <c r="U669" s="2" t="s">
        <v>635</v>
      </c>
      <c r="V669" s="2" t="s">
        <v>349</v>
      </c>
      <c r="W669" s="2" t="s">
        <v>712</v>
      </c>
      <c r="X669" s="2" t="s">
        <v>1141</v>
      </c>
      <c r="Y669" s="2" t="s">
        <v>3726</v>
      </c>
      <c r="Z669" s="4"/>
      <c r="AA669" s="4">
        <f>=ROUNDDOWN({0},0)</f>
      </c>
      <c r="AB669" s="5">
        <v>21</v>
      </c>
      <c r="AC669" s="2" t="s">
        <v>3727</v>
      </c>
      <c r="AD669" s="4">
        <v>140</v>
      </c>
      <c r="AE669" s="4">
        <v>470</v>
      </c>
      <c r="AF669" s="6">
        <v>64</v>
      </c>
      <c r="AG669" s="6"/>
      <c r="AH669" s="7">
        <v>0.2903</v>
      </c>
      <c r="AI669" s="4"/>
      <c r="AJ669" s="4">
        <f>=ROUNDDOWN({0},0)</f>
      </c>
      <c r="AK669" s="5"/>
      <c r="AL669" s="2" t="s">
        <v>233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/>
      <c r="BD669" s="8"/>
      <c r="BE669" s="4"/>
      <c r="BF669" s="8"/>
      <c r="BG669" s="7"/>
      <c r="BH669" s="7"/>
      <c r="BI669" s="7"/>
      <c r="BJ669" s="4">
        <v>12</v>
      </c>
      <c r="BK669" s="8">
        <v>591.36</v>
      </c>
      <c r="BL669" s="2" t="s">
        <v>351</v>
      </c>
      <c r="BM669" s="7"/>
      <c r="BN669" s="7"/>
      <c r="BO669" s="4"/>
      <c r="BP669" s="8"/>
      <c r="BQ669" s="4"/>
      <c r="BR669" s="8"/>
      <c r="BS669" s="7"/>
      <c r="BT669" s="7"/>
      <c r="BU669" s="2" t="s">
        <v>3728</v>
      </c>
      <c r="BV669" s="2" t="s">
        <v>233</v>
      </c>
      <c r="BW669" s="2" t="s">
        <v>233</v>
      </c>
      <c r="BX669" s="2" t="s">
        <v>3729</v>
      </c>
      <c r="BY669" s="2" t="s">
        <v>242</v>
      </c>
      <c r="BZ669" s="2" t="s">
        <v>230</v>
      </c>
      <c r="CA669" s="2" t="s">
        <v>450</v>
      </c>
      <c r="CB669" s="2" t="s">
        <v>3430</v>
      </c>
      <c r="CC669" s="2" t="s">
        <v>245</v>
      </c>
      <c r="CD669" s="2" t="s">
        <v>233</v>
      </c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>
        <v>140</v>
      </c>
      <c r="EX669" s="4"/>
      <c r="EY669" s="4"/>
      <c r="EZ669" s="4"/>
      <c r="FA669" s="4"/>
      <c r="FB669" s="4"/>
      <c r="FC669" s="4"/>
      <c r="FD669" s="4"/>
      <c r="FE669" s="4"/>
      <c r="FF669" s="4"/>
      <c r="FG669" s="4">
        <v>200</v>
      </c>
      <c r="FH669" s="4"/>
      <c r="FI669" s="4"/>
      <c r="FJ669" s="4"/>
      <c r="FK669" s="4"/>
      <c r="FL669" s="4"/>
      <c r="FM669" s="4"/>
      <c r="FN669" s="4"/>
      <c r="FO669" s="4"/>
      <c r="FP669" s="4"/>
      <c r="FQ669" s="4">
        <v>130</v>
      </c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>
        <v>140</v>
      </c>
      <c r="GN669" s="4">
        <v>91</v>
      </c>
      <c r="GO669" s="4">
        <v>70</v>
      </c>
      <c r="GP669" s="4">
        <v>249</v>
      </c>
      <c r="GQ669" s="4">
        <v>228</v>
      </c>
      <c r="GR669" s="4">
        <v>207</v>
      </c>
      <c r="GS669" s="4">
        <v>316</v>
      </c>
      <c r="GT669" s="4">
        <v>293</v>
      </c>
      <c r="GU669" s="4">
        <v>272</v>
      </c>
      <c r="GV669" s="4">
        <v>251</v>
      </c>
      <c r="GW669" s="4">
        <v>230</v>
      </c>
      <c r="GX669" s="4">
        <v>349</v>
      </c>
      <c r="GY669" s="4">
        <v>328</v>
      </c>
      <c r="GZ669" s="4">
        <v>307</v>
      </c>
      <c r="HA669" s="4">
        <v>286</v>
      </c>
      <c r="HB669" s="4">
        <v>265</v>
      </c>
      <c r="HC669" s="20">
        <v>0</v>
      </c>
      <c r="HD669" s="20">
        <v>0</v>
      </c>
      <c r="HE669" s="20">
        <v>0</v>
      </c>
      <c r="HF669" s="20">
        <v>0</v>
      </c>
      <c r="HG669" s="20">
        <v>0</v>
      </c>
      <c r="HH669" s="20">
        <v>0</v>
      </c>
      <c r="HI669" s="20">
        <v>0</v>
      </c>
      <c r="HJ669" s="20">
        <v>0</v>
      </c>
      <c r="HK669" s="20">
        <v>0</v>
      </c>
      <c r="HL669" s="20">
        <v>0</v>
      </c>
      <c r="HM669" s="19">
        <v>5</v>
      </c>
      <c r="HN669" s="19">
        <v>4.3</v>
      </c>
      <c r="HO669" s="19">
        <v>3.3</v>
      </c>
      <c r="HP669" s="19">
        <v>11.3</v>
      </c>
      <c r="HQ669" s="19">
        <v>10.4</v>
      </c>
      <c r="HR669" s="19">
        <v>9.4</v>
      </c>
      <c r="HS669" s="19">
        <v>14.4</v>
      </c>
      <c r="HT669" s="19">
        <v>14</v>
      </c>
      <c r="HU669" s="19">
        <v>13</v>
      </c>
      <c r="HV669" s="19">
        <v>12</v>
      </c>
      <c r="HW669" s="19">
        <v>11</v>
      </c>
      <c r="HX669" s="19">
        <v>16.6</v>
      </c>
      <c r="HY669" s="19">
        <v>15.6</v>
      </c>
      <c r="HZ669" s="19">
        <v>14.6</v>
      </c>
      <c r="IA669" s="19">
        <v>13.6</v>
      </c>
      <c r="IB669" s="19">
        <v>12.6</v>
      </c>
    </row>
    <row r="670">
      <c r="A670" s="2" t="s">
        <v>3730</v>
      </c>
      <c r="B670" s="2" t="s">
        <v>872</v>
      </c>
      <c r="C670" s="2" t="s">
        <v>280</v>
      </c>
      <c r="D670" s="2" t="s">
        <v>884</v>
      </c>
      <c r="E670" s="2" t="s">
        <v>3542</v>
      </c>
      <c r="F670" s="2" t="s">
        <v>3731</v>
      </c>
      <c r="G670" s="2" t="s">
        <v>3732</v>
      </c>
      <c r="H670" s="2" t="s">
        <v>1931</v>
      </c>
      <c r="I670" s="2" t="s">
        <v>3733</v>
      </c>
      <c r="J670" s="2" t="s">
        <v>275</v>
      </c>
      <c r="K670" s="2" t="s">
        <v>484</v>
      </c>
      <c r="L670" s="3">
        <v>57.6</v>
      </c>
      <c r="M670" s="3">
        <v>60.47</v>
      </c>
      <c r="N670" s="3">
        <v>119.99</v>
      </c>
      <c r="O670" s="2" t="s">
        <v>230</v>
      </c>
      <c r="P670" s="2" t="s">
        <v>231</v>
      </c>
      <c r="Q670" s="2" t="s">
        <v>232</v>
      </c>
      <c r="R670" s="2" t="s">
        <v>233</v>
      </c>
      <c r="S670" s="2" t="s">
        <v>3734</v>
      </c>
      <c r="T670" s="2" t="s">
        <v>348</v>
      </c>
      <c r="U670" s="2" t="s">
        <v>781</v>
      </c>
      <c r="V670" s="2" t="s">
        <v>1033</v>
      </c>
      <c r="W670" s="2" t="s">
        <v>1631</v>
      </c>
      <c r="X670" s="2" t="s">
        <v>3735</v>
      </c>
      <c r="Y670" s="2" t="s">
        <v>3736</v>
      </c>
      <c r="Z670" s="4">
        <v>716</v>
      </c>
      <c r="AA670" s="4">
        <f>=ROUNDDOWN(89.5,0)</f>
      </c>
      <c r="AB670" s="5">
        <v>8</v>
      </c>
      <c r="AC670" s="2" t="s">
        <v>233</v>
      </c>
      <c r="AD670" s="4"/>
      <c r="AE670" s="4"/>
      <c r="AF670" s="6">
        <v>71</v>
      </c>
      <c r="AG670" s="6">
        <v>79</v>
      </c>
      <c r="AH670" s="7">
        <v>1</v>
      </c>
      <c r="AI670" s="4"/>
      <c r="AJ670" s="4">
        <f>=ROUNDDOWN({0},0)</f>
      </c>
      <c r="AK670" s="5"/>
      <c r="AL670" s="2" t="s">
        <v>233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/>
      <c r="BD670" s="8"/>
      <c r="BE670" s="4"/>
      <c r="BF670" s="8"/>
      <c r="BG670" s="7"/>
      <c r="BH670" s="7"/>
      <c r="BI670" s="7"/>
      <c r="BJ670" s="4">
        <v>25</v>
      </c>
      <c r="BK670" s="8">
        <v>1560.34</v>
      </c>
      <c r="BL670" s="2" t="s">
        <v>3737</v>
      </c>
      <c r="BM670" s="7"/>
      <c r="BN670" s="7"/>
      <c r="BO670" s="4"/>
      <c r="BP670" s="8"/>
      <c r="BQ670" s="4"/>
      <c r="BR670" s="8"/>
      <c r="BS670" s="7"/>
      <c r="BT670" s="7"/>
      <c r="BU670" s="2" t="s">
        <v>3738</v>
      </c>
      <c r="BV670" s="2" t="s">
        <v>233</v>
      </c>
      <c r="BW670" s="2" t="s">
        <v>233</v>
      </c>
      <c r="BX670" s="2" t="s">
        <v>293</v>
      </c>
      <c r="BY670" s="2" t="s">
        <v>242</v>
      </c>
      <c r="BZ670" s="2" t="s">
        <v>230</v>
      </c>
      <c r="CA670" s="2" t="s">
        <v>3739</v>
      </c>
      <c r="CB670" s="2" t="s">
        <v>3740</v>
      </c>
      <c r="CC670" s="2" t="s">
        <v>245</v>
      </c>
      <c r="CD670" s="2" t="s">
        <v>233</v>
      </c>
      <c r="CE670" s="4">
        <v>511</v>
      </c>
      <c r="CF670" s="4"/>
      <c r="CG670" s="4"/>
      <c r="CH670" s="4">
        <v>205</v>
      </c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>
        <v>718</v>
      </c>
      <c r="GD670" s="4">
        <v>695</v>
      </c>
      <c r="GE670" s="4">
        <v>682</v>
      </c>
      <c r="GF670" s="4">
        <v>669</v>
      </c>
      <c r="GG670" s="4">
        <v>656</v>
      </c>
      <c r="GH670" s="4">
        <v>643</v>
      </c>
      <c r="GI670" s="4">
        <v>632</v>
      </c>
      <c r="GJ670" s="4">
        <v>621</v>
      </c>
      <c r="GK670" s="4">
        <v>610</v>
      </c>
      <c r="GL670" s="4">
        <v>599</v>
      </c>
      <c r="GM670" s="4">
        <v>587</v>
      </c>
      <c r="GN670" s="4">
        <v>576</v>
      </c>
      <c r="GO670" s="4">
        <v>565</v>
      </c>
      <c r="GP670" s="4">
        <v>557</v>
      </c>
      <c r="GQ670" s="4">
        <v>549</v>
      </c>
      <c r="GR670" s="4">
        <v>541</v>
      </c>
      <c r="GS670" s="4">
        <v>533</v>
      </c>
      <c r="GT670" s="4">
        <v>524</v>
      </c>
      <c r="GU670" s="4">
        <v>516</v>
      </c>
      <c r="GV670" s="4">
        <v>508</v>
      </c>
      <c r="GW670" s="4">
        <v>500</v>
      </c>
      <c r="GX670" s="4">
        <v>492</v>
      </c>
      <c r="GY670" s="4">
        <v>484</v>
      </c>
      <c r="GZ670" s="4">
        <v>476</v>
      </c>
      <c r="HA670" s="4">
        <v>467</v>
      </c>
      <c r="HB670" s="4">
        <v>457</v>
      </c>
      <c r="HC670" s="19">
        <v>49</v>
      </c>
      <c r="HD670" s="19">
        <v>52.5</v>
      </c>
      <c r="HE670" s="19">
        <v>54.9</v>
      </c>
      <c r="HF670" s="19">
        <v>53.8</v>
      </c>
      <c r="HG670" s="19">
        <v>52.7</v>
      </c>
      <c r="HH670" s="19">
        <v>55.8</v>
      </c>
      <c r="HI670" s="19">
        <v>54.8</v>
      </c>
      <c r="HJ670" s="19">
        <v>53.8</v>
      </c>
      <c r="HK670" s="19">
        <v>52.8</v>
      </c>
      <c r="HL670" s="19">
        <v>51.8</v>
      </c>
      <c r="HM670" s="19">
        <v>55.8</v>
      </c>
      <c r="HN670" s="19">
        <v>61.3</v>
      </c>
      <c r="HO670" s="19">
        <v>66.9</v>
      </c>
      <c r="HP670" s="19">
        <v>65.9</v>
      </c>
      <c r="HQ670" s="19">
        <v>64.9</v>
      </c>
      <c r="HR670" s="19">
        <v>63.9</v>
      </c>
      <c r="HS670" s="19">
        <v>62.9</v>
      </c>
      <c r="HT670" s="19">
        <v>61.8</v>
      </c>
      <c r="HU670" s="19">
        <v>60.8</v>
      </c>
      <c r="HV670" s="19">
        <v>59.8</v>
      </c>
      <c r="HW670" s="19">
        <v>58.8</v>
      </c>
      <c r="HX670" s="19">
        <v>51.7</v>
      </c>
      <c r="HY670" s="19">
        <v>50.8</v>
      </c>
      <c r="HZ670" s="19">
        <v>45.7</v>
      </c>
      <c r="IA670" s="19">
        <v>44.7</v>
      </c>
      <c r="IB670" s="19">
        <v>43.7</v>
      </c>
    </row>
    <row r="671">
      <c r="A671" s="2" t="s">
        <v>3741</v>
      </c>
      <c r="B671" s="2" t="s">
        <v>872</v>
      </c>
      <c r="C671" s="2" t="s">
        <v>343</v>
      </c>
      <c r="D671" s="2" t="s">
        <v>261</v>
      </c>
      <c r="E671" s="2" t="s">
        <v>1119</v>
      </c>
      <c r="F671" s="2" t="s">
        <v>3742</v>
      </c>
      <c r="G671" s="2" t="s">
        <v>3743</v>
      </c>
      <c r="H671" s="2" t="s">
        <v>3744</v>
      </c>
      <c r="I671" s="2" t="s">
        <v>3695</v>
      </c>
      <c r="J671" s="2" t="s">
        <v>256</v>
      </c>
      <c r="K671" s="2" t="s">
        <v>689</v>
      </c>
      <c r="L671" s="3">
        <v>67.59</v>
      </c>
      <c r="M671" s="3">
        <v>70.97</v>
      </c>
      <c r="N671" s="3">
        <v>144.99</v>
      </c>
      <c r="O671" s="2" t="s">
        <v>230</v>
      </c>
      <c r="P671" s="2" t="s">
        <v>231</v>
      </c>
      <c r="Q671" s="2" t="s">
        <v>232</v>
      </c>
      <c r="R671" s="2" t="s">
        <v>233</v>
      </c>
      <c r="S671" s="2" t="s">
        <v>3745</v>
      </c>
      <c r="T671" s="2" t="s">
        <v>233</v>
      </c>
      <c r="U671" s="2" t="s">
        <v>2641</v>
      </c>
      <c r="V671" s="2" t="s">
        <v>834</v>
      </c>
      <c r="W671" s="2" t="s">
        <v>712</v>
      </c>
      <c r="X671" s="2" t="s">
        <v>878</v>
      </c>
      <c r="Y671" s="2" t="s">
        <v>238</v>
      </c>
      <c r="Z671" s="4">
        <v>272</v>
      </c>
      <c r="AA671" s="4">
        <f>=ROUNDDOWN(68,0)</f>
      </c>
      <c r="AB671" s="5">
        <v>4</v>
      </c>
      <c r="AC671" s="2" t="s">
        <v>233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233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/>
      <c r="BD671" s="8"/>
      <c r="BE671" s="4"/>
      <c r="BF671" s="8"/>
      <c r="BG671" s="7"/>
      <c r="BH671" s="7"/>
      <c r="BI671" s="7"/>
      <c r="BJ671" s="4">
        <v>18</v>
      </c>
      <c r="BK671" s="8">
        <v>1346.94</v>
      </c>
      <c r="BL671" s="2" t="s">
        <v>356</v>
      </c>
      <c r="BM671" s="7"/>
      <c r="BN671" s="7"/>
      <c r="BO671" s="4"/>
      <c r="BP671" s="8"/>
      <c r="BQ671" s="4"/>
      <c r="BR671" s="8"/>
      <c r="BS671" s="7"/>
      <c r="BT671" s="7"/>
      <c r="BU671" s="2" t="s">
        <v>3746</v>
      </c>
      <c r="BV671" s="2" t="s">
        <v>233</v>
      </c>
      <c r="BW671" s="2" t="s">
        <v>233</v>
      </c>
      <c r="BX671" s="2" t="s">
        <v>241</v>
      </c>
      <c r="BY671" s="2" t="s">
        <v>242</v>
      </c>
      <c r="BZ671" s="2" t="s">
        <v>230</v>
      </c>
      <c r="CA671" s="2" t="s">
        <v>3747</v>
      </c>
      <c r="CB671" s="2" t="s">
        <v>1342</v>
      </c>
      <c r="CC671" s="2" t="s">
        <v>245</v>
      </c>
      <c r="CD671" s="2" t="s">
        <v>233</v>
      </c>
      <c r="CE671" s="4">
        <v>272</v>
      </c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>
        <v>272</v>
      </c>
      <c r="GD671" s="4">
        <v>268</v>
      </c>
      <c r="GE671" s="4">
        <v>261</v>
      </c>
      <c r="GF671" s="4">
        <v>254</v>
      </c>
      <c r="GG671" s="4">
        <v>240</v>
      </c>
      <c r="GH671" s="4">
        <v>232</v>
      </c>
      <c r="GI671" s="4">
        <v>223</v>
      </c>
      <c r="GJ671" s="4">
        <v>219</v>
      </c>
      <c r="GK671" s="4">
        <v>216</v>
      </c>
      <c r="GL671" s="4">
        <v>212</v>
      </c>
      <c r="GM671" s="4">
        <v>208</v>
      </c>
      <c r="GN671" s="4">
        <v>204</v>
      </c>
      <c r="GO671" s="4">
        <v>200</v>
      </c>
      <c r="GP671" s="4">
        <v>196</v>
      </c>
      <c r="GQ671" s="4">
        <v>192</v>
      </c>
      <c r="GR671" s="4">
        <v>188</v>
      </c>
      <c r="GS671" s="4">
        <v>184</v>
      </c>
      <c r="GT671" s="4">
        <v>180</v>
      </c>
      <c r="GU671" s="4">
        <v>176</v>
      </c>
      <c r="GV671" s="4">
        <v>172</v>
      </c>
      <c r="GW671" s="4">
        <v>168</v>
      </c>
      <c r="GX671" s="4">
        <v>164</v>
      </c>
      <c r="GY671" s="4">
        <v>160</v>
      </c>
      <c r="GZ671" s="4">
        <v>156</v>
      </c>
      <c r="HA671" s="4">
        <v>152</v>
      </c>
      <c r="HB671" s="4">
        <v>148</v>
      </c>
      <c r="HC671" s="19">
        <v>34</v>
      </c>
      <c r="HD671" s="19">
        <v>29.8</v>
      </c>
      <c r="HE671" s="19">
        <v>26.1</v>
      </c>
      <c r="HF671" s="19">
        <v>28.2</v>
      </c>
      <c r="HG671" s="19">
        <v>40</v>
      </c>
      <c r="HH671" s="19">
        <v>46.4</v>
      </c>
      <c r="HI671" s="19">
        <v>55.8</v>
      </c>
      <c r="HJ671" s="19">
        <v>54.8</v>
      </c>
      <c r="HK671" s="19">
        <v>54</v>
      </c>
      <c r="HL671" s="19">
        <v>53</v>
      </c>
      <c r="HM671" s="19">
        <v>52</v>
      </c>
      <c r="HN671" s="19">
        <v>51</v>
      </c>
      <c r="HO671" s="19">
        <v>50</v>
      </c>
      <c r="HP671" s="19">
        <v>49</v>
      </c>
      <c r="HQ671" s="19">
        <v>48</v>
      </c>
      <c r="HR671" s="19">
        <v>47</v>
      </c>
      <c r="HS671" s="19">
        <v>46</v>
      </c>
      <c r="HT671" s="19">
        <v>45</v>
      </c>
      <c r="HU671" s="19">
        <v>44</v>
      </c>
      <c r="HV671" s="19">
        <v>43</v>
      </c>
      <c r="HW671" s="19">
        <v>42</v>
      </c>
      <c r="HX671" s="19">
        <v>41</v>
      </c>
      <c r="HY671" s="19">
        <v>40</v>
      </c>
      <c r="HZ671" s="19">
        <v>39</v>
      </c>
      <c r="IA671" s="19">
        <v>38</v>
      </c>
      <c r="IB671" s="19">
        <v>37</v>
      </c>
    </row>
    <row r="672">
      <c r="A672" s="2" t="s">
        <v>3748</v>
      </c>
      <c r="B672" s="2" t="s">
        <v>761</v>
      </c>
      <c r="C672" s="2" t="s">
        <v>762</v>
      </c>
      <c r="D672" s="2" t="s">
        <v>1834</v>
      </c>
      <c r="E672" s="2" t="s">
        <v>1835</v>
      </c>
      <c r="F672" s="2" t="s">
        <v>3749</v>
      </c>
      <c r="G672" s="2" t="s">
        <v>233</v>
      </c>
      <c r="H672" s="2" t="s">
        <v>233</v>
      </c>
      <c r="I672" s="2" t="s">
        <v>1835</v>
      </c>
      <c r="J672" s="2" t="s">
        <v>741</v>
      </c>
      <c r="K672" s="2" t="s">
        <v>3217</v>
      </c>
      <c r="L672" s="3">
        <v>121.6</v>
      </c>
      <c r="M672" s="3">
        <v>127.68</v>
      </c>
      <c r="N672" s="3">
        <v>259</v>
      </c>
      <c r="O672" s="2" t="s">
        <v>230</v>
      </c>
      <c r="P672" s="2" t="s">
        <v>231</v>
      </c>
      <c r="Q672" s="2" t="s">
        <v>232</v>
      </c>
      <c r="R672" s="2" t="s">
        <v>233</v>
      </c>
      <c r="S672" s="2" t="s">
        <v>3750</v>
      </c>
      <c r="T672" s="2" t="s">
        <v>233</v>
      </c>
      <c r="U672" s="2" t="s">
        <v>233</v>
      </c>
      <c r="V672" s="2" t="s">
        <v>236</v>
      </c>
      <c r="W672" s="2" t="s">
        <v>3342</v>
      </c>
      <c r="X672" s="2" t="s">
        <v>233</v>
      </c>
      <c r="Y672" s="2" t="s">
        <v>238</v>
      </c>
      <c r="Z672" s="4">
        <v>270</v>
      </c>
      <c r="AA672" s="4">
        <f>=ROUNDDOWN(41.5384615384615,0)</f>
      </c>
      <c r="AB672" s="5">
        <v>6.5</v>
      </c>
      <c r="AC672" s="2" t="s">
        <v>180</v>
      </c>
      <c r="AD672" s="4">
        <v>150</v>
      </c>
      <c r="AE672" s="4">
        <v>150</v>
      </c>
      <c r="AF672" s="6">
        <v>74</v>
      </c>
      <c r="AG672" s="6">
        <v>60</v>
      </c>
      <c r="AH672" s="7">
        <v>1</v>
      </c>
      <c r="AI672" s="4"/>
      <c r="AJ672" s="4">
        <f>=ROUNDDOWN({0},0)</f>
      </c>
      <c r="AK672" s="5"/>
      <c r="AL672" s="2" t="s">
        <v>233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/>
      <c r="BD672" s="8"/>
      <c r="BE672" s="4"/>
      <c r="BF672" s="8"/>
      <c r="BG672" s="7"/>
      <c r="BH672" s="7"/>
      <c r="BI672" s="7"/>
      <c r="BJ672" s="4">
        <v>4</v>
      </c>
      <c r="BK672" s="8">
        <v>577.12</v>
      </c>
      <c r="BL672" s="2" t="s">
        <v>1304</v>
      </c>
      <c r="BM672" s="7"/>
      <c r="BN672" s="7"/>
      <c r="BO672" s="4"/>
      <c r="BP672" s="8"/>
      <c r="BQ672" s="4"/>
      <c r="BR672" s="8"/>
      <c r="BS672" s="7"/>
      <c r="BT672" s="7"/>
      <c r="BU672" s="2" t="s">
        <v>3751</v>
      </c>
      <c r="BV672" s="2" t="s">
        <v>233</v>
      </c>
      <c r="BW672" s="2" t="s">
        <v>233</v>
      </c>
      <c r="BX672" s="2" t="s">
        <v>241</v>
      </c>
      <c r="BY672" s="2" t="s">
        <v>242</v>
      </c>
      <c r="BZ672" s="2" t="s">
        <v>230</v>
      </c>
      <c r="CA672" s="2" t="s">
        <v>243</v>
      </c>
      <c r="CB672" s="2" t="s">
        <v>3752</v>
      </c>
      <c r="CC672" s="2" t="s">
        <v>245</v>
      </c>
      <c r="CD672" s="2" t="s">
        <v>233</v>
      </c>
      <c r="CE672" s="4"/>
      <c r="CF672" s="4">
        <v>150</v>
      </c>
      <c r="CG672" s="4"/>
      <c r="CH672" s="4">
        <v>120</v>
      </c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>
        <v>150</v>
      </c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>
        <v>281</v>
      </c>
      <c r="GD672" s="4">
        <v>262</v>
      </c>
      <c r="GE672" s="4">
        <v>254</v>
      </c>
      <c r="GF672" s="4">
        <v>248</v>
      </c>
      <c r="GG672" s="4">
        <v>234</v>
      </c>
      <c r="GH672" s="4">
        <v>226</v>
      </c>
      <c r="GI672" s="4">
        <v>220</v>
      </c>
      <c r="GJ672" s="4">
        <v>214</v>
      </c>
      <c r="GK672" s="4">
        <v>210</v>
      </c>
      <c r="GL672" s="4">
        <v>354</v>
      </c>
      <c r="GM672" s="4">
        <v>350</v>
      </c>
      <c r="GN672" s="4">
        <v>344</v>
      </c>
      <c r="GO672" s="4">
        <v>340</v>
      </c>
      <c r="GP672" s="4">
        <v>336</v>
      </c>
      <c r="GQ672" s="4">
        <v>330</v>
      </c>
      <c r="GR672" s="4">
        <v>324</v>
      </c>
      <c r="GS672" s="4">
        <v>318</v>
      </c>
      <c r="GT672" s="4">
        <v>310</v>
      </c>
      <c r="GU672" s="4">
        <v>306</v>
      </c>
      <c r="GV672" s="4">
        <v>300</v>
      </c>
      <c r="GW672" s="4">
        <v>294</v>
      </c>
      <c r="GX672" s="4">
        <v>288</v>
      </c>
      <c r="GY672" s="4">
        <v>282</v>
      </c>
      <c r="GZ672" s="4">
        <v>276</v>
      </c>
      <c r="HA672" s="4">
        <v>270</v>
      </c>
      <c r="HB672" s="4">
        <v>264</v>
      </c>
      <c r="HC672" s="19">
        <v>26.5</v>
      </c>
      <c r="HD672" s="19">
        <v>32.8</v>
      </c>
      <c r="HE672" s="19">
        <v>31.8</v>
      </c>
      <c r="HF672" s="19">
        <v>31.1</v>
      </c>
      <c r="HG672" s="19">
        <v>39</v>
      </c>
      <c r="HH672" s="19">
        <v>37.7</v>
      </c>
      <c r="HI672" s="19">
        <v>55</v>
      </c>
      <c r="HJ672" s="19">
        <v>53.5</v>
      </c>
      <c r="HK672" s="19">
        <v>52.5</v>
      </c>
      <c r="HL672" s="19">
        <v>88.5</v>
      </c>
      <c r="HM672" s="19">
        <v>87.5</v>
      </c>
      <c r="HN672" s="19">
        <v>86</v>
      </c>
      <c r="HO672" s="19">
        <v>56.7</v>
      </c>
      <c r="HP672" s="19">
        <v>56</v>
      </c>
      <c r="HQ672" s="19">
        <v>55</v>
      </c>
      <c r="HR672" s="19">
        <v>54</v>
      </c>
      <c r="HS672" s="19">
        <v>53</v>
      </c>
      <c r="HT672" s="19">
        <v>51.7</v>
      </c>
      <c r="HU672" s="19">
        <v>51</v>
      </c>
      <c r="HV672" s="19">
        <v>50</v>
      </c>
      <c r="HW672" s="19">
        <v>49</v>
      </c>
      <c r="HX672" s="19">
        <v>48</v>
      </c>
      <c r="HY672" s="19">
        <v>47</v>
      </c>
      <c r="HZ672" s="19">
        <v>46</v>
      </c>
      <c r="IA672" s="19">
        <v>45</v>
      </c>
      <c r="IB672" s="19">
        <v>44</v>
      </c>
    </row>
    <row r="673">
      <c r="A673" s="2" t="s">
        <v>3753</v>
      </c>
      <c r="B673" s="2" t="s">
        <v>773</v>
      </c>
      <c r="C673" s="2" t="s">
        <v>343</v>
      </c>
      <c r="D673" s="2" t="s">
        <v>261</v>
      </c>
      <c r="E673" s="2" t="s">
        <v>895</v>
      </c>
      <c r="F673" s="2" t="s">
        <v>3754</v>
      </c>
      <c r="G673" s="2" t="s">
        <v>3755</v>
      </c>
      <c r="H673" s="2" t="s">
        <v>3755</v>
      </c>
      <c r="I673" s="2" t="s">
        <v>3756</v>
      </c>
      <c r="J673" s="2" t="s">
        <v>1052</v>
      </c>
      <c r="K673" s="2" t="s">
        <v>3757</v>
      </c>
      <c r="L673" s="3">
        <v>19.46</v>
      </c>
      <c r="M673" s="3">
        <v>20.43</v>
      </c>
      <c r="N673" s="3">
        <v>39.99</v>
      </c>
      <c r="O673" s="2" t="s">
        <v>230</v>
      </c>
      <c r="P673" s="2" t="s">
        <v>231</v>
      </c>
      <c r="Q673" s="2" t="s">
        <v>232</v>
      </c>
      <c r="R673" s="2" t="s">
        <v>233</v>
      </c>
      <c r="S673" s="2" t="s">
        <v>3758</v>
      </c>
      <c r="T673" s="2" t="s">
        <v>469</v>
      </c>
      <c r="U673" s="2" t="s">
        <v>233</v>
      </c>
      <c r="V673" s="2" t="s">
        <v>236</v>
      </c>
      <c r="W673" s="2" t="s">
        <v>237</v>
      </c>
      <c r="X673" s="2" t="s">
        <v>233</v>
      </c>
      <c r="Y673" s="2" t="s">
        <v>238</v>
      </c>
      <c r="Z673" s="4">
        <v>422</v>
      </c>
      <c r="AA673" s="4">
        <f>=ROUNDDOWN(52.75,0)</f>
      </c>
      <c r="AB673" s="5">
        <v>8</v>
      </c>
      <c r="AC673" s="2" t="s">
        <v>490</v>
      </c>
      <c r="AD673" s="4">
        <v>60</v>
      </c>
      <c r="AE673" s="4">
        <v>60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233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233</v>
      </c>
      <c r="AW673" s="8" t="s">
        <v>233</v>
      </c>
      <c r="AX673" s="4" t="s">
        <v>233</v>
      </c>
      <c r="AY673" s="8" t="s">
        <v>233</v>
      </c>
      <c r="AZ673" s="7" t="s">
        <v>233</v>
      </c>
      <c r="BA673" s="7" t="s">
        <v>233</v>
      </c>
      <c r="BB673" s="7"/>
      <c r="BC673" s="4" t="s">
        <v>233</v>
      </c>
      <c r="BD673" s="8" t="s">
        <v>233</v>
      </c>
      <c r="BE673" s="4" t="s">
        <v>233</v>
      </c>
      <c r="BF673" s="8" t="s">
        <v>233</v>
      </c>
      <c r="BG673" s="7" t="s">
        <v>233</v>
      </c>
      <c r="BH673" s="7" t="s">
        <v>233</v>
      </c>
      <c r="BI673" s="7"/>
      <c r="BJ673" s="4">
        <v>18</v>
      </c>
      <c r="BK673" s="8">
        <v>371.91</v>
      </c>
      <c r="BL673" s="2" t="s">
        <v>3759</v>
      </c>
      <c r="BM673" s="7"/>
      <c r="BN673" s="7"/>
      <c r="BO673" s="4"/>
      <c r="BP673" s="8"/>
      <c r="BQ673" s="4"/>
      <c r="BR673" s="8"/>
      <c r="BS673" s="7"/>
      <c r="BT673" s="7"/>
      <c r="BU673" s="2" t="s">
        <v>3760</v>
      </c>
      <c r="BV673" s="2" t="s">
        <v>233</v>
      </c>
      <c r="BW673" s="2" t="s">
        <v>233</v>
      </c>
      <c r="BX673" s="2" t="s">
        <v>241</v>
      </c>
      <c r="BY673" s="2" t="s">
        <v>242</v>
      </c>
      <c r="BZ673" s="2" t="s">
        <v>230</v>
      </c>
      <c r="CA673" s="2" t="s">
        <v>243</v>
      </c>
      <c r="CB673" s="2" t="s">
        <v>3761</v>
      </c>
      <c r="CC673" s="2" t="s">
        <v>245</v>
      </c>
      <c r="CD673" s="2" t="s">
        <v>233</v>
      </c>
      <c r="CE673" s="4">
        <v>422</v>
      </c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>
        <v>60</v>
      </c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>
        <v>427</v>
      </c>
      <c r="GD673" s="4">
        <v>414</v>
      </c>
      <c r="GE673" s="4">
        <v>401</v>
      </c>
      <c r="GF673" s="4">
        <v>387</v>
      </c>
      <c r="GG673" s="4">
        <v>357</v>
      </c>
      <c r="GH673" s="4">
        <v>331</v>
      </c>
      <c r="GI673" s="4">
        <v>365</v>
      </c>
      <c r="GJ673" s="4">
        <v>350</v>
      </c>
      <c r="GK673" s="4">
        <v>340</v>
      </c>
      <c r="GL673" s="4">
        <v>334</v>
      </c>
      <c r="GM673" s="4">
        <v>328</v>
      </c>
      <c r="GN673" s="4">
        <v>322</v>
      </c>
      <c r="GO673" s="4">
        <v>316</v>
      </c>
      <c r="GP673" s="4">
        <v>310</v>
      </c>
      <c r="GQ673" s="4">
        <v>304</v>
      </c>
      <c r="GR673" s="4">
        <v>297</v>
      </c>
      <c r="GS673" s="4">
        <v>290</v>
      </c>
      <c r="GT673" s="4">
        <v>282</v>
      </c>
      <c r="GU673" s="4">
        <v>275</v>
      </c>
      <c r="GV673" s="4">
        <v>265</v>
      </c>
      <c r="GW673" s="4">
        <v>255</v>
      </c>
      <c r="GX673" s="4">
        <v>245</v>
      </c>
      <c r="GY673" s="4">
        <v>235</v>
      </c>
      <c r="GZ673" s="4">
        <v>226</v>
      </c>
      <c r="HA673" s="4">
        <v>217</v>
      </c>
      <c r="HB673" s="4">
        <v>208</v>
      </c>
      <c r="HC673" s="19">
        <v>23.7</v>
      </c>
      <c r="HD673" s="19">
        <v>19.7</v>
      </c>
      <c r="HE673" s="19">
        <v>16.7</v>
      </c>
      <c r="HF673" s="19">
        <v>16.1</v>
      </c>
      <c r="HG673" s="19">
        <v>18.8</v>
      </c>
      <c r="HH673" s="19">
        <v>23.6</v>
      </c>
      <c r="HI673" s="19">
        <v>40.6</v>
      </c>
      <c r="HJ673" s="19">
        <v>50</v>
      </c>
      <c r="HK673" s="19">
        <v>56.7</v>
      </c>
      <c r="HL673" s="19">
        <v>55.7</v>
      </c>
      <c r="HM673" s="19">
        <v>54.7</v>
      </c>
      <c r="HN673" s="19">
        <v>53.7</v>
      </c>
      <c r="HO673" s="19">
        <v>52.7</v>
      </c>
      <c r="HP673" s="19">
        <v>44.3</v>
      </c>
      <c r="HQ673" s="19">
        <v>43.4</v>
      </c>
      <c r="HR673" s="19">
        <v>37.1</v>
      </c>
      <c r="HS673" s="19">
        <v>32.2</v>
      </c>
      <c r="HT673" s="19">
        <v>31.3</v>
      </c>
      <c r="HU673" s="19">
        <v>27.5</v>
      </c>
      <c r="HV673" s="19">
        <v>26.5</v>
      </c>
      <c r="HW673" s="19">
        <v>25.5</v>
      </c>
      <c r="HX673" s="19">
        <v>27.2</v>
      </c>
      <c r="HY673" s="19">
        <v>26.1</v>
      </c>
      <c r="HZ673" s="19">
        <v>25.1</v>
      </c>
      <c r="IA673" s="19">
        <v>24.1</v>
      </c>
      <c r="IB673" s="19">
        <v>20.8</v>
      </c>
    </row>
    <row r="674">
      <c r="A674" s="2" t="s">
        <v>3762</v>
      </c>
      <c r="B674" s="2" t="s">
        <v>773</v>
      </c>
      <c r="C674" s="2" t="s">
        <v>343</v>
      </c>
      <c r="D674" s="2" t="s">
        <v>261</v>
      </c>
      <c r="E674" s="2" t="s">
        <v>895</v>
      </c>
      <c r="F674" s="2" t="s">
        <v>3754</v>
      </c>
      <c r="G674" s="2" t="s">
        <v>3755</v>
      </c>
      <c r="H674" s="2" t="s">
        <v>3755</v>
      </c>
      <c r="I674" s="2" t="s">
        <v>3756</v>
      </c>
      <c r="J674" s="2" t="s">
        <v>265</v>
      </c>
      <c r="K674" s="2" t="s">
        <v>3757</v>
      </c>
      <c r="L674" s="3">
        <v>25.7</v>
      </c>
      <c r="M674" s="3">
        <v>26.98</v>
      </c>
      <c r="N674" s="3">
        <v>51.99</v>
      </c>
      <c r="O674" s="2" t="s">
        <v>230</v>
      </c>
      <c r="P674" s="2" t="s">
        <v>231</v>
      </c>
      <c r="Q674" s="2" t="s">
        <v>232</v>
      </c>
      <c r="R674" s="2" t="s">
        <v>233</v>
      </c>
      <c r="S674" s="2" t="s">
        <v>3758</v>
      </c>
      <c r="T674" s="2" t="s">
        <v>469</v>
      </c>
      <c r="U674" s="2" t="s">
        <v>233</v>
      </c>
      <c r="V674" s="2" t="s">
        <v>236</v>
      </c>
      <c r="W674" s="2" t="s">
        <v>237</v>
      </c>
      <c r="X674" s="2" t="s">
        <v>233</v>
      </c>
      <c r="Y674" s="2" t="s">
        <v>3763</v>
      </c>
      <c r="Z674" s="4">
        <v>917</v>
      </c>
      <c r="AA674" s="4">
        <f>=ROUNDDOWN(36.68,0)</f>
      </c>
      <c r="AB674" s="5">
        <v>25</v>
      </c>
      <c r="AC674" s="2" t="s">
        <v>153</v>
      </c>
      <c r="AD674" s="4">
        <v>280</v>
      </c>
      <c r="AE674" s="4">
        <v>560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233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233</v>
      </c>
      <c r="AW674" s="8" t="s">
        <v>233</v>
      </c>
      <c r="AX674" s="4" t="s">
        <v>233</v>
      </c>
      <c r="AY674" s="8" t="s">
        <v>233</v>
      </c>
      <c r="AZ674" s="7" t="s">
        <v>233</v>
      </c>
      <c r="BA674" s="7" t="s">
        <v>233</v>
      </c>
      <c r="BB674" s="7"/>
      <c r="BC674" s="4" t="s">
        <v>233</v>
      </c>
      <c r="BD674" s="8" t="s">
        <v>233</v>
      </c>
      <c r="BE674" s="4" t="s">
        <v>233</v>
      </c>
      <c r="BF674" s="8" t="s">
        <v>233</v>
      </c>
      <c r="BG674" s="7" t="s">
        <v>233</v>
      </c>
      <c r="BH674" s="7" t="s">
        <v>233</v>
      </c>
      <c r="BI674" s="7"/>
      <c r="BJ674" s="4">
        <v>136</v>
      </c>
      <c r="BK674" s="8">
        <v>3792.7</v>
      </c>
      <c r="BL674" s="2" t="s">
        <v>3764</v>
      </c>
      <c r="BM674" s="7"/>
      <c r="BN674" s="7"/>
      <c r="BO674" s="4"/>
      <c r="BP674" s="8"/>
      <c r="BQ674" s="4"/>
      <c r="BR674" s="8"/>
      <c r="BS674" s="7"/>
      <c r="BT674" s="7"/>
      <c r="BU674" s="2" t="s">
        <v>3760</v>
      </c>
      <c r="BV674" s="2" t="s">
        <v>233</v>
      </c>
      <c r="BW674" s="2" t="s">
        <v>233</v>
      </c>
      <c r="BX674" s="2" t="s">
        <v>241</v>
      </c>
      <c r="BY674" s="2" t="s">
        <v>242</v>
      </c>
      <c r="BZ674" s="2" t="s">
        <v>230</v>
      </c>
      <c r="CA674" s="2" t="s">
        <v>243</v>
      </c>
      <c r="CB674" s="2" t="s">
        <v>3765</v>
      </c>
      <c r="CC674" s="2" t="s">
        <v>245</v>
      </c>
      <c r="CD674" s="2" t="s">
        <v>233</v>
      </c>
      <c r="CE674" s="4">
        <v>723</v>
      </c>
      <c r="CF674" s="4">
        <v>130</v>
      </c>
      <c r="CG674" s="4"/>
      <c r="CH674" s="4">
        <v>64</v>
      </c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>
        <v>280</v>
      </c>
      <c r="DP674" s="4"/>
      <c r="DQ674" s="4"/>
      <c r="DR674" s="4">
        <v>220</v>
      </c>
      <c r="DS674" s="4"/>
      <c r="DT674" s="4"/>
      <c r="DU674" s="4"/>
      <c r="DV674" s="4"/>
      <c r="DW674" s="4"/>
      <c r="DX674" s="4"/>
      <c r="DY674" s="4">
        <v>60</v>
      </c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>
        <v>925</v>
      </c>
      <c r="GD674" s="4">
        <v>868</v>
      </c>
      <c r="GE674" s="4">
        <v>793</v>
      </c>
      <c r="GF674" s="4">
        <v>710</v>
      </c>
      <c r="GG674" s="4">
        <v>812</v>
      </c>
      <c r="GH674" s="4">
        <v>902</v>
      </c>
      <c r="GI674" s="4">
        <v>829</v>
      </c>
      <c r="GJ674" s="4">
        <v>751</v>
      </c>
      <c r="GK674" s="4">
        <v>701</v>
      </c>
      <c r="GL674" s="4">
        <v>666</v>
      </c>
      <c r="GM674" s="4">
        <v>631</v>
      </c>
      <c r="GN674" s="4">
        <v>596</v>
      </c>
      <c r="GO674" s="4">
        <v>561</v>
      </c>
      <c r="GP674" s="4">
        <v>516</v>
      </c>
      <c r="GQ674" s="4">
        <v>481</v>
      </c>
      <c r="GR674" s="4">
        <v>456</v>
      </c>
      <c r="GS674" s="4">
        <v>431</v>
      </c>
      <c r="GT674" s="4">
        <v>403</v>
      </c>
      <c r="GU674" s="4">
        <v>378</v>
      </c>
      <c r="GV674" s="4">
        <v>353</v>
      </c>
      <c r="GW674" s="4">
        <v>328</v>
      </c>
      <c r="GX674" s="4">
        <v>303</v>
      </c>
      <c r="GY674" s="4">
        <v>278</v>
      </c>
      <c r="GZ674" s="4">
        <v>253</v>
      </c>
      <c r="HA674" s="4">
        <v>228</v>
      </c>
      <c r="HB674" s="4">
        <v>203</v>
      </c>
      <c r="HC674" s="19">
        <v>9.4</v>
      </c>
      <c r="HD674" s="19">
        <v>7.5</v>
      </c>
      <c r="HE674" s="19">
        <v>6.1</v>
      </c>
      <c r="HF674" s="19">
        <v>5.5</v>
      </c>
      <c r="HG674" s="19">
        <v>8.3</v>
      </c>
      <c r="HH674" s="19">
        <v>12.2</v>
      </c>
      <c r="HI674" s="19">
        <v>16.6</v>
      </c>
      <c r="HJ674" s="19">
        <v>19.3</v>
      </c>
      <c r="HK674" s="19">
        <v>20</v>
      </c>
      <c r="HL674" s="19">
        <v>17.5</v>
      </c>
      <c r="HM674" s="19">
        <v>16.6</v>
      </c>
      <c r="HN674" s="19">
        <v>17</v>
      </c>
      <c r="HO674" s="19">
        <v>17.5</v>
      </c>
      <c r="HP674" s="19">
        <v>18.4</v>
      </c>
      <c r="HQ674" s="19">
        <v>18.5</v>
      </c>
      <c r="HR674" s="19">
        <v>17.5</v>
      </c>
      <c r="HS674" s="19">
        <v>16.6</v>
      </c>
      <c r="HT674" s="19">
        <v>16.1</v>
      </c>
      <c r="HU674" s="19">
        <v>15.1</v>
      </c>
      <c r="HV674" s="19">
        <v>14.1</v>
      </c>
      <c r="HW674" s="19">
        <v>13.1</v>
      </c>
      <c r="HX674" s="19">
        <v>12.1</v>
      </c>
      <c r="HY674" s="19">
        <v>11.1</v>
      </c>
      <c r="HZ674" s="19">
        <v>10.1</v>
      </c>
      <c r="IA674" s="19">
        <v>9.5</v>
      </c>
      <c r="IB674" s="19">
        <v>9.2</v>
      </c>
    </row>
    <row r="675">
      <c r="A675" s="2" t="s">
        <v>3766</v>
      </c>
      <c r="B675" s="2" t="s">
        <v>773</v>
      </c>
      <c r="C675" s="2" t="s">
        <v>343</v>
      </c>
      <c r="D675" s="2" t="s">
        <v>261</v>
      </c>
      <c r="E675" s="2" t="s">
        <v>895</v>
      </c>
      <c r="F675" s="2" t="s">
        <v>3754</v>
      </c>
      <c r="G675" s="2" t="s">
        <v>3755</v>
      </c>
      <c r="H675" s="2" t="s">
        <v>3755</v>
      </c>
      <c r="I675" s="2" t="s">
        <v>3756</v>
      </c>
      <c r="J675" s="2" t="s">
        <v>1052</v>
      </c>
      <c r="K675" s="2" t="s">
        <v>1403</v>
      </c>
      <c r="L675" s="3">
        <v>19.46</v>
      </c>
      <c r="M675" s="3">
        <v>20.43</v>
      </c>
      <c r="N675" s="3">
        <v>39.99</v>
      </c>
      <c r="O675" s="2" t="s">
        <v>230</v>
      </c>
      <c r="P675" s="2" t="s">
        <v>231</v>
      </c>
      <c r="Q675" s="2" t="s">
        <v>232</v>
      </c>
      <c r="R675" s="2" t="s">
        <v>233</v>
      </c>
      <c r="S675" s="2" t="s">
        <v>3767</v>
      </c>
      <c r="T675" s="2" t="s">
        <v>469</v>
      </c>
      <c r="U675" s="2" t="s">
        <v>233</v>
      </c>
      <c r="V675" s="2" t="s">
        <v>236</v>
      </c>
      <c r="W675" s="2" t="s">
        <v>237</v>
      </c>
      <c r="X675" s="2" t="s">
        <v>233</v>
      </c>
      <c r="Y675" s="2" t="s">
        <v>238</v>
      </c>
      <c r="Z675" s="4">
        <v>404</v>
      </c>
      <c r="AA675" s="4">
        <f>=ROUNDDOWN(50.5,0)</f>
      </c>
      <c r="AB675" s="5">
        <v>8</v>
      </c>
      <c r="AC675" s="2" t="s">
        <v>233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233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 t="s">
        <v>233</v>
      </c>
      <c r="BD675" s="8" t="s">
        <v>233</v>
      </c>
      <c r="BE675" s="4" t="s">
        <v>233</v>
      </c>
      <c r="BF675" s="8" t="s">
        <v>233</v>
      </c>
      <c r="BG675" s="7" t="s">
        <v>233</v>
      </c>
      <c r="BH675" s="7" t="s">
        <v>233</v>
      </c>
      <c r="BI675" s="7"/>
      <c r="BJ675" s="4">
        <v>29</v>
      </c>
      <c r="BK675" s="8">
        <v>605.61</v>
      </c>
      <c r="BL675" s="2" t="s">
        <v>3768</v>
      </c>
      <c r="BM675" s="7"/>
      <c r="BN675" s="7"/>
      <c r="BO675" s="4"/>
      <c r="BP675" s="8"/>
      <c r="BQ675" s="4"/>
      <c r="BR675" s="8"/>
      <c r="BS675" s="7"/>
      <c r="BT675" s="7"/>
      <c r="BU675" s="2" t="s">
        <v>3760</v>
      </c>
      <c r="BV675" s="2" t="s">
        <v>233</v>
      </c>
      <c r="BW675" s="2" t="s">
        <v>233</v>
      </c>
      <c r="BX675" s="2" t="s">
        <v>241</v>
      </c>
      <c r="BY675" s="2" t="s">
        <v>242</v>
      </c>
      <c r="BZ675" s="2" t="s">
        <v>230</v>
      </c>
      <c r="CA675" s="2" t="s">
        <v>243</v>
      </c>
      <c r="CB675" s="2" t="s">
        <v>3769</v>
      </c>
      <c r="CC675" s="2" t="s">
        <v>245</v>
      </c>
      <c r="CD675" s="2" t="s">
        <v>233</v>
      </c>
      <c r="CE675" s="4">
        <v>404</v>
      </c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>
        <v>406</v>
      </c>
      <c r="GD675" s="4">
        <v>397</v>
      </c>
      <c r="GE675" s="4">
        <v>384</v>
      </c>
      <c r="GF675" s="4">
        <v>370</v>
      </c>
      <c r="GG675" s="4">
        <v>340</v>
      </c>
      <c r="GH675" s="4">
        <v>314</v>
      </c>
      <c r="GI675" s="4">
        <v>288</v>
      </c>
      <c r="GJ675" s="4">
        <v>273</v>
      </c>
      <c r="GK675" s="4">
        <v>263</v>
      </c>
      <c r="GL675" s="4">
        <v>257</v>
      </c>
      <c r="GM675" s="4">
        <v>251</v>
      </c>
      <c r="GN675" s="4">
        <v>245</v>
      </c>
      <c r="GO675" s="4">
        <v>239</v>
      </c>
      <c r="GP675" s="4">
        <v>233</v>
      </c>
      <c r="GQ675" s="4">
        <v>227</v>
      </c>
      <c r="GR675" s="4">
        <v>220</v>
      </c>
      <c r="GS675" s="4">
        <v>213</v>
      </c>
      <c r="GT675" s="4">
        <v>205</v>
      </c>
      <c r="GU675" s="4">
        <v>198</v>
      </c>
      <c r="GV675" s="4">
        <v>188</v>
      </c>
      <c r="GW675" s="4">
        <v>178</v>
      </c>
      <c r="GX675" s="4">
        <v>168</v>
      </c>
      <c r="GY675" s="4">
        <v>158</v>
      </c>
      <c r="GZ675" s="4">
        <v>149</v>
      </c>
      <c r="HA675" s="4">
        <v>140</v>
      </c>
      <c r="HB675" s="4">
        <v>131</v>
      </c>
      <c r="HC675" s="19">
        <v>25.4</v>
      </c>
      <c r="HD675" s="19">
        <v>18.9</v>
      </c>
      <c r="HE675" s="19">
        <v>16</v>
      </c>
      <c r="HF675" s="19">
        <v>15.4</v>
      </c>
      <c r="HG675" s="19">
        <v>17.9</v>
      </c>
      <c r="HH675" s="19">
        <v>22.4</v>
      </c>
      <c r="HI675" s="19">
        <v>32</v>
      </c>
      <c r="HJ675" s="19">
        <v>39</v>
      </c>
      <c r="HK675" s="19">
        <v>43.8</v>
      </c>
      <c r="HL675" s="19">
        <v>42.8</v>
      </c>
      <c r="HM675" s="19">
        <v>41.8</v>
      </c>
      <c r="HN675" s="19">
        <v>40.8</v>
      </c>
      <c r="HO675" s="19">
        <v>39.8</v>
      </c>
      <c r="HP675" s="19">
        <v>33.3</v>
      </c>
      <c r="HQ675" s="19">
        <v>32.4</v>
      </c>
      <c r="HR675" s="19">
        <v>27.5</v>
      </c>
      <c r="HS675" s="19">
        <v>23.7</v>
      </c>
      <c r="HT675" s="19">
        <v>22.8</v>
      </c>
      <c r="HU675" s="19">
        <v>19.8</v>
      </c>
      <c r="HV675" s="19">
        <v>18.8</v>
      </c>
      <c r="HW675" s="19">
        <v>17.8</v>
      </c>
      <c r="HX675" s="19">
        <v>18.7</v>
      </c>
      <c r="HY675" s="19">
        <v>17.6</v>
      </c>
      <c r="HZ675" s="19">
        <v>16.6</v>
      </c>
      <c r="IA675" s="19">
        <v>15.6</v>
      </c>
      <c r="IB675" s="19">
        <v>13.1</v>
      </c>
    </row>
    <row r="676">
      <c r="A676" s="2" t="s">
        <v>3770</v>
      </c>
      <c r="B676" s="2" t="s">
        <v>773</v>
      </c>
      <c r="C676" s="2" t="s">
        <v>343</v>
      </c>
      <c r="D676" s="2" t="s">
        <v>261</v>
      </c>
      <c r="E676" s="2" t="s">
        <v>895</v>
      </c>
      <c r="F676" s="2" t="s">
        <v>3754</v>
      </c>
      <c r="G676" s="2" t="s">
        <v>3755</v>
      </c>
      <c r="H676" s="2" t="s">
        <v>3755</v>
      </c>
      <c r="I676" s="2" t="s">
        <v>3756</v>
      </c>
      <c r="J676" s="2" t="s">
        <v>1052</v>
      </c>
      <c r="K676" s="2" t="s">
        <v>3771</v>
      </c>
      <c r="L676" s="3">
        <v>19.46</v>
      </c>
      <c r="M676" s="3">
        <v>20.43</v>
      </c>
      <c r="N676" s="3">
        <v>39.99</v>
      </c>
      <c r="O676" s="2" t="s">
        <v>230</v>
      </c>
      <c r="P676" s="2" t="s">
        <v>231</v>
      </c>
      <c r="Q676" s="2" t="s">
        <v>232</v>
      </c>
      <c r="R676" s="2" t="s">
        <v>233</v>
      </c>
      <c r="S676" s="2" t="s">
        <v>3772</v>
      </c>
      <c r="T676" s="2" t="s">
        <v>469</v>
      </c>
      <c r="U676" s="2" t="s">
        <v>233</v>
      </c>
      <c r="V676" s="2" t="s">
        <v>236</v>
      </c>
      <c r="W676" s="2" t="s">
        <v>237</v>
      </c>
      <c r="X676" s="2" t="s">
        <v>233</v>
      </c>
      <c r="Y676" s="2" t="s">
        <v>238</v>
      </c>
      <c r="Z676" s="4">
        <v>257</v>
      </c>
      <c r="AA676" s="4">
        <f>=ROUNDDOWN(25.7,0)</f>
      </c>
      <c r="AB676" s="5">
        <v>10</v>
      </c>
      <c r="AC676" s="2" t="s">
        <v>153</v>
      </c>
      <c r="AD676" s="4">
        <v>30</v>
      </c>
      <c r="AE676" s="4">
        <v>240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233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233</v>
      </c>
      <c r="AW676" s="8" t="s">
        <v>233</v>
      </c>
      <c r="AX676" s="4" t="s">
        <v>233</v>
      </c>
      <c r="AY676" s="8" t="s">
        <v>233</v>
      </c>
      <c r="AZ676" s="7" t="s">
        <v>233</v>
      </c>
      <c r="BA676" s="7" t="s">
        <v>233</v>
      </c>
      <c r="BB676" s="7"/>
      <c r="BC676" s="4" t="s">
        <v>233</v>
      </c>
      <c r="BD676" s="8" t="s">
        <v>233</v>
      </c>
      <c r="BE676" s="4" t="s">
        <v>233</v>
      </c>
      <c r="BF676" s="8" t="s">
        <v>233</v>
      </c>
      <c r="BG676" s="7" t="s">
        <v>233</v>
      </c>
      <c r="BH676" s="7" t="s">
        <v>233</v>
      </c>
      <c r="BI676" s="7"/>
      <c r="BJ676" s="4">
        <v>28</v>
      </c>
      <c r="BK676" s="8">
        <v>587.75</v>
      </c>
      <c r="BL676" s="2" t="s">
        <v>3773</v>
      </c>
      <c r="BM676" s="7"/>
      <c r="BN676" s="7"/>
      <c r="BO676" s="4"/>
      <c r="BP676" s="8"/>
      <c r="BQ676" s="4"/>
      <c r="BR676" s="8"/>
      <c r="BS676" s="7"/>
      <c r="BT676" s="7"/>
      <c r="BU676" s="2" t="s">
        <v>3760</v>
      </c>
      <c r="BV676" s="2" t="s">
        <v>233</v>
      </c>
      <c r="BW676" s="2" t="s">
        <v>233</v>
      </c>
      <c r="BX676" s="2" t="s">
        <v>241</v>
      </c>
      <c r="BY676" s="2" t="s">
        <v>242</v>
      </c>
      <c r="BZ676" s="2" t="s">
        <v>230</v>
      </c>
      <c r="CA676" s="2" t="s">
        <v>243</v>
      </c>
      <c r="CB676" s="2" t="s">
        <v>3774</v>
      </c>
      <c r="CC676" s="2" t="s">
        <v>245</v>
      </c>
      <c r="CD676" s="2" t="s">
        <v>233</v>
      </c>
      <c r="CE676" s="4">
        <v>78</v>
      </c>
      <c r="CF676" s="4">
        <v>179</v>
      </c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>
        <v>30</v>
      </c>
      <c r="DP676" s="4"/>
      <c r="DQ676" s="4"/>
      <c r="DR676" s="4"/>
      <c r="DS676" s="4"/>
      <c r="DT676" s="4"/>
      <c r="DU676" s="4"/>
      <c r="DV676" s="4"/>
      <c r="DW676" s="4"/>
      <c r="DX676" s="4"/>
      <c r="DY676" s="4">
        <v>160</v>
      </c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>
        <v>50</v>
      </c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>
        <v>257</v>
      </c>
      <c r="GD676" s="4">
        <v>247</v>
      </c>
      <c r="GE676" s="4">
        <v>231</v>
      </c>
      <c r="GF676" s="4">
        <v>213</v>
      </c>
      <c r="GG676" s="4">
        <v>205</v>
      </c>
      <c r="GH676" s="4">
        <v>173</v>
      </c>
      <c r="GI676" s="4">
        <v>300</v>
      </c>
      <c r="GJ676" s="4">
        <v>281</v>
      </c>
      <c r="GK676" s="4">
        <v>269</v>
      </c>
      <c r="GL676" s="4">
        <v>261</v>
      </c>
      <c r="GM676" s="4">
        <v>253</v>
      </c>
      <c r="GN676" s="4">
        <v>245</v>
      </c>
      <c r="GO676" s="4">
        <v>237</v>
      </c>
      <c r="GP676" s="4">
        <v>229</v>
      </c>
      <c r="GQ676" s="4">
        <v>221</v>
      </c>
      <c r="GR676" s="4">
        <v>262</v>
      </c>
      <c r="GS676" s="4">
        <v>253</v>
      </c>
      <c r="GT676" s="4">
        <v>243</v>
      </c>
      <c r="GU676" s="4">
        <v>234</v>
      </c>
      <c r="GV676" s="4">
        <v>222</v>
      </c>
      <c r="GW676" s="4">
        <v>210</v>
      </c>
      <c r="GX676" s="4">
        <v>198</v>
      </c>
      <c r="GY676" s="4">
        <v>186</v>
      </c>
      <c r="GZ676" s="4">
        <v>175</v>
      </c>
      <c r="HA676" s="4">
        <v>164</v>
      </c>
      <c r="HB676" s="4">
        <v>153</v>
      </c>
      <c r="HC676" s="19">
        <v>12.9</v>
      </c>
      <c r="HD676" s="19">
        <v>9.5</v>
      </c>
      <c r="HE676" s="19">
        <v>7.7</v>
      </c>
      <c r="HF676" s="19">
        <v>7.1</v>
      </c>
      <c r="HG676" s="19">
        <v>8.5</v>
      </c>
      <c r="HH676" s="19">
        <v>9.6</v>
      </c>
      <c r="HI676" s="19">
        <v>25</v>
      </c>
      <c r="HJ676" s="19">
        <v>31.2</v>
      </c>
      <c r="HK676" s="19">
        <v>33.6</v>
      </c>
      <c r="HL676" s="19">
        <v>32.6</v>
      </c>
      <c r="HM676" s="19">
        <v>31.6</v>
      </c>
      <c r="HN676" s="19">
        <v>30.6</v>
      </c>
      <c r="HO676" s="19">
        <v>29.6</v>
      </c>
      <c r="HP676" s="19">
        <v>25.4</v>
      </c>
      <c r="HQ676" s="19">
        <v>24.6</v>
      </c>
      <c r="HR676" s="19">
        <v>26.2</v>
      </c>
      <c r="HS676" s="19">
        <v>23</v>
      </c>
      <c r="HT676" s="19">
        <v>22.1</v>
      </c>
      <c r="HU676" s="19">
        <v>19.5</v>
      </c>
      <c r="HV676" s="19">
        <v>18.5</v>
      </c>
      <c r="HW676" s="19">
        <v>17.5</v>
      </c>
      <c r="HX676" s="19">
        <v>18</v>
      </c>
      <c r="HY676" s="19">
        <v>16.9</v>
      </c>
      <c r="HZ676" s="19">
        <v>15.9</v>
      </c>
      <c r="IA676" s="19">
        <v>13.7</v>
      </c>
      <c r="IB676" s="19">
        <v>12.8</v>
      </c>
    </row>
    <row r="677">
      <c r="A677" s="2" t="s">
        <v>3775</v>
      </c>
      <c r="B677" s="2" t="s">
        <v>773</v>
      </c>
      <c r="C677" s="2" t="s">
        <v>343</v>
      </c>
      <c r="D677" s="2" t="s">
        <v>261</v>
      </c>
      <c r="E677" s="2" t="s">
        <v>895</v>
      </c>
      <c r="F677" s="2" t="s">
        <v>3754</v>
      </c>
      <c r="G677" s="2" t="s">
        <v>3755</v>
      </c>
      <c r="H677" s="2" t="s">
        <v>3755</v>
      </c>
      <c r="I677" s="2" t="s">
        <v>3756</v>
      </c>
      <c r="J677" s="2" t="s">
        <v>265</v>
      </c>
      <c r="K677" s="2" t="s">
        <v>3771</v>
      </c>
      <c r="L677" s="3">
        <v>25.7</v>
      </c>
      <c r="M677" s="3">
        <v>26.98</v>
      </c>
      <c r="N677" s="3">
        <v>51.99</v>
      </c>
      <c r="O677" s="2" t="s">
        <v>230</v>
      </c>
      <c r="P677" s="2" t="s">
        <v>231</v>
      </c>
      <c r="Q677" s="2" t="s">
        <v>232</v>
      </c>
      <c r="R677" s="2" t="s">
        <v>233</v>
      </c>
      <c r="S677" s="2" t="s">
        <v>3772</v>
      </c>
      <c r="T677" s="2" t="s">
        <v>469</v>
      </c>
      <c r="U677" s="2" t="s">
        <v>233</v>
      </c>
      <c r="V677" s="2" t="s">
        <v>236</v>
      </c>
      <c r="W677" s="2" t="s">
        <v>237</v>
      </c>
      <c r="X677" s="2" t="s">
        <v>233</v>
      </c>
      <c r="Y677" s="2" t="s">
        <v>238</v>
      </c>
      <c r="Z677" s="4">
        <v>491</v>
      </c>
      <c r="AA677" s="4">
        <f>=ROUNDDOWN(24.55,0)</f>
      </c>
      <c r="AB677" s="5">
        <v>20</v>
      </c>
      <c r="AC677" s="2" t="s">
        <v>153</v>
      </c>
      <c r="AD677" s="4">
        <v>140</v>
      </c>
      <c r="AE677" s="4">
        <v>710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233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233</v>
      </c>
      <c r="AW677" s="8" t="s">
        <v>233</v>
      </c>
      <c r="AX677" s="4" t="s">
        <v>233</v>
      </c>
      <c r="AY677" s="8" t="s">
        <v>233</v>
      </c>
      <c r="AZ677" s="7" t="s">
        <v>233</v>
      </c>
      <c r="BA677" s="7" t="s">
        <v>233</v>
      </c>
      <c r="BB677" s="7"/>
      <c r="BC677" s="4" t="s">
        <v>233</v>
      </c>
      <c r="BD677" s="8" t="s">
        <v>233</v>
      </c>
      <c r="BE677" s="4" t="s">
        <v>233</v>
      </c>
      <c r="BF677" s="8" t="s">
        <v>233</v>
      </c>
      <c r="BG677" s="7" t="s">
        <v>233</v>
      </c>
      <c r="BH677" s="7" t="s">
        <v>233</v>
      </c>
      <c r="BI677" s="7"/>
      <c r="BJ677" s="4">
        <v>165</v>
      </c>
      <c r="BK677" s="8">
        <v>4637.27</v>
      </c>
      <c r="BL677" s="2" t="s">
        <v>808</v>
      </c>
      <c r="BM677" s="7"/>
      <c r="BN677" s="7"/>
      <c r="BO677" s="4"/>
      <c r="BP677" s="8"/>
      <c r="BQ677" s="4"/>
      <c r="BR677" s="8"/>
      <c r="BS677" s="7"/>
      <c r="BT677" s="7"/>
      <c r="BU677" s="2" t="s">
        <v>3760</v>
      </c>
      <c r="BV677" s="2" t="s">
        <v>233</v>
      </c>
      <c r="BW677" s="2" t="s">
        <v>233</v>
      </c>
      <c r="BX677" s="2" t="s">
        <v>241</v>
      </c>
      <c r="BY677" s="2" t="s">
        <v>242</v>
      </c>
      <c r="BZ677" s="2" t="s">
        <v>230</v>
      </c>
      <c r="CA677" s="2" t="s">
        <v>243</v>
      </c>
      <c r="CB677" s="2" t="s">
        <v>1359</v>
      </c>
      <c r="CC677" s="2" t="s">
        <v>245</v>
      </c>
      <c r="CD677" s="2" t="s">
        <v>233</v>
      </c>
      <c r="CE677" s="4">
        <v>381</v>
      </c>
      <c r="CF677" s="4">
        <v>110</v>
      </c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>
        <v>140</v>
      </c>
      <c r="DP677" s="4"/>
      <c r="DQ677" s="4"/>
      <c r="DR677" s="4"/>
      <c r="DS677" s="4"/>
      <c r="DT677" s="4"/>
      <c r="DU677" s="4"/>
      <c r="DV677" s="4"/>
      <c r="DW677" s="4"/>
      <c r="DX677" s="4"/>
      <c r="DY677" s="4">
        <v>220</v>
      </c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>
        <v>350</v>
      </c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>
        <v>512</v>
      </c>
      <c r="GD677" s="4">
        <v>458</v>
      </c>
      <c r="GE677" s="4">
        <v>398</v>
      </c>
      <c r="GF677" s="4">
        <v>332</v>
      </c>
      <c r="GG677" s="4">
        <v>330</v>
      </c>
      <c r="GH677" s="4">
        <v>226</v>
      </c>
      <c r="GI677" s="4">
        <v>340</v>
      </c>
      <c r="GJ677" s="4">
        <v>278</v>
      </c>
      <c r="GK677" s="4">
        <v>238</v>
      </c>
      <c r="GL677" s="4">
        <v>210</v>
      </c>
      <c r="GM677" s="4">
        <v>182</v>
      </c>
      <c r="GN677" s="4">
        <v>154</v>
      </c>
      <c r="GO677" s="4">
        <v>126</v>
      </c>
      <c r="GP677" s="4">
        <v>90</v>
      </c>
      <c r="GQ677" s="4">
        <v>62</v>
      </c>
      <c r="GR677" s="4">
        <v>392</v>
      </c>
      <c r="GS677" s="4">
        <v>372</v>
      </c>
      <c r="GT677" s="4">
        <v>350</v>
      </c>
      <c r="GU677" s="4">
        <v>330</v>
      </c>
      <c r="GV677" s="4">
        <v>310</v>
      </c>
      <c r="GW677" s="4">
        <v>290</v>
      </c>
      <c r="GX677" s="4">
        <v>270</v>
      </c>
      <c r="GY677" s="4">
        <v>250</v>
      </c>
      <c r="GZ677" s="4">
        <v>230</v>
      </c>
      <c r="HA677" s="4">
        <v>210</v>
      </c>
      <c r="HB677" s="4">
        <v>190</v>
      </c>
      <c r="HC677" s="19">
        <v>6.4</v>
      </c>
      <c r="HD677" s="19">
        <v>4.9</v>
      </c>
      <c r="HE677" s="19">
        <v>3.8</v>
      </c>
      <c r="HF677" s="19">
        <v>3.2</v>
      </c>
      <c r="HG677" s="19">
        <v>4.2</v>
      </c>
      <c r="HH677" s="19">
        <v>3.8</v>
      </c>
      <c r="HI677" s="19">
        <v>8.5</v>
      </c>
      <c r="HJ677" s="19">
        <v>9</v>
      </c>
      <c r="HK677" s="19">
        <v>8.5</v>
      </c>
      <c r="HL677" s="19">
        <v>7</v>
      </c>
      <c r="HM677" s="19">
        <v>6.1</v>
      </c>
      <c r="HN677" s="19">
        <v>5.5</v>
      </c>
      <c r="HO677" s="19">
        <v>4.8</v>
      </c>
      <c r="HP677" s="19">
        <v>4.1</v>
      </c>
      <c r="HQ677" s="19">
        <v>3.1</v>
      </c>
      <c r="HR677" s="19">
        <v>19.6</v>
      </c>
      <c r="HS677" s="19">
        <v>18.6</v>
      </c>
      <c r="HT677" s="19">
        <v>17.5</v>
      </c>
      <c r="HU677" s="19">
        <v>16.5</v>
      </c>
      <c r="HV677" s="19">
        <v>15.5</v>
      </c>
      <c r="HW677" s="19">
        <v>14.5</v>
      </c>
      <c r="HX677" s="19">
        <v>13.5</v>
      </c>
      <c r="HY677" s="19">
        <v>12.5</v>
      </c>
      <c r="HZ677" s="19">
        <v>11.5</v>
      </c>
      <c r="IA677" s="19">
        <v>11.1</v>
      </c>
      <c r="IB677" s="19">
        <v>10.6</v>
      </c>
    </row>
    <row r="678">
      <c r="A678" s="2" t="s">
        <v>3776</v>
      </c>
      <c r="B678" s="2" t="s">
        <v>773</v>
      </c>
      <c r="C678" s="2" t="s">
        <v>343</v>
      </c>
      <c r="D678" s="2" t="s">
        <v>261</v>
      </c>
      <c r="E678" s="2" t="s">
        <v>895</v>
      </c>
      <c r="F678" s="2" t="s">
        <v>3754</v>
      </c>
      <c r="G678" s="2" t="s">
        <v>3755</v>
      </c>
      <c r="H678" s="2" t="s">
        <v>3755</v>
      </c>
      <c r="I678" s="2" t="s">
        <v>3756</v>
      </c>
      <c r="J678" s="2" t="s">
        <v>1052</v>
      </c>
      <c r="K678" s="2" t="s">
        <v>3777</v>
      </c>
      <c r="L678" s="3">
        <v>19.46</v>
      </c>
      <c r="M678" s="3">
        <v>20.43</v>
      </c>
      <c r="N678" s="3">
        <v>39.99</v>
      </c>
      <c r="O678" s="2" t="s">
        <v>230</v>
      </c>
      <c r="P678" s="2" t="s">
        <v>231</v>
      </c>
      <c r="Q678" s="2" t="s">
        <v>232</v>
      </c>
      <c r="R678" s="2" t="s">
        <v>233</v>
      </c>
      <c r="S678" s="2" t="s">
        <v>3778</v>
      </c>
      <c r="T678" s="2" t="s">
        <v>469</v>
      </c>
      <c r="U678" s="2" t="s">
        <v>233</v>
      </c>
      <c r="V678" s="2" t="s">
        <v>236</v>
      </c>
      <c r="W678" s="2" t="s">
        <v>237</v>
      </c>
      <c r="X678" s="2" t="s">
        <v>233</v>
      </c>
      <c r="Y678" s="2" t="s">
        <v>2522</v>
      </c>
      <c r="Z678" s="4">
        <v>539</v>
      </c>
      <c r="AA678" s="4">
        <f>=ROUNDDOWN(53.9,0)</f>
      </c>
      <c r="AB678" s="5">
        <v>10</v>
      </c>
      <c r="AC678" s="2" t="s">
        <v>233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233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 t="s">
        <v>233</v>
      </c>
      <c r="BD678" s="8" t="s">
        <v>233</v>
      </c>
      <c r="BE678" s="4" t="s">
        <v>233</v>
      </c>
      <c r="BF678" s="8" t="s">
        <v>233</v>
      </c>
      <c r="BG678" s="7" t="s">
        <v>233</v>
      </c>
      <c r="BH678" s="7" t="s">
        <v>233</v>
      </c>
      <c r="BI678" s="7"/>
      <c r="BJ678" s="4">
        <v>24</v>
      </c>
      <c r="BK678" s="8">
        <v>504.99</v>
      </c>
      <c r="BL678" s="2" t="s">
        <v>3779</v>
      </c>
      <c r="BM678" s="7"/>
      <c r="BN678" s="7"/>
      <c r="BO678" s="4"/>
      <c r="BP678" s="8"/>
      <c r="BQ678" s="4"/>
      <c r="BR678" s="8"/>
      <c r="BS678" s="7"/>
      <c r="BT678" s="7"/>
      <c r="BU678" s="2" t="s">
        <v>3760</v>
      </c>
      <c r="BV678" s="2" t="s">
        <v>233</v>
      </c>
      <c r="BW678" s="2" t="s">
        <v>233</v>
      </c>
      <c r="BX678" s="2" t="s">
        <v>241</v>
      </c>
      <c r="BY678" s="2" t="s">
        <v>242</v>
      </c>
      <c r="BZ678" s="2" t="s">
        <v>230</v>
      </c>
      <c r="CA678" s="2" t="s">
        <v>498</v>
      </c>
      <c r="CB678" s="2" t="s">
        <v>3780</v>
      </c>
      <c r="CC678" s="2" t="s">
        <v>245</v>
      </c>
      <c r="CD678" s="2" t="s">
        <v>233</v>
      </c>
      <c r="CE678" s="4">
        <v>480</v>
      </c>
      <c r="CF678" s="4">
        <v>59</v>
      </c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>
        <v>542</v>
      </c>
      <c r="GD678" s="4">
        <v>529</v>
      </c>
      <c r="GE678" s="4">
        <v>513</v>
      </c>
      <c r="GF678" s="4">
        <v>495</v>
      </c>
      <c r="GG678" s="4">
        <v>457</v>
      </c>
      <c r="GH678" s="4">
        <v>425</v>
      </c>
      <c r="GI678" s="4">
        <v>392</v>
      </c>
      <c r="GJ678" s="4">
        <v>373</v>
      </c>
      <c r="GK678" s="4">
        <v>361</v>
      </c>
      <c r="GL678" s="4">
        <v>353</v>
      </c>
      <c r="GM678" s="4">
        <v>345</v>
      </c>
      <c r="GN678" s="4">
        <v>337</v>
      </c>
      <c r="GO678" s="4">
        <v>329</v>
      </c>
      <c r="GP678" s="4">
        <v>321</v>
      </c>
      <c r="GQ678" s="4">
        <v>313</v>
      </c>
      <c r="GR678" s="4">
        <v>304</v>
      </c>
      <c r="GS678" s="4">
        <v>295</v>
      </c>
      <c r="GT678" s="4">
        <v>285</v>
      </c>
      <c r="GU678" s="4">
        <v>276</v>
      </c>
      <c r="GV678" s="4">
        <v>264</v>
      </c>
      <c r="GW678" s="4">
        <v>252</v>
      </c>
      <c r="GX678" s="4">
        <v>240</v>
      </c>
      <c r="GY678" s="4">
        <v>228</v>
      </c>
      <c r="GZ678" s="4">
        <v>217</v>
      </c>
      <c r="HA678" s="4">
        <v>206</v>
      </c>
      <c r="HB678" s="4">
        <v>195</v>
      </c>
      <c r="HC678" s="19">
        <v>25.8</v>
      </c>
      <c r="HD678" s="19">
        <v>20.3</v>
      </c>
      <c r="HE678" s="19">
        <v>17.1</v>
      </c>
      <c r="HF678" s="19">
        <v>16.5</v>
      </c>
      <c r="HG678" s="19">
        <v>19</v>
      </c>
      <c r="HH678" s="19">
        <v>23.6</v>
      </c>
      <c r="HI678" s="19">
        <v>32.7</v>
      </c>
      <c r="HJ678" s="19">
        <v>41.4</v>
      </c>
      <c r="HK678" s="19">
        <v>45.1</v>
      </c>
      <c r="HL678" s="19">
        <v>44.1</v>
      </c>
      <c r="HM678" s="19">
        <v>43.1</v>
      </c>
      <c r="HN678" s="19">
        <v>42.1</v>
      </c>
      <c r="HO678" s="19">
        <v>41.1</v>
      </c>
      <c r="HP678" s="19">
        <v>35.7</v>
      </c>
      <c r="HQ678" s="19">
        <v>34.8</v>
      </c>
      <c r="HR678" s="19">
        <v>30.4</v>
      </c>
      <c r="HS678" s="19">
        <v>26.8</v>
      </c>
      <c r="HT678" s="19">
        <v>25.9</v>
      </c>
      <c r="HU678" s="19">
        <v>23</v>
      </c>
      <c r="HV678" s="19">
        <v>22</v>
      </c>
      <c r="HW678" s="19">
        <v>21</v>
      </c>
      <c r="HX678" s="19">
        <v>21.8</v>
      </c>
      <c r="HY678" s="19">
        <v>20.7</v>
      </c>
      <c r="HZ678" s="19">
        <v>19.7</v>
      </c>
      <c r="IA678" s="19">
        <v>17.2</v>
      </c>
      <c r="IB678" s="19">
        <v>16.3</v>
      </c>
    </row>
    <row r="679">
      <c r="A679" s="2" t="s">
        <v>3781</v>
      </c>
      <c r="B679" s="2" t="s">
        <v>773</v>
      </c>
      <c r="C679" s="2" t="s">
        <v>343</v>
      </c>
      <c r="D679" s="2" t="s">
        <v>261</v>
      </c>
      <c r="E679" s="2" t="s">
        <v>895</v>
      </c>
      <c r="F679" s="2" t="s">
        <v>3754</v>
      </c>
      <c r="G679" s="2" t="s">
        <v>3755</v>
      </c>
      <c r="H679" s="2" t="s">
        <v>3755</v>
      </c>
      <c r="I679" s="2" t="s">
        <v>3756</v>
      </c>
      <c r="J679" s="2" t="s">
        <v>265</v>
      </c>
      <c r="K679" s="2" t="s">
        <v>3782</v>
      </c>
      <c r="L679" s="3">
        <v>25.7</v>
      </c>
      <c r="M679" s="3">
        <v>26.98</v>
      </c>
      <c r="N679" s="3">
        <v>51.99</v>
      </c>
      <c r="O679" s="2" t="s">
        <v>230</v>
      </c>
      <c r="P679" s="2" t="s">
        <v>231</v>
      </c>
      <c r="Q679" s="2" t="s">
        <v>232</v>
      </c>
      <c r="R679" s="2" t="s">
        <v>233</v>
      </c>
      <c r="S679" s="2" t="s">
        <v>3783</v>
      </c>
      <c r="T679" s="2" t="s">
        <v>469</v>
      </c>
      <c r="U679" s="2" t="s">
        <v>233</v>
      </c>
      <c r="V679" s="2" t="s">
        <v>236</v>
      </c>
      <c r="W679" s="2" t="s">
        <v>237</v>
      </c>
      <c r="X679" s="2" t="s">
        <v>233</v>
      </c>
      <c r="Y679" s="2" t="s">
        <v>238</v>
      </c>
      <c r="Z679" s="4">
        <v>314</v>
      </c>
      <c r="AA679" s="4">
        <f>=ROUNDDOWN(18.4705882352941,0)</f>
      </c>
      <c r="AB679" s="5">
        <v>17</v>
      </c>
      <c r="AC679" s="2" t="s">
        <v>145</v>
      </c>
      <c r="AD679" s="4">
        <v>150</v>
      </c>
      <c r="AE679" s="4">
        <v>632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233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233</v>
      </c>
      <c r="AW679" s="8" t="s">
        <v>233</v>
      </c>
      <c r="AX679" s="4" t="s">
        <v>233</v>
      </c>
      <c r="AY679" s="8" t="s">
        <v>233</v>
      </c>
      <c r="AZ679" s="7" t="s">
        <v>233</v>
      </c>
      <c r="BA679" s="7" t="s">
        <v>233</v>
      </c>
      <c r="BB679" s="7"/>
      <c r="BC679" s="4" t="s">
        <v>233</v>
      </c>
      <c r="BD679" s="8" t="s">
        <v>233</v>
      </c>
      <c r="BE679" s="4" t="s">
        <v>233</v>
      </c>
      <c r="BF679" s="8" t="s">
        <v>233</v>
      </c>
      <c r="BG679" s="7" t="s">
        <v>233</v>
      </c>
      <c r="BH679" s="7" t="s">
        <v>233</v>
      </c>
      <c r="BI679" s="7"/>
      <c r="BJ679" s="4">
        <v>109</v>
      </c>
      <c r="BK679" s="8">
        <v>2997.56</v>
      </c>
      <c r="BL679" s="2" t="s">
        <v>3784</v>
      </c>
      <c r="BM679" s="7"/>
      <c r="BN679" s="7"/>
      <c r="BO679" s="4"/>
      <c r="BP679" s="8"/>
      <c r="BQ679" s="4"/>
      <c r="BR679" s="8"/>
      <c r="BS679" s="7"/>
      <c r="BT679" s="7"/>
      <c r="BU679" s="2" t="s">
        <v>3760</v>
      </c>
      <c r="BV679" s="2" t="s">
        <v>233</v>
      </c>
      <c r="BW679" s="2" t="s">
        <v>233</v>
      </c>
      <c r="BX679" s="2" t="s">
        <v>241</v>
      </c>
      <c r="BY679" s="2" t="s">
        <v>242</v>
      </c>
      <c r="BZ679" s="2" t="s">
        <v>230</v>
      </c>
      <c r="CA679" s="2" t="s">
        <v>243</v>
      </c>
      <c r="CB679" s="2" t="s">
        <v>568</v>
      </c>
      <c r="CC679" s="2" t="s">
        <v>245</v>
      </c>
      <c r="CD679" s="2" t="s">
        <v>233</v>
      </c>
      <c r="CE679" s="4">
        <v>314</v>
      </c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>
        <v>150</v>
      </c>
      <c r="DH679" s="4"/>
      <c r="DI679" s="4"/>
      <c r="DJ679" s="4"/>
      <c r="DK679" s="4"/>
      <c r="DL679" s="4"/>
      <c r="DM679" s="4"/>
      <c r="DN679" s="4"/>
      <c r="DO679" s="4">
        <v>300</v>
      </c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>
        <v>182</v>
      </c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>
        <v>328</v>
      </c>
      <c r="GD679" s="4">
        <v>285</v>
      </c>
      <c r="GE679" s="4">
        <v>234</v>
      </c>
      <c r="GF679" s="4">
        <v>328</v>
      </c>
      <c r="GG679" s="4">
        <v>507</v>
      </c>
      <c r="GH679" s="4">
        <v>419</v>
      </c>
      <c r="GI679" s="4">
        <v>329</v>
      </c>
      <c r="GJ679" s="4">
        <v>276</v>
      </c>
      <c r="GK679" s="4">
        <v>424</v>
      </c>
      <c r="GL679" s="4">
        <v>400</v>
      </c>
      <c r="GM679" s="4">
        <v>376</v>
      </c>
      <c r="GN679" s="4">
        <v>352</v>
      </c>
      <c r="GO679" s="4">
        <v>328</v>
      </c>
      <c r="GP679" s="4">
        <v>297</v>
      </c>
      <c r="GQ679" s="4">
        <v>273</v>
      </c>
      <c r="GR679" s="4">
        <v>256</v>
      </c>
      <c r="GS679" s="4">
        <v>239</v>
      </c>
      <c r="GT679" s="4">
        <v>220</v>
      </c>
      <c r="GU679" s="4">
        <v>203</v>
      </c>
      <c r="GV679" s="4">
        <v>186</v>
      </c>
      <c r="GW679" s="4">
        <v>169</v>
      </c>
      <c r="GX679" s="4">
        <v>152</v>
      </c>
      <c r="GY679" s="4">
        <v>135</v>
      </c>
      <c r="GZ679" s="4">
        <v>118</v>
      </c>
      <c r="HA679" s="4">
        <v>101</v>
      </c>
      <c r="HB679" s="4">
        <v>84</v>
      </c>
      <c r="HC679" s="19">
        <v>4.8</v>
      </c>
      <c r="HD679" s="19">
        <v>3.6</v>
      </c>
      <c r="HE679" s="19">
        <v>2.6</v>
      </c>
      <c r="HF679" s="19">
        <v>3.7</v>
      </c>
      <c r="HG679" s="19">
        <v>7.7</v>
      </c>
      <c r="HH679" s="19">
        <v>8.4</v>
      </c>
      <c r="HI679" s="19">
        <v>9.7</v>
      </c>
      <c r="HJ679" s="19">
        <v>10.6</v>
      </c>
      <c r="HK679" s="19">
        <v>17.7</v>
      </c>
      <c r="HL679" s="19">
        <v>15.4</v>
      </c>
      <c r="HM679" s="19">
        <v>14.5</v>
      </c>
      <c r="HN679" s="19">
        <v>14.7</v>
      </c>
      <c r="HO679" s="19">
        <v>14.9</v>
      </c>
      <c r="HP679" s="19">
        <v>15.6</v>
      </c>
      <c r="HQ679" s="19">
        <v>15.2</v>
      </c>
      <c r="HR679" s="19">
        <v>14.2</v>
      </c>
      <c r="HS679" s="19">
        <v>13.3</v>
      </c>
      <c r="HT679" s="19">
        <v>12.9</v>
      </c>
      <c r="HU679" s="19">
        <v>11.9</v>
      </c>
      <c r="HV679" s="19">
        <v>10.9</v>
      </c>
      <c r="HW679" s="19">
        <v>9.9</v>
      </c>
      <c r="HX679" s="19">
        <v>8.9</v>
      </c>
      <c r="HY679" s="19">
        <v>7.9</v>
      </c>
      <c r="HZ679" s="19">
        <v>6.9</v>
      </c>
      <c r="IA679" s="19">
        <v>6.3</v>
      </c>
      <c r="IB679" s="19">
        <v>5.3</v>
      </c>
    </row>
    <row r="680">
      <c r="A680" s="2" t="s">
        <v>3785</v>
      </c>
      <c r="B680" s="2" t="s">
        <v>773</v>
      </c>
      <c r="C680" s="2" t="s">
        <v>343</v>
      </c>
      <c r="D680" s="2" t="s">
        <v>261</v>
      </c>
      <c r="E680" s="2" t="s">
        <v>895</v>
      </c>
      <c r="F680" s="2" t="s">
        <v>3754</v>
      </c>
      <c r="G680" s="2" t="s">
        <v>3755</v>
      </c>
      <c r="H680" s="2" t="s">
        <v>3755</v>
      </c>
      <c r="I680" s="2" t="s">
        <v>3756</v>
      </c>
      <c r="J680" s="2" t="s">
        <v>256</v>
      </c>
      <c r="K680" s="2" t="s">
        <v>3782</v>
      </c>
      <c r="L680" s="3">
        <v>30.65</v>
      </c>
      <c r="M680" s="3">
        <v>32.18</v>
      </c>
      <c r="N680" s="3">
        <v>62.99</v>
      </c>
      <c r="O680" s="2" t="s">
        <v>230</v>
      </c>
      <c r="P680" s="2" t="s">
        <v>231</v>
      </c>
      <c r="Q680" s="2" t="s">
        <v>232</v>
      </c>
      <c r="R680" s="2" t="s">
        <v>233</v>
      </c>
      <c r="S680" s="2" t="s">
        <v>3783</v>
      </c>
      <c r="T680" s="2" t="s">
        <v>469</v>
      </c>
      <c r="U680" s="2" t="s">
        <v>233</v>
      </c>
      <c r="V680" s="2" t="s">
        <v>236</v>
      </c>
      <c r="W680" s="2" t="s">
        <v>237</v>
      </c>
      <c r="X680" s="2" t="s">
        <v>233</v>
      </c>
      <c r="Y680" s="2" t="s">
        <v>238</v>
      </c>
      <c r="Z680" s="4">
        <v>248</v>
      </c>
      <c r="AA680" s="4">
        <f>=ROUNDDOWN(31,0)</f>
      </c>
      <c r="AB680" s="5">
        <v>8</v>
      </c>
      <c r="AC680" s="2" t="s">
        <v>145</v>
      </c>
      <c r="AD680" s="4">
        <v>130</v>
      </c>
      <c r="AE680" s="4">
        <v>279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233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233</v>
      </c>
      <c r="AW680" s="8" t="s">
        <v>233</v>
      </c>
      <c r="AX680" s="4" t="s">
        <v>233</v>
      </c>
      <c r="AY680" s="8" t="s">
        <v>233</v>
      </c>
      <c r="AZ680" s="7" t="s">
        <v>233</v>
      </c>
      <c r="BA680" s="7" t="s">
        <v>233</v>
      </c>
      <c r="BB680" s="7"/>
      <c r="BC680" s="4" t="s">
        <v>233</v>
      </c>
      <c r="BD680" s="8" t="s">
        <v>233</v>
      </c>
      <c r="BE680" s="4" t="s">
        <v>233</v>
      </c>
      <c r="BF680" s="8" t="s">
        <v>233</v>
      </c>
      <c r="BG680" s="7" t="s">
        <v>233</v>
      </c>
      <c r="BH680" s="7" t="s">
        <v>233</v>
      </c>
      <c r="BI680" s="7"/>
      <c r="BJ680" s="4">
        <v>29</v>
      </c>
      <c r="BK680" s="8">
        <v>954.31</v>
      </c>
      <c r="BL680" s="2" t="s">
        <v>3786</v>
      </c>
      <c r="BM680" s="7"/>
      <c r="BN680" s="7"/>
      <c r="BO680" s="4"/>
      <c r="BP680" s="8"/>
      <c r="BQ680" s="4"/>
      <c r="BR680" s="8"/>
      <c r="BS680" s="7"/>
      <c r="BT680" s="7"/>
      <c r="BU680" s="2" t="s">
        <v>3760</v>
      </c>
      <c r="BV680" s="2" t="s">
        <v>233</v>
      </c>
      <c r="BW680" s="2" t="s">
        <v>233</v>
      </c>
      <c r="BX680" s="2" t="s">
        <v>241</v>
      </c>
      <c r="BY680" s="2" t="s">
        <v>242</v>
      </c>
      <c r="BZ680" s="2" t="s">
        <v>230</v>
      </c>
      <c r="CA680" s="2" t="s">
        <v>243</v>
      </c>
      <c r="CB680" s="2" t="s">
        <v>1062</v>
      </c>
      <c r="CC680" s="2" t="s">
        <v>245</v>
      </c>
      <c r="CD680" s="2" t="s">
        <v>233</v>
      </c>
      <c r="CE680" s="4">
        <v>248</v>
      </c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>
        <v>130</v>
      </c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>
        <v>149</v>
      </c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>
        <v>250</v>
      </c>
      <c r="GD680" s="4">
        <v>240</v>
      </c>
      <c r="GE680" s="4">
        <v>227</v>
      </c>
      <c r="GF680" s="4">
        <v>343</v>
      </c>
      <c r="GG680" s="4">
        <v>313</v>
      </c>
      <c r="GH680" s="4">
        <v>279</v>
      </c>
      <c r="GI680" s="4">
        <v>244</v>
      </c>
      <c r="GJ680" s="4">
        <v>223</v>
      </c>
      <c r="GK680" s="4">
        <v>359</v>
      </c>
      <c r="GL680" s="4">
        <v>345</v>
      </c>
      <c r="GM680" s="4">
        <v>331</v>
      </c>
      <c r="GN680" s="4">
        <v>317</v>
      </c>
      <c r="GO680" s="4">
        <v>303</v>
      </c>
      <c r="GP680" s="4">
        <v>286</v>
      </c>
      <c r="GQ680" s="4">
        <v>272</v>
      </c>
      <c r="GR680" s="4">
        <v>265</v>
      </c>
      <c r="GS680" s="4">
        <v>258</v>
      </c>
      <c r="GT680" s="4">
        <v>250</v>
      </c>
      <c r="GU680" s="4">
        <v>243</v>
      </c>
      <c r="GV680" s="4">
        <v>234</v>
      </c>
      <c r="GW680" s="4">
        <v>225</v>
      </c>
      <c r="GX680" s="4">
        <v>216</v>
      </c>
      <c r="GY680" s="4">
        <v>207</v>
      </c>
      <c r="GZ680" s="4">
        <v>201</v>
      </c>
      <c r="HA680" s="4">
        <v>195</v>
      </c>
      <c r="HB680" s="4">
        <v>189</v>
      </c>
      <c r="HC680" s="19">
        <v>14.7</v>
      </c>
      <c r="HD680" s="19">
        <v>10.4</v>
      </c>
      <c r="HE680" s="19">
        <v>8.1</v>
      </c>
      <c r="HF680" s="19">
        <v>11.4</v>
      </c>
      <c r="HG680" s="19">
        <v>12</v>
      </c>
      <c r="HH680" s="19">
        <v>13.3</v>
      </c>
      <c r="HI680" s="19">
        <v>15.3</v>
      </c>
      <c r="HJ680" s="19">
        <v>15.9</v>
      </c>
      <c r="HK680" s="19">
        <v>25.6</v>
      </c>
      <c r="HL680" s="19">
        <v>23</v>
      </c>
      <c r="HM680" s="19">
        <v>22.1</v>
      </c>
      <c r="HN680" s="19">
        <v>24.4</v>
      </c>
      <c r="HO680" s="19">
        <v>27.5</v>
      </c>
      <c r="HP680" s="19">
        <v>31.8</v>
      </c>
      <c r="HQ680" s="19">
        <v>38.9</v>
      </c>
      <c r="HR680" s="19">
        <v>33.1</v>
      </c>
      <c r="HS680" s="19">
        <v>32.3</v>
      </c>
      <c r="HT680" s="19">
        <v>31.3</v>
      </c>
      <c r="HU680" s="19">
        <v>27</v>
      </c>
      <c r="HV680" s="19">
        <v>29.3</v>
      </c>
      <c r="HW680" s="19">
        <v>28.1</v>
      </c>
      <c r="HX680" s="19">
        <v>30.9</v>
      </c>
      <c r="HY680" s="19">
        <v>34.5</v>
      </c>
      <c r="HZ680" s="19">
        <v>33.5</v>
      </c>
      <c r="IA680" s="19">
        <v>32.5</v>
      </c>
      <c r="IB680" s="19">
        <v>27</v>
      </c>
    </row>
    <row r="681">
      <c r="A681" s="2" t="s">
        <v>3787</v>
      </c>
      <c r="B681" s="2" t="s">
        <v>923</v>
      </c>
      <c r="C681" s="2" t="s">
        <v>280</v>
      </c>
      <c r="D681" s="2" t="s">
        <v>924</v>
      </c>
      <c r="E681" s="2" t="s">
        <v>925</v>
      </c>
      <c r="F681" s="2" t="s">
        <v>3788</v>
      </c>
      <c r="G681" s="2" t="s">
        <v>3789</v>
      </c>
      <c r="H681" s="2" t="s">
        <v>3790</v>
      </c>
      <c r="I681" s="2" t="s">
        <v>3791</v>
      </c>
      <c r="J681" s="2" t="s">
        <v>961</v>
      </c>
      <c r="K681" s="2" t="s">
        <v>671</v>
      </c>
      <c r="L681" s="3">
        <v>16.24</v>
      </c>
      <c r="M681" s="3">
        <v>17.05</v>
      </c>
      <c r="N681" s="3">
        <v>32.99</v>
      </c>
      <c r="O681" s="2" t="s">
        <v>230</v>
      </c>
      <c r="P681" s="2" t="s">
        <v>231</v>
      </c>
      <c r="Q681" s="2" t="s">
        <v>232</v>
      </c>
      <c r="R681" s="2" t="s">
        <v>233</v>
      </c>
      <c r="S681" s="2" t="s">
        <v>3792</v>
      </c>
      <c r="T681" s="2" t="s">
        <v>233</v>
      </c>
      <c r="U681" s="2" t="s">
        <v>329</v>
      </c>
      <c r="V681" s="2" t="s">
        <v>236</v>
      </c>
      <c r="W681" s="2" t="s">
        <v>237</v>
      </c>
      <c r="X681" s="2" t="s">
        <v>233</v>
      </c>
      <c r="Y681" s="2" t="s">
        <v>3793</v>
      </c>
      <c r="Z681" s="4">
        <v>477</v>
      </c>
      <c r="AA681" s="4">
        <f>=ROUNDDOWN(47.7,0)</f>
      </c>
      <c r="AB681" s="5">
        <v>10</v>
      </c>
      <c r="AC681" s="2" t="s">
        <v>233</v>
      </c>
      <c r="AD681" s="4"/>
      <c r="AE681" s="4"/>
      <c r="AF681" s="6">
        <v>69</v>
      </c>
      <c r="AG681" s="6"/>
      <c r="AH681" s="7">
        <v>1</v>
      </c>
      <c r="AI681" s="4"/>
      <c r="AJ681" s="4">
        <f>=ROUNDDOWN({0},0)</f>
      </c>
      <c r="AK681" s="5"/>
      <c r="AL681" s="2" t="s">
        <v>233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/>
      <c r="BD681" s="8"/>
      <c r="BE681" s="4"/>
      <c r="BF681" s="8"/>
      <c r="BG681" s="7"/>
      <c r="BH681" s="7"/>
      <c r="BI681" s="7"/>
      <c r="BJ681" s="4">
        <v>29</v>
      </c>
      <c r="BK681" s="8">
        <v>538.43</v>
      </c>
      <c r="BL681" s="2" t="s">
        <v>3794</v>
      </c>
      <c r="BM681" s="7"/>
      <c r="BN681" s="7"/>
      <c r="BO681" s="4"/>
      <c r="BP681" s="8"/>
      <c r="BQ681" s="4"/>
      <c r="BR681" s="8"/>
      <c r="BS681" s="7"/>
      <c r="BT681" s="7"/>
      <c r="BU681" s="2" t="s">
        <v>3795</v>
      </c>
      <c r="BV681" s="2" t="s">
        <v>233</v>
      </c>
      <c r="BW681" s="2" t="s">
        <v>233</v>
      </c>
      <c r="BX681" s="2" t="s">
        <v>293</v>
      </c>
      <c r="BY681" s="2" t="s">
        <v>242</v>
      </c>
      <c r="BZ681" s="2" t="s">
        <v>230</v>
      </c>
      <c r="CA681" s="2" t="s">
        <v>3796</v>
      </c>
      <c r="CB681" s="2" t="s">
        <v>2322</v>
      </c>
      <c r="CC681" s="2" t="s">
        <v>245</v>
      </c>
      <c r="CD681" s="2" t="s">
        <v>233</v>
      </c>
      <c r="CE681" s="4">
        <v>477</v>
      </c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>
        <v>486</v>
      </c>
      <c r="GD681" s="4">
        <v>469</v>
      </c>
      <c r="GE681" s="4">
        <v>459</v>
      </c>
      <c r="GF681" s="4">
        <v>451</v>
      </c>
      <c r="GG681" s="4">
        <v>436</v>
      </c>
      <c r="GH681" s="4">
        <v>426</v>
      </c>
      <c r="GI681" s="4">
        <v>416</v>
      </c>
      <c r="GJ681" s="4">
        <v>410</v>
      </c>
      <c r="GK681" s="4">
        <v>405</v>
      </c>
      <c r="GL681" s="4">
        <v>397</v>
      </c>
      <c r="GM681" s="4">
        <v>390</v>
      </c>
      <c r="GN681" s="4">
        <v>383</v>
      </c>
      <c r="GO681" s="4">
        <v>376</v>
      </c>
      <c r="GP681" s="4">
        <v>369</v>
      </c>
      <c r="GQ681" s="4">
        <v>362</v>
      </c>
      <c r="GR681" s="4">
        <v>355</v>
      </c>
      <c r="GS681" s="4">
        <v>348</v>
      </c>
      <c r="GT681" s="4">
        <v>340</v>
      </c>
      <c r="GU681" s="4">
        <v>330</v>
      </c>
      <c r="GV681" s="4">
        <v>320</v>
      </c>
      <c r="GW681" s="4">
        <v>310</v>
      </c>
      <c r="GX681" s="4">
        <v>300</v>
      </c>
      <c r="GY681" s="4">
        <v>290</v>
      </c>
      <c r="GZ681" s="4">
        <v>280</v>
      </c>
      <c r="HA681" s="4">
        <v>270</v>
      </c>
      <c r="HB681" s="4">
        <v>260</v>
      </c>
      <c r="HC681" s="19">
        <v>40.5</v>
      </c>
      <c r="HD681" s="19">
        <v>42.6</v>
      </c>
      <c r="HE681" s="19">
        <v>41.7</v>
      </c>
      <c r="HF681" s="19">
        <v>45.1</v>
      </c>
      <c r="HG681" s="19">
        <v>54.5</v>
      </c>
      <c r="HH681" s="19">
        <v>60.9</v>
      </c>
      <c r="HI681" s="19">
        <v>69.3</v>
      </c>
      <c r="HJ681" s="19">
        <v>58.6</v>
      </c>
      <c r="HK681" s="19">
        <v>57.9</v>
      </c>
      <c r="HL681" s="19">
        <v>56.7</v>
      </c>
      <c r="HM681" s="19">
        <v>55.7</v>
      </c>
      <c r="HN681" s="19">
        <v>54.7</v>
      </c>
      <c r="HO681" s="19">
        <v>53.7</v>
      </c>
      <c r="HP681" s="19">
        <v>52.7</v>
      </c>
      <c r="HQ681" s="19">
        <v>45.3</v>
      </c>
      <c r="HR681" s="19">
        <v>39.4</v>
      </c>
      <c r="HS681" s="19">
        <v>34.8</v>
      </c>
      <c r="HT681" s="19">
        <v>34</v>
      </c>
      <c r="HU681" s="19">
        <v>33</v>
      </c>
      <c r="HV681" s="19">
        <v>32</v>
      </c>
      <c r="HW681" s="19">
        <v>31</v>
      </c>
      <c r="HX681" s="19">
        <v>30</v>
      </c>
      <c r="HY681" s="19">
        <v>29</v>
      </c>
      <c r="HZ681" s="19">
        <v>28</v>
      </c>
      <c r="IA681" s="19">
        <v>27</v>
      </c>
      <c r="IB681" s="19">
        <v>26</v>
      </c>
    </row>
    <row r="682">
      <c r="A682" s="2" t="s">
        <v>3797</v>
      </c>
      <c r="B682" s="2" t="s">
        <v>872</v>
      </c>
      <c r="C682" s="2" t="s">
        <v>280</v>
      </c>
      <c r="D682" s="2" t="s">
        <v>261</v>
      </c>
      <c r="E682" s="2" t="s">
        <v>603</v>
      </c>
      <c r="F682" s="2" t="s">
        <v>3798</v>
      </c>
      <c r="G682" s="2" t="s">
        <v>3799</v>
      </c>
      <c r="H682" s="2" t="s">
        <v>3800</v>
      </c>
      <c r="I682" s="2" t="s">
        <v>3801</v>
      </c>
      <c r="J682" s="2" t="s">
        <v>285</v>
      </c>
      <c r="K682" s="2" t="s">
        <v>484</v>
      </c>
      <c r="L682" s="3">
        <v>63.06</v>
      </c>
      <c r="M682" s="3">
        <v>66.21</v>
      </c>
      <c r="N682" s="3">
        <v>119.99</v>
      </c>
      <c r="O682" s="2" t="s">
        <v>230</v>
      </c>
      <c r="P682" s="2" t="s">
        <v>231</v>
      </c>
      <c r="Q682" s="2" t="s">
        <v>232</v>
      </c>
      <c r="R682" s="2" t="s">
        <v>233</v>
      </c>
      <c r="S682" s="2" t="s">
        <v>3802</v>
      </c>
      <c r="T682" s="2" t="s">
        <v>233</v>
      </c>
      <c r="U682" s="2" t="s">
        <v>635</v>
      </c>
      <c r="V682" s="2" t="s">
        <v>3611</v>
      </c>
      <c r="W682" s="2" t="s">
        <v>712</v>
      </c>
      <c r="X682" s="2" t="s">
        <v>620</v>
      </c>
      <c r="Y682" s="2" t="s">
        <v>1117</v>
      </c>
      <c r="Z682" s="4">
        <v>180</v>
      </c>
      <c r="AA682" s="4">
        <f>=ROUNDDOWN(45,0)</f>
      </c>
      <c r="AB682" s="5">
        <v>4</v>
      </c>
      <c r="AC682" s="2" t="s">
        <v>140</v>
      </c>
      <c r="AD682" s="4">
        <v>120</v>
      </c>
      <c r="AE682" s="4">
        <v>120</v>
      </c>
      <c r="AF682" s="6">
        <v>65</v>
      </c>
      <c r="AG682" s="6">
        <v>48</v>
      </c>
      <c r="AH682" s="7">
        <v>1</v>
      </c>
      <c r="AI682" s="4"/>
      <c r="AJ682" s="4">
        <f>=ROUNDDOWN({0},0)</f>
      </c>
      <c r="AK682" s="5"/>
      <c r="AL682" s="2" t="s">
        <v>233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/>
      <c r="AW682" s="8"/>
      <c r="AX682" s="4"/>
      <c r="AY682" s="8"/>
      <c r="AZ682" s="7"/>
      <c r="BA682" s="7"/>
      <c r="BB682" s="7"/>
      <c r="BC682" s="4" t="s">
        <v>233</v>
      </c>
      <c r="BD682" s="8" t="s">
        <v>233</v>
      </c>
      <c r="BE682" s="4" t="s">
        <v>233</v>
      </c>
      <c r="BF682" s="8" t="s">
        <v>233</v>
      </c>
      <c r="BG682" s="7" t="s">
        <v>233</v>
      </c>
      <c r="BH682" s="7" t="s">
        <v>233</v>
      </c>
      <c r="BI682" s="7"/>
      <c r="BJ682" s="4">
        <v>10</v>
      </c>
      <c r="BK682" s="8">
        <v>709.06</v>
      </c>
      <c r="BL682" s="2" t="s">
        <v>3803</v>
      </c>
      <c r="BM682" s="7"/>
      <c r="BN682" s="7"/>
      <c r="BO682" s="4"/>
      <c r="BP682" s="8"/>
      <c r="BQ682" s="4"/>
      <c r="BR682" s="8"/>
      <c r="BS682" s="7"/>
      <c r="BT682" s="7"/>
      <c r="BU682" s="2" t="s">
        <v>3804</v>
      </c>
      <c r="BV682" s="2" t="s">
        <v>233</v>
      </c>
      <c r="BW682" s="2" t="s">
        <v>233</v>
      </c>
      <c r="BX682" s="2" t="s">
        <v>293</v>
      </c>
      <c r="BY682" s="2" t="s">
        <v>242</v>
      </c>
      <c r="BZ682" s="2" t="s">
        <v>230</v>
      </c>
      <c r="CA682" s="2" t="s">
        <v>3805</v>
      </c>
      <c r="CB682" s="2" t="s">
        <v>3806</v>
      </c>
      <c r="CC682" s="2" t="s">
        <v>245</v>
      </c>
      <c r="CD682" s="2" t="s">
        <v>233</v>
      </c>
      <c r="CE682" s="4">
        <v>98</v>
      </c>
      <c r="CF682" s="4">
        <v>19</v>
      </c>
      <c r="CG682" s="4"/>
      <c r="CH682" s="4">
        <v>63</v>
      </c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>
        <v>120</v>
      </c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>
        <v>181</v>
      </c>
      <c r="GD682" s="4">
        <v>164</v>
      </c>
      <c r="GE682" s="4">
        <v>275</v>
      </c>
      <c r="GF682" s="4">
        <v>266</v>
      </c>
      <c r="GG682" s="4">
        <v>249</v>
      </c>
      <c r="GH682" s="4">
        <v>241</v>
      </c>
      <c r="GI682" s="4">
        <v>234</v>
      </c>
      <c r="GJ682" s="4">
        <v>229</v>
      </c>
      <c r="GK682" s="4">
        <v>225</v>
      </c>
      <c r="GL682" s="4">
        <v>221</v>
      </c>
      <c r="GM682" s="4">
        <v>72</v>
      </c>
      <c r="GN682" s="4">
        <v>68</v>
      </c>
      <c r="GO682" s="4">
        <v>64</v>
      </c>
      <c r="GP682" s="4">
        <v>60</v>
      </c>
      <c r="GQ682" s="4">
        <v>56</v>
      </c>
      <c r="GR682" s="4">
        <v>52</v>
      </c>
      <c r="GS682" s="4">
        <v>48</v>
      </c>
      <c r="GT682" s="4">
        <v>44</v>
      </c>
      <c r="GU682" s="4">
        <v>40</v>
      </c>
      <c r="GV682" s="4">
        <v>93</v>
      </c>
      <c r="GW682" s="4">
        <v>89</v>
      </c>
      <c r="GX682" s="4">
        <v>85</v>
      </c>
      <c r="GY682" s="4">
        <v>81</v>
      </c>
      <c r="GZ682" s="4">
        <v>77</v>
      </c>
      <c r="HA682" s="4">
        <v>73</v>
      </c>
      <c r="HB682" s="4">
        <v>69</v>
      </c>
      <c r="HC682" s="19">
        <v>14.5</v>
      </c>
      <c r="HD682" s="19">
        <v>14.8</v>
      </c>
      <c r="HE682" s="19">
        <v>36.3</v>
      </c>
      <c r="HF682" s="19">
        <v>36.5</v>
      </c>
      <c r="HG682" s="19">
        <v>52</v>
      </c>
      <c r="HH682" s="19">
        <v>91.7</v>
      </c>
      <c r="HI682" s="19">
        <v>5.6</v>
      </c>
      <c r="HJ682" s="19">
        <v>5.4</v>
      </c>
      <c r="HK682" s="19">
        <v>5.2</v>
      </c>
      <c r="HL682" s="19">
        <v>5</v>
      </c>
      <c r="HM682" s="19">
        <v>9</v>
      </c>
      <c r="HN682" s="19">
        <v>8.5</v>
      </c>
      <c r="HO682" s="19">
        <v>8</v>
      </c>
      <c r="HP682" s="19">
        <v>7.5</v>
      </c>
      <c r="HQ682" s="19">
        <v>7</v>
      </c>
      <c r="HR682" s="19">
        <v>6.5</v>
      </c>
      <c r="HS682" s="19">
        <v>8</v>
      </c>
      <c r="HT682" s="19">
        <v>11</v>
      </c>
      <c r="HU682" s="19">
        <v>10</v>
      </c>
      <c r="HV682" s="19">
        <v>27.5</v>
      </c>
      <c r="HW682" s="19">
        <v>26.5</v>
      </c>
      <c r="HX682" s="19">
        <v>25.5</v>
      </c>
      <c r="HY682" s="19">
        <v>24.5</v>
      </c>
      <c r="HZ682" s="19">
        <v>23.5</v>
      </c>
      <c r="IA682" s="19">
        <v>22.5</v>
      </c>
      <c r="IB682" s="19">
        <v>21.5</v>
      </c>
    </row>
    <row r="683">
      <c r="A683" s="2" t="s">
        <v>3807</v>
      </c>
      <c r="B683" s="2" t="s">
        <v>872</v>
      </c>
      <c r="C683" s="2" t="s">
        <v>280</v>
      </c>
      <c r="D683" s="2" t="s">
        <v>261</v>
      </c>
      <c r="E683" s="2" t="s">
        <v>603</v>
      </c>
      <c r="F683" s="2" t="s">
        <v>3798</v>
      </c>
      <c r="G683" s="2" t="s">
        <v>3799</v>
      </c>
      <c r="H683" s="2" t="s">
        <v>3800</v>
      </c>
      <c r="I683" s="2" t="s">
        <v>3801</v>
      </c>
      <c r="J683" s="2" t="s">
        <v>285</v>
      </c>
      <c r="K683" s="2" t="s">
        <v>300</v>
      </c>
      <c r="L683" s="3">
        <v>63.06</v>
      </c>
      <c r="M683" s="3">
        <v>66.21</v>
      </c>
      <c r="N683" s="3">
        <v>119.99</v>
      </c>
      <c r="O683" s="2" t="s">
        <v>230</v>
      </c>
      <c r="P683" s="2" t="s">
        <v>231</v>
      </c>
      <c r="Q683" s="2" t="s">
        <v>232</v>
      </c>
      <c r="R683" s="2" t="s">
        <v>233</v>
      </c>
      <c r="S683" s="2" t="s">
        <v>3808</v>
      </c>
      <c r="T683" s="2" t="s">
        <v>233</v>
      </c>
      <c r="U683" s="2" t="s">
        <v>635</v>
      </c>
      <c r="V683" s="2" t="s">
        <v>3611</v>
      </c>
      <c r="W683" s="2" t="s">
        <v>712</v>
      </c>
      <c r="X683" s="2" t="s">
        <v>620</v>
      </c>
      <c r="Y683" s="2" t="s">
        <v>3809</v>
      </c>
      <c r="Z683" s="4">
        <v>426</v>
      </c>
      <c r="AA683" s="4">
        <f>=ROUNDDOWN(53.25,0)</f>
      </c>
      <c r="AB683" s="5">
        <v>8</v>
      </c>
      <c r="AC683" s="2" t="s">
        <v>154</v>
      </c>
      <c r="AD683" s="4">
        <v>170</v>
      </c>
      <c r="AE683" s="4">
        <v>170</v>
      </c>
      <c r="AF683" s="6">
        <v>65</v>
      </c>
      <c r="AG683" s="6">
        <v>48</v>
      </c>
      <c r="AH683" s="7">
        <v>1</v>
      </c>
      <c r="AI683" s="4"/>
      <c r="AJ683" s="4">
        <f>=ROUNDDOWN({0},0)</f>
      </c>
      <c r="AK683" s="5"/>
      <c r="AL683" s="2" t="s">
        <v>233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 t="s">
        <v>233</v>
      </c>
      <c r="BD683" s="8" t="s">
        <v>233</v>
      </c>
      <c r="BE683" s="4" t="s">
        <v>233</v>
      </c>
      <c r="BF683" s="8" t="s">
        <v>233</v>
      </c>
      <c r="BG683" s="7" t="s">
        <v>233</v>
      </c>
      <c r="BH683" s="7" t="s">
        <v>233</v>
      </c>
      <c r="BI683" s="7"/>
      <c r="BJ683" s="4">
        <v>39</v>
      </c>
      <c r="BK683" s="8">
        <v>2816.93</v>
      </c>
      <c r="BL683" s="2" t="s">
        <v>3810</v>
      </c>
      <c r="BM683" s="7"/>
      <c r="BN683" s="7"/>
      <c r="BO683" s="4"/>
      <c r="BP683" s="8"/>
      <c r="BQ683" s="4"/>
      <c r="BR683" s="8"/>
      <c r="BS683" s="7"/>
      <c r="BT683" s="7"/>
      <c r="BU683" s="2" t="s">
        <v>3804</v>
      </c>
      <c r="BV683" s="2" t="s">
        <v>233</v>
      </c>
      <c r="BW683" s="2" t="s">
        <v>233</v>
      </c>
      <c r="BX683" s="2" t="s">
        <v>293</v>
      </c>
      <c r="BY683" s="2" t="s">
        <v>242</v>
      </c>
      <c r="BZ683" s="2" t="s">
        <v>230</v>
      </c>
      <c r="CA683" s="2" t="s">
        <v>243</v>
      </c>
      <c r="CB683" s="2" t="s">
        <v>3811</v>
      </c>
      <c r="CC683" s="2" t="s">
        <v>245</v>
      </c>
      <c r="CD683" s="2" t="s">
        <v>233</v>
      </c>
      <c r="CE683" s="4">
        <v>279</v>
      </c>
      <c r="CF683" s="4"/>
      <c r="CG683" s="4"/>
      <c r="CH683" s="4">
        <v>147</v>
      </c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>
        <v>170</v>
      </c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>
        <v>433</v>
      </c>
      <c r="GD683" s="4">
        <v>392</v>
      </c>
      <c r="GE683" s="4">
        <v>358</v>
      </c>
      <c r="GF683" s="4">
        <v>320</v>
      </c>
      <c r="GG683" s="4">
        <v>251</v>
      </c>
      <c r="GH683" s="4">
        <v>408</v>
      </c>
      <c r="GI683" s="4">
        <v>396</v>
      </c>
      <c r="GJ683" s="4">
        <v>388</v>
      </c>
      <c r="GK683" s="4">
        <v>382</v>
      </c>
      <c r="GL683" s="4">
        <v>373</v>
      </c>
      <c r="GM683" s="4">
        <v>215</v>
      </c>
      <c r="GN683" s="4">
        <v>208</v>
      </c>
      <c r="GO683" s="4">
        <v>201</v>
      </c>
      <c r="GP683" s="4">
        <v>194</v>
      </c>
      <c r="GQ683" s="4">
        <v>187</v>
      </c>
      <c r="GR683" s="4">
        <v>180</v>
      </c>
      <c r="GS683" s="4">
        <v>173</v>
      </c>
      <c r="GT683" s="4">
        <v>165</v>
      </c>
      <c r="GU683" s="4">
        <v>158</v>
      </c>
      <c r="GV683" s="4">
        <v>151</v>
      </c>
      <c r="GW683" s="4">
        <v>144</v>
      </c>
      <c r="GX683" s="4">
        <v>137</v>
      </c>
      <c r="GY683" s="4">
        <v>130</v>
      </c>
      <c r="GZ683" s="4">
        <v>123</v>
      </c>
      <c r="HA683" s="4">
        <v>116</v>
      </c>
      <c r="HB683" s="4">
        <v>109</v>
      </c>
      <c r="HC683" s="19">
        <v>10.5</v>
      </c>
      <c r="HD683" s="19">
        <v>11.5</v>
      </c>
      <c r="HE683" s="19">
        <v>11.9</v>
      </c>
      <c r="HF683" s="19">
        <v>13.8</v>
      </c>
      <c r="HG683" s="19">
        <v>34.5</v>
      </c>
      <c r="HH683" s="19">
        <v>76.8</v>
      </c>
      <c r="HI683" s="19">
        <v>13</v>
      </c>
      <c r="HJ683" s="19">
        <v>11.3</v>
      </c>
      <c r="HK683" s="19">
        <v>10.7</v>
      </c>
      <c r="HL683" s="19">
        <v>10.1</v>
      </c>
      <c r="HM683" s="19">
        <v>15.4</v>
      </c>
      <c r="HN683" s="19">
        <v>14.9</v>
      </c>
      <c r="HO683" s="19">
        <v>14.4</v>
      </c>
      <c r="HP683" s="19">
        <v>13.9</v>
      </c>
      <c r="HQ683" s="19">
        <v>13.4</v>
      </c>
      <c r="HR683" s="19">
        <v>12.9</v>
      </c>
      <c r="HS683" s="19">
        <v>12.4</v>
      </c>
      <c r="HT683" s="19">
        <v>11.8</v>
      </c>
      <c r="HU683" s="19">
        <v>11.3</v>
      </c>
      <c r="HV683" s="19">
        <v>10.8</v>
      </c>
      <c r="HW683" s="19">
        <v>10.3</v>
      </c>
      <c r="HX683" s="19">
        <v>9.8</v>
      </c>
      <c r="HY683" s="19">
        <v>9.3</v>
      </c>
      <c r="HZ683" s="19">
        <v>8.8</v>
      </c>
      <c r="IA683" s="19">
        <v>9.7</v>
      </c>
      <c r="IB683" s="19">
        <v>13.7</v>
      </c>
    </row>
    <row r="684">
      <c r="A684" s="2" t="s">
        <v>3812</v>
      </c>
      <c r="B684" s="2" t="s">
        <v>872</v>
      </c>
      <c r="C684" s="2" t="s">
        <v>280</v>
      </c>
      <c r="D684" s="2" t="s">
        <v>261</v>
      </c>
      <c r="E684" s="2" t="s">
        <v>603</v>
      </c>
      <c r="F684" s="2" t="s">
        <v>3798</v>
      </c>
      <c r="G684" s="2" t="s">
        <v>3799</v>
      </c>
      <c r="H684" s="2" t="s">
        <v>3800</v>
      </c>
      <c r="I684" s="2" t="s">
        <v>3801</v>
      </c>
      <c r="J684" s="2" t="s">
        <v>252</v>
      </c>
      <c r="K684" s="2" t="s">
        <v>452</v>
      </c>
      <c r="L684" s="3">
        <v>49.9</v>
      </c>
      <c r="M684" s="3">
        <v>52.4</v>
      </c>
      <c r="N684" s="3">
        <v>89.99</v>
      </c>
      <c r="O684" s="2" t="s">
        <v>230</v>
      </c>
      <c r="P684" s="2" t="s">
        <v>231</v>
      </c>
      <c r="Q684" s="2" t="s">
        <v>232</v>
      </c>
      <c r="R684" s="2" t="s">
        <v>233</v>
      </c>
      <c r="S684" s="2" t="s">
        <v>3813</v>
      </c>
      <c r="T684" s="2" t="s">
        <v>233</v>
      </c>
      <c r="U684" s="2" t="s">
        <v>635</v>
      </c>
      <c r="V684" s="2" t="s">
        <v>3611</v>
      </c>
      <c r="W684" s="2" t="s">
        <v>712</v>
      </c>
      <c r="X684" s="2" t="s">
        <v>620</v>
      </c>
      <c r="Y684" s="2" t="s">
        <v>238</v>
      </c>
      <c r="Z684" s="4">
        <v>221</v>
      </c>
      <c r="AA684" s="4">
        <f>=ROUNDDOWN(36.8333333333333,0)</f>
      </c>
      <c r="AB684" s="5">
        <v>6</v>
      </c>
      <c r="AC684" s="2" t="s">
        <v>140</v>
      </c>
      <c r="AD684" s="4">
        <v>100</v>
      </c>
      <c r="AE684" s="4">
        <v>270</v>
      </c>
      <c r="AF684" s="6">
        <v>65</v>
      </c>
      <c r="AG684" s="6">
        <v>48</v>
      </c>
      <c r="AH684" s="7">
        <v>1</v>
      </c>
      <c r="AI684" s="4"/>
      <c r="AJ684" s="4">
        <f>=ROUNDDOWN({0},0)</f>
      </c>
      <c r="AK684" s="5"/>
      <c r="AL684" s="2" t="s">
        <v>233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233</v>
      </c>
      <c r="AW684" s="8" t="s">
        <v>233</v>
      </c>
      <c r="AX684" s="4" t="s">
        <v>233</v>
      </c>
      <c r="AY684" s="8" t="s">
        <v>233</v>
      </c>
      <c r="AZ684" s="7" t="s">
        <v>233</v>
      </c>
      <c r="BA684" s="7" t="s">
        <v>233</v>
      </c>
      <c r="BB684" s="7"/>
      <c r="BC684" s="4" t="s">
        <v>233</v>
      </c>
      <c r="BD684" s="8" t="s">
        <v>233</v>
      </c>
      <c r="BE684" s="4" t="s">
        <v>233</v>
      </c>
      <c r="BF684" s="8" t="s">
        <v>233</v>
      </c>
      <c r="BG684" s="7" t="s">
        <v>233</v>
      </c>
      <c r="BH684" s="7" t="s">
        <v>233</v>
      </c>
      <c r="BI684" s="7"/>
      <c r="BJ684" s="4">
        <v>19</v>
      </c>
      <c r="BK684" s="8">
        <v>1022.5</v>
      </c>
      <c r="BL684" s="2" t="s">
        <v>507</v>
      </c>
      <c r="BM684" s="7"/>
      <c r="BN684" s="7"/>
      <c r="BO684" s="4"/>
      <c r="BP684" s="8"/>
      <c r="BQ684" s="4"/>
      <c r="BR684" s="8"/>
      <c r="BS684" s="7"/>
      <c r="BT684" s="7"/>
      <c r="BU684" s="2" t="s">
        <v>3804</v>
      </c>
      <c r="BV684" s="2" t="s">
        <v>233</v>
      </c>
      <c r="BW684" s="2" t="s">
        <v>233</v>
      </c>
      <c r="BX684" s="2" t="s">
        <v>293</v>
      </c>
      <c r="BY684" s="2" t="s">
        <v>242</v>
      </c>
      <c r="BZ684" s="2" t="s">
        <v>230</v>
      </c>
      <c r="CA684" s="2" t="s">
        <v>243</v>
      </c>
      <c r="CB684" s="2" t="s">
        <v>3698</v>
      </c>
      <c r="CC684" s="2" t="s">
        <v>245</v>
      </c>
      <c r="CD684" s="2" t="s">
        <v>233</v>
      </c>
      <c r="CE684" s="4">
        <v>98</v>
      </c>
      <c r="CF684" s="4"/>
      <c r="CG684" s="4"/>
      <c r="CH684" s="4">
        <v>55</v>
      </c>
      <c r="CI684" s="4"/>
      <c r="CJ684" s="4"/>
      <c r="CK684" s="4"/>
      <c r="CL684" s="4">
        <v>20</v>
      </c>
      <c r="CM684" s="4"/>
      <c r="CN684" s="4"/>
      <c r="CO684" s="4">
        <v>48</v>
      </c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>
        <v>100</v>
      </c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>
        <v>170</v>
      </c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>
        <v>222</v>
      </c>
      <c r="GD684" s="4">
        <v>197</v>
      </c>
      <c r="GE684" s="4">
        <v>286</v>
      </c>
      <c r="GF684" s="4">
        <v>274</v>
      </c>
      <c r="GG684" s="4">
        <v>251</v>
      </c>
      <c r="GH684" s="4">
        <v>408</v>
      </c>
      <c r="GI684" s="4">
        <v>397</v>
      </c>
      <c r="GJ684" s="4">
        <v>390</v>
      </c>
      <c r="GK684" s="4">
        <v>385</v>
      </c>
      <c r="GL684" s="4">
        <v>379</v>
      </c>
      <c r="GM684" s="4">
        <v>231</v>
      </c>
      <c r="GN684" s="4">
        <v>225</v>
      </c>
      <c r="GO684" s="4">
        <v>219</v>
      </c>
      <c r="GP684" s="4">
        <v>213</v>
      </c>
      <c r="GQ684" s="4">
        <v>207</v>
      </c>
      <c r="GR684" s="4">
        <v>201</v>
      </c>
      <c r="GS684" s="4">
        <v>195</v>
      </c>
      <c r="GT684" s="4">
        <v>189</v>
      </c>
      <c r="GU684" s="4">
        <v>183</v>
      </c>
      <c r="GV684" s="4">
        <v>177</v>
      </c>
      <c r="GW684" s="4">
        <v>171</v>
      </c>
      <c r="GX684" s="4">
        <v>165</v>
      </c>
      <c r="GY684" s="4">
        <v>159</v>
      </c>
      <c r="GZ684" s="4">
        <v>153</v>
      </c>
      <c r="HA684" s="4">
        <v>147</v>
      </c>
      <c r="HB684" s="4">
        <v>141</v>
      </c>
      <c r="HC684" s="19">
        <v>13.6</v>
      </c>
      <c r="HD684" s="19">
        <v>14.7</v>
      </c>
      <c r="HE684" s="19">
        <v>24</v>
      </c>
      <c r="HF684" s="19">
        <v>28.4</v>
      </c>
      <c r="HG684" s="19">
        <v>51.1</v>
      </c>
      <c r="HH684" s="19">
        <v>92.9</v>
      </c>
      <c r="HI684" s="19">
        <v>7.9</v>
      </c>
      <c r="HJ684" s="19">
        <v>7.6</v>
      </c>
      <c r="HK684" s="19">
        <v>7.4</v>
      </c>
      <c r="HL684" s="19">
        <v>7</v>
      </c>
      <c r="HM684" s="19">
        <v>19.3</v>
      </c>
      <c r="HN684" s="19">
        <v>18.8</v>
      </c>
      <c r="HO684" s="19">
        <v>18.3</v>
      </c>
      <c r="HP684" s="19">
        <v>17.8</v>
      </c>
      <c r="HQ684" s="19">
        <v>17.3</v>
      </c>
      <c r="HR684" s="19">
        <v>16.8</v>
      </c>
      <c r="HS684" s="19">
        <v>16.3</v>
      </c>
      <c r="HT684" s="19">
        <v>15.8</v>
      </c>
      <c r="HU684" s="19">
        <v>15.3</v>
      </c>
      <c r="HV684" s="19">
        <v>14.8</v>
      </c>
      <c r="HW684" s="19">
        <v>14.3</v>
      </c>
      <c r="HX684" s="19">
        <v>13.8</v>
      </c>
      <c r="HY684" s="19">
        <v>13.3</v>
      </c>
      <c r="HZ684" s="19">
        <v>12.8</v>
      </c>
      <c r="IA684" s="19">
        <v>12.3</v>
      </c>
      <c r="IB684" s="19">
        <v>11.8</v>
      </c>
    </row>
    <row r="685">
      <c r="A685" s="2" t="s">
        <v>3814</v>
      </c>
      <c r="B685" s="2" t="s">
        <v>872</v>
      </c>
      <c r="C685" s="2" t="s">
        <v>280</v>
      </c>
      <c r="D685" s="2" t="s">
        <v>261</v>
      </c>
      <c r="E685" s="2" t="s">
        <v>603</v>
      </c>
      <c r="F685" s="2" t="s">
        <v>3798</v>
      </c>
      <c r="G685" s="2" t="s">
        <v>3799</v>
      </c>
      <c r="H685" s="2" t="s">
        <v>3800</v>
      </c>
      <c r="I685" s="2" t="s">
        <v>3801</v>
      </c>
      <c r="J685" s="2" t="s">
        <v>285</v>
      </c>
      <c r="K685" s="2" t="s">
        <v>452</v>
      </c>
      <c r="L685" s="3">
        <v>63.06</v>
      </c>
      <c r="M685" s="3">
        <v>66.21</v>
      </c>
      <c r="N685" s="3">
        <v>119.99</v>
      </c>
      <c r="O685" s="2" t="s">
        <v>230</v>
      </c>
      <c r="P685" s="2" t="s">
        <v>231</v>
      </c>
      <c r="Q685" s="2" t="s">
        <v>232</v>
      </c>
      <c r="R685" s="2" t="s">
        <v>233</v>
      </c>
      <c r="S685" s="2" t="s">
        <v>3813</v>
      </c>
      <c r="T685" s="2" t="s">
        <v>233</v>
      </c>
      <c r="U685" s="2" t="s">
        <v>635</v>
      </c>
      <c r="V685" s="2" t="s">
        <v>3611</v>
      </c>
      <c r="W685" s="2" t="s">
        <v>712</v>
      </c>
      <c r="X685" s="2" t="s">
        <v>620</v>
      </c>
      <c r="Y685" s="2" t="s">
        <v>238</v>
      </c>
      <c r="Z685" s="4">
        <v>376</v>
      </c>
      <c r="AA685" s="4">
        <f>=ROUNDDOWN(47,0)</f>
      </c>
      <c r="AB685" s="5">
        <v>8</v>
      </c>
      <c r="AC685" s="2" t="s">
        <v>154</v>
      </c>
      <c r="AD685" s="4">
        <v>100</v>
      </c>
      <c r="AE685" s="4">
        <v>150</v>
      </c>
      <c r="AF685" s="6">
        <v>65</v>
      </c>
      <c r="AG685" s="6">
        <v>48</v>
      </c>
      <c r="AH685" s="7">
        <v>1</v>
      </c>
      <c r="AI685" s="4"/>
      <c r="AJ685" s="4">
        <f>=ROUNDDOWN({0},0)</f>
      </c>
      <c r="AK685" s="5"/>
      <c r="AL685" s="2" t="s">
        <v>233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233</v>
      </c>
      <c r="AW685" s="8" t="s">
        <v>233</v>
      </c>
      <c r="AX685" s="4" t="s">
        <v>233</v>
      </c>
      <c r="AY685" s="8" t="s">
        <v>233</v>
      </c>
      <c r="AZ685" s="7" t="s">
        <v>233</v>
      </c>
      <c r="BA685" s="7" t="s">
        <v>233</v>
      </c>
      <c r="BB685" s="7"/>
      <c r="BC685" s="4" t="s">
        <v>233</v>
      </c>
      <c r="BD685" s="8" t="s">
        <v>233</v>
      </c>
      <c r="BE685" s="4" t="s">
        <v>233</v>
      </c>
      <c r="BF685" s="8" t="s">
        <v>233</v>
      </c>
      <c r="BG685" s="7" t="s">
        <v>233</v>
      </c>
      <c r="BH685" s="7" t="s">
        <v>233</v>
      </c>
      <c r="BI685" s="7"/>
      <c r="BJ685" s="4">
        <v>42</v>
      </c>
      <c r="BK685" s="8">
        <v>2992.3</v>
      </c>
      <c r="BL685" s="2" t="s">
        <v>3815</v>
      </c>
      <c r="BM685" s="7"/>
      <c r="BN685" s="7"/>
      <c r="BO685" s="4"/>
      <c r="BP685" s="8"/>
      <c r="BQ685" s="4"/>
      <c r="BR685" s="8"/>
      <c r="BS685" s="7"/>
      <c r="BT685" s="7"/>
      <c r="BU685" s="2" t="s">
        <v>3804</v>
      </c>
      <c r="BV685" s="2" t="s">
        <v>233</v>
      </c>
      <c r="BW685" s="2" t="s">
        <v>233</v>
      </c>
      <c r="BX685" s="2" t="s">
        <v>293</v>
      </c>
      <c r="BY685" s="2" t="s">
        <v>242</v>
      </c>
      <c r="BZ685" s="2" t="s">
        <v>230</v>
      </c>
      <c r="CA685" s="2" t="s">
        <v>243</v>
      </c>
      <c r="CB685" s="2" t="s">
        <v>1057</v>
      </c>
      <c r="CC685" s="2" t="s">
        <v>245</v>
      </c>
      <c r="CD685" s="2" t="s">
        <v>233</v>
      </c>
      <c r="CE685" s="4">
        <v>143</v>
      </c>
      <c r="CF685" s="4"/>
      <c r="CG685" s="4"/>
      <c r="CH685" s="4">
        <v>133</v>
      </c>
      <c r="CI685" s="4"/>
      <c r="CJ685" s="4"/>
      <c r="CK685" s="4"/>
      <c r="CL685" s="4">
        <v>100</v>
      </c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>
        <v>100</v>
      </c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>
        <v>50</v>
      </c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>
        <v>379</v>
      </c>
      <c r="GD685" s="4">
        <v>350</v>
      </c>
      <c r="GE685" s="4">
        <v>334</v>
      </c>
      <c r="GF685" s="4">
        <v>317</v>
      </c>
      <c r="GG685" s="4">
        <v>285</v>
      </c>
      <c r="GH685" s="4">
        <v>372</v>
      </c>
      <c r="GI685" s="4">
        <v>360</v>
      </c>
      <c r="GJ685" s="4">
        <v>352</v>
      </c>
      <c r="GK685" s="4">
        <v>346</v>
      </c>
      <c r="GL685" s="4">
        <v>388</v>
      </c>
      <c r="GM685" s="4">
        <v>230</v>
      </c>
      <c r="GN685" s="4">
        <v>222</v>
      </c>
      <c r="GO685" s="4">
        <v>214</v>
      </c>
      <c r="GP685" s="4">
        <v>206</v>
      </c>
      <c r="GQ685" s="4">
        <v>198</v>
      </c>
      <c r="GR685" s="4">
        <v>190</v>
      </c>
      <c r="GS685" s="4">
        <v>182</v>
      </c>
      <c r="GT685" s="4">
        <v>174</v>
      </c>
      <c r="GU685" s="4">
        <v>166</v>
      </c>
      <c r="GV685" s="4">
        <v>158</v>
      </c>
      <c r="GW685" s="4">
        <v>150</v>
      </c>
      <c r="GX685" s="4">
        <v>142</v>
      </c>
      <c r="GY685" s="4">
        <v>134</v>
      </c>
      <c r="GZ685" s="4">
        <v>126</v>
      </c>
      <c r="HA685" s="4">
        <v>118</v>
      </c>
      <c r="HB685" s="4">
        <v>110</v>
      </c>
      <c r="HC685" s="19">
        <v>16.5</v>
      </c>
      <c r="HD685" s="19">
        <v>17.2</v>
      </c>
      <c r="HE685" s="19">
        <v>18.3</v>
      </c>
      <c r="HF685" s="19">
        <v>19.6</v>
      </c>
      <c r="HG685" s="19">
        <v>27.9</v>
      </c>
      <c r="HH685" s="19">
        <v>50.2</v>
      </c>
      <c r="HI685" s="19">
        <v>9.2</v>
      </c>
      <c r="HJ685" s="19">
        <v>9</v>
      </c>
      <c r="HK685" s="19">
        <v>8.9</v>
      </c>
      <c r="HL685" s="19">
        <v>9.5</v>
      </c>
      <c r="HM685" s="19">
        <v>31.7</v>
      </c>
      <c r="HN685" s="19">
        <v>30.7</v>
      </c>
      <c r="HO685" s="19">
        <v>29.7</v>
      </c>
      <c r="HP685" s="19">
        <v>28.7</v>
      </c>
      <c r="HQ685" s="19">
        <v>27.7</v>
      </c>
      <c r="HR685" s="19">
        <v>26.7</v>
      </c>
      <c r="HS685" s="19">
        <v>25.7</v>
      </c>
      <c r="HT685" s="19">
        <v>24.7</v>
      </c>
      <c r="HU685" s="19">
        <v>23.7</v>
      </c>
      <c r="HV685" s="19">
        <v>22.7</v>
      </c>
      <c r="HW685" s="19">
        <v>21.7</v>
      </c>
      <c r="HX685" s="19">
        <v>20.7</v>
      </c>
      <c r="HY685" s="19">
        <v>19.7</v>
      </c>
      <c r="HZ685" s="19">
        <v>18.7</v>
      </c>
      <c r="IA685" s="19">
        <v>17.7</v>
      </c>
      <c r="IB685" s="19">
        <v>16.7</v>
      </c>
    </row>
    <row r="686">
      <c r="A686" s="2" t="s">
        <v>3816</v>
      </c>
      <c r="B686" s="2" t="s">
        <v>872</v>
      </c>
      <c r="C686" s="2" t="s">
        <v>280</v>
      </c>
      <c r="D686" s="2" t="s">
        <v>261</v>
      </c>
      <c r="E686" s="2" t="s">
        <v>603</v>
      </c>
      <c r="F686" s="2" t="s">
        <v>3798</v>
      </c>
      <c r="G686" s="2" t="s">
        <v>3799</v>
      </c>
      <c r="H686" s="2" t="s">
        <v>3800</v>
      </c>
      <c r="I686" s="2" t="s">
        <v>3801</v>
      </c>
      <c r="J686" s="2" t="s">
        <v>285</v>
      </c>
      <c r="K686" s="2" t="s">
        <v>870</v>
      </c>
      <c r="L686" s="3">
        <v>63.06</v>
      </c>
      <c r="M686" s="3">
        <v>66.21</v>
      </c>
      <c r="N686" s="3">
        <v>119.99</v>
      </c>
      <c r="O686" s="2" t="s">
        <v>230</v>
      </c>
      <c r="P686" s="2" t="s">
        <v>231</v>
      </c>
      <c r="Q686" s="2" t="s">
        <v>232</v>
      </c>
      <c r="R686" s="2" t="s">
        <v>233</v>
      </c>
      <c r="S686" s="2" t="s">
        <v>3817</v>
      </c>
      <c r="T686" s="2" t="s">
        <v>233</v>
      </c>
      <c r="U686" s="2" t="s">
        <v>635</v>
      </c>
      <c r="V686" s="2" t="s">
        <v>3611</v>
      </c>
      <c r="W686" s="2" t="s">
        <v>712</v>
      </c>
      <c r="X686" s="2" t="s">
        <v>620</v>
      </c>
      <c r="Y686" s="2" t="s">
        <v>238</v>
      </c>
      <c r="Z686" s="4">
        <v>287</v>
      </c>
      <c r="AA686" s="4">
        <f>=ROUNDDOWN(47.8333333333333,0)</f>
      </c>
      <c r="AB686" s="5">
        <v>6</v>
      </c>
      <c r="AC686" s="2" t="s">
        <v>140</v>
      </c>
      <c r="AD686" s="4">
        <v>80</v>
      </c>
      <c r="AE686" s="4">
        <v>80</v>
      </c>
      <c r="AF686" s="6">
        <v>65</v>
      </c>
      <c r="AG686" s="6">
        <v>48</v>
      </c>
      <c r="AH686" s="7">
        <v>1</v>
      </c>
      <c r="AI686" s="4"/>
      <c r="AJ686" s="4">
        <f>=ROUNDDOWN({0},0)</f>
      </c>
      <c r="AK686" s="5"/>
      <c r="AL686" s="2" t="s">
        <v>233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 t="s">
        <v>233</v>
      </c>
      <c r="BD686" s="8" t="s">
        <v>233</v>
      </c>
      <c r="BE686" s="4" t="s">
        <v>233</v>
      </c>
      <c r="BF686" s="8" t="s">
        <v>233</v>
      </c>
      <c r="BG686" s="7" t="s">
        <v>233</v>
      </c>
      <c r="BH686" s="7" t="s">
        <v>233</v>
      </c>
      <c r="BI686" s="7"/>
      <c r="BJ686" s="4">
        <v>24</v>
      </c>
      <c r="BK686" s="8">
        <v>1720.29</v>
      </c>
      <c r="BL686" s="2" t="s">
        <v>3027</v>
      </c>
      <c r="BM686" s="7"/>
      <c r="BN686" s="7"/>
      <c r="BO686" s="4"/>
      <c r="BP686" s="8"/>
      <c r="BQ686" s="4"/>
      <c r="BR686" s="8"/>
      <c r="BS686" s="7"/>
      <c r="BT686" s="7"/>
      <c r="BU686" s="2" t="s">
        <v>3804</v>
      </c>
      <c r="BV686" s="2" t="s">
        <v>233</v>
      </c>
      <c r="BW686" s="2" t="s">
        <v>233</v>
      </c>
      <c r="BX686" s="2" t="s">
        <v>293</v>
      </c>
      <c r="BY686" s="2" t="s">
        <v>242</v>
      </c>
      <c r="BZ686" s="2" t="s">
        <v>230</v>
      </c>
      <c r="CA686" s="2" t="s">
        <v>243</v>
      </c>
      <c r="CB686" s="2" t="s">
        <v>3818</v>
      </c>
      <c r="CC686" s="2" t="s">
        <v>245</v>
      </c>
      <c r="CD686" s="2" t="s">
        <v>233</v>
      </c>
      <c r="CE686" s="4">
        <v>184</v>
      </c>
      <c r="CF686" s="4"/>
      <c r="CG686" s="4"/>
      <c r="CH686" s="4">
        <v>63</v>
      </c>
      <c r="CI686" s="4"/>
      <c r="CJ686" s="4"/>
      <c r="CK686" s="4"/>
      <c r="CL686" s="4"/>
      <c r="CM686" s="4"/>
      <c r="CN686" s="4"/>
      <c r="CO686" s="4">
        <v>40</v>
      </c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>
        <v>80</v>
      </c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>
        <v>287</v>
      </c>
      <c r="GD686" s="4">
        <v>265</v>
      </c>
      <c r="GE686" s="4">
        <v>334</v>
      </c>
      <c r="GF686" s="4">
        <v>323</v>
      </c>
      <c r="GG686" s="4">
        <v>301</v>
      </c>
      <c r="GH686" s="4">
        <v>292</v>
      </c>
      <c r="GI686" s="4">
        <v>283</v>
      </c>
      <c r="GJ686" s="4">
        <v>277</v>
      </c>
      <c r="GK686" s="4">
        <v>273</v>
      </c>
      <c r="GL686" s="4">
        <v>267</v>
      </c>
      <c r="GM686" s="4">
        <v>111</v>
      </c>
      <c r="GN686" s="4">
        <v>105</v>
      </c>
      <c r="GO686" s="4">
        <v>99</v>
      </c>
      <c r="GP686" s="4">
        <v>93</v>
      </c>
      <c r="GQ686" s="4">
        <v>87</v>
      </c>
      <c r="GR686" s="4">
        <v>81</v>
      </c>
      <c r="GS686" s="4">
        <v>75</v>
      </c>
      <c r="GT686" s="4">
        <v>69</v>
      </c>
      <c r="GU686" s="4">
        <v>63</v>
      </c>
      <c r="GV686" s="4">
        <v>57</v>
      </c>
      <c r="GW686" s="4">
        <v>51</v>
      </c>
      <c r="GX686" s="4">
        <v>45</v>
      </c>
      <c r="GY686" s="4">
        <v>42</v>
      </c>
      <c r="GZ686" s="4">
        <v>36</v>
      </c>
      <c r="HA686" s="4">
        <v>30</v>
      </c>
      <c r="HB686" s="4">
        <v>68</v>
      </c>
      <c r="HC686" s="19">
        <v>18</v>
      </c>
      <c r="HD686" s="19">
        <v>21.5</v>
      </c>
      <c r="HE686" s="19">
        <v>30.7</v>
      </c>
      <c r="HF686" s="19">
        <v>30.9</v>
      </c>
      <c r="HG686" s="19">
        <v>54.7</v>
      </c>
      <c r="HH686" s="19">
        <v>56.7</v>
      </c>
      <c r="HI686" s="19">
        <v>8.6</v>
      </c>
      <c r="HJ686" s="19">
        <v>8</v>
      </c>
      <c r="HK686" s="19">
        <v>7.5</v>
      </c>
      <c r="HL686" s="19">
        <v>7.2</v>
      </c>
      <c r="HM686" s="19">
        <v>9.3</v>
      </c>
      <c r="HN686" s="19">
        <v>8.8</v>
      </c>
      <c r="HO686" s="19">
        <v>8.3</v>
      </c>
      <c r="HP686" s="19">
        <v>7.8</v>
      </c>
      <c r="HQ686" s="19">
        <v>7.3</v>
      </c>
      <c r="HR686" s="19">
        <v>6.8</v>
      </c>
      <c r="HS686" s="19">
        <v>6.3</v>
      </c>
      <c r="HT686" s="19">
        <v>5.8</v>
      </c>
      <c r="HU686" s="19">
        <v>5.3</v>
      </c>
      <c r="HV686" s="19">
        <v>4.8</v>
      </c>
      <c r="HW686" s="19">
        <v>4.3</v>
      </c>
      <c r="HX686" s="19">
        <v>3.8</v>
      </c>
      <c r="HY686" s="19">
        <v>4.2</v>
      </c>
      <c r="HZ686" s="19">
        <v>4.5</v>
      </c>
      <c r="IA686" s="19">
        <v>5</v>
      </c>
      <c r="IB686" s="19">
        <v>11.5</v>
      </c>
    </row>
    <row r="687">
      <c r="A687" s="2" t="s">
        <v>3819</v>
      </c>
      <c r="B687" s="2" t="s">
        <v>872</v>
      </c>
      <c r="C687" s="2" t="s">
        <v>280</v>
      </c>
      <c r="D687" s="2" t="s">
        <v>261</v>
      </c>
      <c r="E687" s="2" t="s">
        <v>603</v>
      </c>
      <c r="F687" s="2" t="s">
        <v>3798</v>
      </c>
      <c r="G687" s="2" t="s">
        <v>3799</v>
      </c>
      <c r="H687" s="2" t="s">
        <v>3800</v>
      </c>
      <c r="I687" s="2" t="s">
        <v>3801</v>
      </c>
      <c r="J687" s="2" t="s">
        <v>285</v>
      </c>
      <c r="K687" s="2" t="s">
        <v>312</v>
      </c>
      <c r="L687" s="3">
        <v>63.06</v>
      </c>
      <c r="M687" s="3">
        <v>66.21</v>
      </c>
      <c r="N687" s="3">
        <v>119.99</v>
      </c>
      <c r="O687" s="2" t="s">
        <v>230</v>
      </c>
      <c r="P687" s="2" t="s">
        <v>231</v>
      </c>
      <c r="Q687" s="2" t="s">
        <v>232</v>
      </c>
      <c r="R687" s="2" t="s">
        <v>233</v>
      </c>
      <c r="S687" s="2" t="s">
        <v>3820</v>
      </c>
      <c r="T687" s="2" t="s">
        <v>233</v>
      </c>
      <c r="U687" s="2" t="s">
        <v>635</v>
      </c>
      <c r="V687" s="2" t="s">
        <v>3611</v>
      </c>
      <c r="W687" s="2" t="s">
        <v>712</v>
      </c>
      <c r="X687" s="2" t="s">
        <v>620</v>
      </c>
      <c r="Y687" s="2" t="s">
        <v>238</v>
      </c>
      <c r="Z687" s="4">
        <v>205</v>
      </c>
      <c r="AA687" s="4">
        <f>=ROUNDDOWN({0},0)</f>
      </c>
      <c r="AB687" s="5">
        <v>5</v>
      </c>
      <c r="AC687" s="2" t="s">
        <v>140</v>
      </c>
      <c r="AD687" s="4">
        <v>120</v>
      </c>
      <c r="AE687" s="4">
        <v>220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233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 t="s">
        <v>233</v>
      </c>
      <c r="BD687" s="8" t="s">
        <v>233</v>
      </c>
      <c r="BE687" s="4" t="s">
        <v>233</v>
      </c>
      <c r="BF687" s="8" t="s">
        <v>233</v>
      </c>
      <c r="BG687" s="7" t="s">
        <v>233</v>
      </c>
      <c r="BH687" s="7" t="s">
        <v>233</v>
      </c>
      <c r="BI687" s="7"/>
      <c r="BJ687" s="4">
        <v>18</v>
      </c>
      <c r="BK687" s="8">
        <v>1252.65</v>
      </c>
      <c r="BL687" s="2" t="s">
        <v>3821</v>
      </c>
      <c r="BM687" s="7"/>
      <c r="BN687" s="7"/>
      <c r="BO687" s="4"/>
      <c r="BP687" s="8"/>
      <c r="BQ687" s="4"/>
      <c r="BR687" s="8"/>
      <c r="BS687" s="7"/>
      <c r="BT687" s="7"/>
      <c r="BU687" s="2" t="s">
        <v>3804</v>
      </c>
      <c r="BV687" s="2" t="s">
        <v>233</v>
      </c>
      <c r="BW687" s="2" t="s">
        <v>233</v>
      </c>
      <c r="BX687" s="2" t="s">
        <v>293</v>
      </c>
      <c r="BY687" s="2" t="s">
        <v>242</v>
      </c>
      <c r="BZ687" s="2" t="s">
        <v>230</v>
      </c>
      <c r="CA687" s="2" t="s">
        <v>243</v>
      </c>
      <c r="CB687" s="2" t="s">
        <v>3822</v>
      </c>
      <c r="CC687" s="2" t="s">
        <v>245</v>
      </c>
      <c r="CD687" s="2" t="s">
        <v>233</v>
      </c>
      <c r="CE687" s="4">
        <v>115</v>
      </c>
      <c r="CF687" s="4"/>
      <c r="CG687" s="4"/>
      <c r="CH687" s="4"/>
      <c r="CI687" s="4"/>
      <c r="CJ687" s="4"/>
      <c r="CK687" s="4"/>
      <c r="CL687" s="4">
        <v>90</v>
      </c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>
        <v>120</v>
      </c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>
        <v>100</v>
      </c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>
        <v>208</v>
      </c>
      <c r="GD687" s="4">
        <v>182</v>
      </c>
      <c r="GE687" s="4">
        <v>290</v>
      </c>
      <c r="GF687" s="4">
        <v>276</v>
      </c>
      <c r="GG687" s="4">
        <v>251</v>
      </c>
      <c r="GH687" s="4">
        <v>343</v>
      </c>
      <c r="GI687" s="4">
        <v>336</v>
      </c>
      <c r="GJ687" s="4">
        <v>331</v>
      </c>
      <c r="GK687" s="4">
        <v>327</v>
      </c>
      <c r="GL687" s="4">
        <v>322</v>
      </c>
      <c r="GM687" s="4">
        <v>167</v>
      </c>
      <c r="GN687" s="4">
        <v>162</v>
      </c>
      <c r="GO687" s="4">
        <v>157</v>
      </c>
      <c r="GP687" s="4">
        <v>152</v>
      </c>
      <c r="GQ687" s="4">
        <v>147</v>
      </c>
      <c r="GR687" s="4">
        <v>142</v>
      </c>
      <c r="GS687" s="4">
        <v>137</v>
      </c>
      <c r="GT687" s="4">
        <v>132</v>
      </c>
      <c r="GU687" s="4">
        <v>127</v>
      </c>
      <c r="GV687" s="4">
        <v>122</v>
      </c>
      <c r="GW687" s="4">
        <v>117</v>
      </c>
      <c r="GX687" s="4">
        <v>112</v>
      </c>
      <c r="GY687" s="4">
        <v>107</v>
      </c>
      <c r="GZ687" s="4">
        <v>102</v>
      </c>
      <c r="HA687" s="4">
        <v>97</v>
      </c>
      <c r="HB687" s="4">
        <v>92</v>
      </c>
      <c r="HC687" s="19">
        <v>10.9</v>
      </c>
      <c r="HD687" s="19">
        <v>12.1</v>
      </c>
      <c r="HE687" s="19">
        <v>20.7</v>
      </c>
      <c r="HF687" s="19">
        <v>25.1</v>
      </c>
      <c r="HG687" s="19">
        <v>41.8</v>
      </c>
      <c r="HH687" s="19">
        <v>68.6</v>
      </c>
      <c r="HI687" s="19">
        <v>8</v>
      </c>
      <c r="HJ687" s="19">
        <v>7.9</v>
      </c>
      <c r="HK687" s="19">
        <v>7.8</v>
      </c>
      <c r="HL687" s="19">
        <v>7.7</v>
      </c>
      <c r="HM687" s="19">
        <v>33.4</v>
      </c>
      <c r="HN687" s="19">
        <v>32.4</v>
      </c>
      <c r="HO687" s="19">
        <v>31.4</v>
      </c>
      <c r="HP687" s="19">
        <v>30.4</v>
      </c>
      <c r="HQ687" s="19">
        <v>29.4</v>
      </c>
      <c r="HR687" s="19">
        <v>28.4</v>
      </c>
      <c r="HS687" s="19">
        <v>27.4</v>
      </c>
      <c r="HT687" s="19">
        <v>26.4</v>
      </c>
      <c r="HU687" s="19">
        <v>25.4</v>
      </c>
      <c r="HV687" s="19">
        <v>24.4</v>
      </c>
      <c r="HW687" s="19">
        <v>23.4</v>
      </c>
      <c r="HX687" s="19">
        <v>22.4</v>
      </c>
      <c r="HY687" s="19">
        <v>21.4</v>
      </c>
      <c r="HZ687" s="19">
        <v>20.4</v>
      </c>
      <c r="IA687" s="19">
        <v>19.4</v>
      </c>
      <c r="IB687" s="19">
        <v>18.4</v>
      </c>
    </row>
    <row r="688">
      <c r="A688" s="2" t="s">
        <v>3823</v>
      </c>
      <c r="B688" s="2" t="s">
        <v>872</v>
      </c>
      <c r="C688" s="2" t="s">
        <v>280</v>
      </c>
      <c r="D688" s="2" t="s">
        <v>261</v>
      </c>
      <c r="E688" s="2" t="s">
        <v>1119</v>
      </c>
      <c r="F688" s="2" t="s">
        <v>3824</v>
      </c>
      <c r="G688" s="2" t="s">
        <v>3825</v>
      </c>
      <c r="H688" s="2" t="s">
        <v>3826</v>
      </c>
      <c r="I688" s="2" t="s">
        <v>1120</v>
      </c>
      <c r="J688" s="2" t="s">
        <v>256</v>
      </c>
      <c r="K688" s="2" t="s">
        <v>229</v>
      </c>
      <c r="L688" s="3">
        <v>107.8</v>
      </c>
      <c r="M688" s="3">
        <v>113.18</v>
      </c>
      <c r="N688" s="3">
        <v>219.99</v>
      </c>
      <c r="O688" s="2" t="s">
        <v>230</v>
      </c>
      <c r="P688" s="2" t="s">
        <v>231</v>
      </c>
      <c r="Q688" s="2" t="s">
        <v>232</v>
      </c>
      <c r="R688" s="2" t="s">
        <v>233</v>
      </c>
      <c r="S688" s="2" t="s">
        <v>3827</v>
      </c>
      <c r="T688" s="2" t="s">
        <v>233</v>
      </c>
      <c r="U688" s="2" t="s">
        <v>1122</v>
      </c>
      <c r="V688" s="2" t="s">
        <v>1033</v>
      </c>
      <c r="W688" s="2" t="s">
        <v>818</v>
      </c>
      <c r="X688" s="2" t="s">
        <v>1123</v>
      </c>
      <c r="Y688" s="2" t="s">
        <v>238</v>
      </c>
      <c r="Z688" s="4">
        <v>420</v>
      </c>
      <c r="AA688" s="4">
        <f>=ROUNDDOWN(35,0)</f>
      </c>
      <c r="AB688" s="5">
        <v>12</v>
      </c>
      <c r="AC688" s="2" t="s">
        <v>437</v>
      </c>
      <c r="AD688" s="4">
        <v>30</v>
      </c>
      <c r="AE688" s="4">
        <v>170</v>
      </c>
      <c r="AF688" s="6">
        <v>65</v>
      </c>
      <c r="AG688" s="6">
        <v>48</v>
      </c>
      <c r="AH688" s="7">
        <v>1</v>
      </c>
      <c r="AI688" s="4"/>
      <c r="AJ688" s="4">
        <f>=ROUNDDOWN({0},0)</f>
      </c>
      <c r="AK688" s="5"/>
      <c r="AL688" s="2" t="s">
        <v>233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/>
      <c r="BD688" s="8"/>
      <c r="BE688" s="4"/>
      <c r="BF688" s="8"/>
      <c r="BG688" s="7"/>
      <c r="BH688" s="7"/>
      <c r="BI688" s="7"/>
      <c r="BJ688" s="4">
        <v>44</v>
      </c>
      <c r="BK688" s="8">
        <v>4728.37</v>
      </c>
      <c r="BL688" s="2" t="s">
        <v>3558</v>
      </c>
      <c r="BM688" s="7"/>
      <c r="BN688" s="7"/>
      <c r="BO688" s="4"/>
      <c r="BP688" s="8"/>
      <c r="BQ688" s="4"/>
      <c r="BR688" s="8"/>
      <c r="BS688" s="7"/>
      <c r="BT688" s="7"/>
      <c r="BU688" s="2" t="s">
        <v>3828</v>
      </c>
      <c r="BV688" s="2" t="s">
        <v>233</v>
      </c>
      <c r="BW688" s="2" t="s">
        <v>233</v>
      </c>
      <c r="BX688" s="2" t="s">
        <v>293</v>
      </c>
      <c r="BY688" s="2" t="s">
        <v>242</v>
      </c>
      <c r="BZ688" s="2" t="s">
        <v>230</v>
      </c>
      <c r="CA688" s="2" t="s">
        <v>243</v>
      </c>
      <c r="CB688" s="2" t="s">
        <v>3829</v>
      </c>
      <c r="CC688" s="2" t="s">
        <v>245</v>
      </c>
      <c r="CD688" s="2" t="s">
        <v>233</v>
      </c>
      <c r="CE688" s="4">
        <v>323</v>
      </c>
      <c r="CF688" s="4"/>
      <c r="CG688" s="4"/>
      <c r="CH688" s="4">
        <v>97</v>
      </c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>
        <v>30</v>
      </c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>
        <v>140</v>
      </c>
      <c r="FX688" s="4"/>
      <c r="FY688" s="4"/>
      <c r="FZ688" s="4"/>
      <c r="GA688" s="4"/>
      <c r="GB688" s="4"/>
      <c r="GC688" s="4">
        <v>441</v>
      </c>
      <c r="GD688" s="4">
        <v>405</v>
      </c>
      <c r="GE688" s="4">
        <v>391</v>
      </c>
      <c r="GF688" s="4">
        <v>362</v>
      </c>
      <c r="GG688" s="4">
        <v>334</v>
      </c>
      <c r="GH688" s="4">
        <v>347</v>
      </c>
      <c r="GI688" s="4">
        <v>334</v>
      </c>
      <c r="GJ688" s="4">
        <v>325</v>
      </c>
      <c r="GK688" s="4">
        <v>316</v>
      </c>
      <c r="GL688" s="4">
        <v>303</v>
      </c>
      <c r="GM688" s="4">
        <v>290</v>
      </c>
      <c r="GN688" s="4">
        <v>278</v>
      </c>
      <c r="GO688" s="4">
        <v>266</v>
      </c>
      <c r="GP688" s="4">
        <v>254</v>
      </c>
      <c r="GQ688" s="4">
        <v>242</v>
      </c>
      <c r="GR688" s="4">
        <v>230</v>
      </c>
      <c r="GS688" s="4">
        <v>218</v>
      </c>
      <c r="GT688" s="4">
        <v>205</v>
      </c>
      <c r="GU688" s="4">
        <v>333</v>
      </c>
      <c r="GV688" s="4">
        <v>321</v>
      </c>
      <c r="GW688" s="4">
        <v>309</v>
      </c>
      <c r="GX688" s="4">
        <v>297</v>
      </c>
      <c r="GY688" s="4">
        <v>285</v>
      </c>
      <c r="GZ688" s="4">
        <v>273</v>
      </c>
      <c r="HA688" s="4">
        <v>260</v>
      </c>
      <c r="HB688" s="4">
        <v>248</v>
      </c>
      <c r="HC688" s="19">
        <v>16.6</v>
      </c>
      <c r="HD688" s="19">
        <v>18.7</v>
      </c>
      <c r="HE688" s="19">
        <v>18.6</v>
      </c>
      <c r="HF688" s="19">
        <v>21.4</v>
      </c>
      <c r="HG688" s="19">
        <v>27.3</v>
      </c>
      <c r="HH688" s="19">
        <v>41.4</v>
      </c>
      <c r="HI688" s="19">
        <v>40</v>
      </c>
      <c r="HJ688" s="19">
        <v>29.2</v>
      </c>
      <c r="HK688" s="19">
        <v>27.3</v>
      </c>
      <c r="HL688" s="19">
        <v>27.4</v>
      </c>
      <c r="HM688" s="19">
        <v>26.4</v>
      </c>
      <c r="HN688" s="19">
        <v>25.4</v>
      </c>
      <c r="HO688" s="19">
        <v>24.4</v>
      </c>
      <c r="HP688" s="19">
        <v>23.4</v>
      </c>
      <c r="HQ688" s="19">
        <v>22.4</v>
      </c>
      <c r="HR688" s="19">
        <v>21.4</v>
      </c>
      <c r="HS688" s="19">
        <v>20.4</v>
      </c>
      <c r="HT688" s="19">
        <v>19.3</v>
      </c>
      <c r="HU688" s="19">
        <v>26.1</v>
      </c>
      <c r="HV688" s="19">
        <v>25.1</v>
      </c>
      <c r="HW688" s="19">
        <v>24.1</v>
      </c>
      <c r="HX688" s="19">
        <v>23.1</v>
      </c>
      <c r="HY688" s="19">
        <v>22.1</v>
      </c>
      <c r="HZ688" s="19">
        <v>21.1</v>
      </c>
      <c r="IA688" s="19">
        <v>20</v>
      </c>
      <c r="IB688" s="19">
        <v>19</v>
      </c>
    </row>
    <row r="689">
      <c r="A689" s="2" t="s">
        <v>3830</v>
      </c>
      <c r="B689" s="2" t="s">
        <v>761</v>
      </c>
      <c r="C689" s="2" t="s">
        <v>280</v>
      </c>
      <c r="D689" s="2" t="s">
        <v>3831</v>
      </c>
      <c r="E689" s="2" t="s">
        <v>3832</v>
      </c>
      <c r="F689" s="2" t="s">
        <v>3833</v>
      </c>
      <c r="G689" s="2" t="s">
        <v>3834</v>
      </c>
      <c r="H689" s="2" t="s">
        <v>3835</v>
      </c>
      <c r="I689" s="2" t="s">
        <v>3836</v>
      </c>
      <c r="J689" s="2" t="s">
        <v>3837</v>
      </c>
      <c r="K689" s="2" t="s">
        <v>3838</v>
      </c>
      <c r="L689" s="3">
        <v>303.03</v>
      </c>
      <c r="M689" s="3">
        <v>318.18</v>
      </c>
      <c r="N689" s="3">
        <v>649</v>
      </c>
      <c r="O689" s="2" t="s">
        <v>230</v>
      </c>
      <c r="P689" s="2" t="s">
        <v>597</v>
      </c>
      <c r="Q689" s="2" t="s">
        <v>232</v>
      </c>
      <c r="R689" s="2" t="s">
        <v>233</v>
      </c>
      <c r="S689" s="2" t="s">
        <v>233</v>
      </c>
      <c r="T689" s="2" t="s">
        <v>233</v>
      </c>
      <c r="U689" s="2" t="s">
        <v>329</v>
      </c>
      <c r="V689" s="2" t="s">
        <v>609</v>
      </c>
      <c r="W689" s="2" t="s">
        <v>1141</v>
      </c>
      <c r="X689" s="2" t="s">
        <v>237</v>
      </c>
      <c r="Y689" s="2" t="s">
        <v>3839</v>
      </c>
      <c r="Z689" s="4">
        <v>195</v>
      </c>
      <c r="AA689" s="4">
        <f>=ROUNDDOWN(17.7272727272727,0)</f>
      </c>
      <c r="AB689" s="5">
        <v>11</v>
      </c>
      <c r="AC689" s="2" t="s">
        <v>147</v>
      </c>
      <c r="AD689" s="4">
        <v>12</v>
      </c>
      <c r="AE689" s="4">
        <v>182</v>
      </c>
      <c r="AF689" s="6">
        <v>76</v>
      </c>
      <c r="AG689" s="6">
        <v>62</v>
      </c>
      <c r="AH689" s="7"/>
      <c r="AI689" s="4"/>
      <c r="AJ689" s="4">
        <f>=ROUNDDOWN({0},0)</f>
      </c>
      <c r="AK689" s="5"/>
      <c r="AL689" s="2" t="s">
        <v>233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/>
      <c r="AW689" s="8"/>
      <c r="AX689" s="4"/>
      <c r="AY689" s="8"/>
      <c r="AZ689" s="7"/>
      <c r="BA689" s="7"/>
      <c r="BB689" s="7"/>
      <c r="BC689" s="4"/>
      <c r="BD689" s="8"/>
      <c r="BE689" s="4"/>
      <c r="BF689" s="8"/>
      <c r="BG689" s="7"/>
      <c r="BH689" s="7"/>
      <c r="BI689" s="7"/>
      <c r="BJ689" s="4"/>
      <c r="BK689" s="8"/>
      <c r="BL689" s="2" t="s">
        <v>233</v>
      </c>
      <c r="BM689" s="7"/>
      <c r="BN689" s="7"/>
      <c r="BO689" s="4"/>
      <c r="BP689" s="8"/>
      <c r="BQ689" s="4"/>
      <c r="BR689" s="8"/>
      <c r="BS689" s="7"/>
      <c r="BT689" s="7"/>
      <c r="BU689" s="2" t="s">
        <v>3840</v>
      </c>
      <c r="BV689" s="2" t="s">
        <v>233</v>
      </c>
      <c r="BW689" s="2" t="s">
        <v>233</v>
      </c>
      <c r="BX689" s="2" t="s">
        <v>624</v>
      </c>
      <c r="BY689" s="2" t="s">
        <v>242</v>
      </c>
      <c r="BZ689" s="2" t="s">
        <v>230</v>
      </c>
      <c r="CA689" s="2" t="s">
        <v>3841</v>
      </c>
      <c r="CB689" s="2" t="s">
        <v>3842</v>
      </c>
      <c r="CC689" s="2" t="s">
        <v>245</v>
      </c>
      <c r="CD689" s="2" t="s">
        <v>233</v>
      </c>
      <c r="CE689" s="4"/>
      <c r="CF689" s="4">
        <v>195</v>
      </c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>
        <v>12</v>
      </c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>
        <v>170</v>
      </c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>
        <v>198</v>
      </c>
      <c r="GD689" s="4">
        <v>185</v>
      </c>
      <c r="GE689" s="4">
        <v>175</v>
      </c>
      <c r="GF689" s="4">
        <v>166</v>
      </c>
      <c r="GG689" s="4">
        <v>155</v>
      </c>
      <c r="GH689" s="4">
        <v>140</v>
      </c>
      <c r="GI689" s="4">
        <v>132</v>
      </c>
      <c r="GJ689" s="4">
        <v>125</v>
      </c>
      <c r="GK689" s="4">
        <v>118</v>
      </c>
      <c r="GL689" s="4">
        <v>108</v>
      </c>
      <c r="GM689" s="4">
        <v>100</v>
      </c>
      <c r="GN689" s="4">
        <v>90</v>
      </c>
      <c r="GO689" s="4">
        <v>82</v>
      </c>
      <c r="GP689" s="4">
        <v>74</v>
      </c>
      <c r="GQ689" s="4">
        <v>63</v>
      </c>
      <c r="GR689" s="4">
        <v>52</v>
      </c>
      <c r="GS689" s="4">
        <v>211</v>
      </c>
      <c r="GT689" s="4">
        <v>199</v>
      </c>
      <c r="GU689" s="4">
        <v>189</v>
      </c>
      <c r="GV689" s="4">
        <v>178</v>
      </c>
      <c r="GW689" s="4">
        <v>167</v>
      </c>
      <c r="GX689" s="4">
        <v>156</v>
      </c>
      <c r="GY689" s="4">
        <v>145</v>
      </c>
      <c r="GZ689" s="4">
        <v>132</v>
      </c>
      <c r="HA689" s="4">
        <v>119</v>
      </c>
      <c r="HB689" s="4">
        <v>106</v>
      </c>
      <c r="HC689" s="19">
        <v>7.1</v>
      </c>
      <c r="HD689" s="19">
        <v>6.6</v>
      </c>
      <c r="HE689" s="19">
        <v>6.3</v>
      </c>
      <c r="HF689" s="19">
        <v>6.4</v>
      </c>
      <c r="HG689" s="19">
        <v>8.6</v>
      </c>
      <c r="HH689" s="19">
        <v>8.8</v>
      </c>
      <c r="HI689" s="19">
        <v>8.3</v>
      </c>
      <c r="HJ689" s="19">
        <v>7</v>
      </c>
      <c r="HK689" s="19">
        <v>6.6</v>
      </c>
      <c r="HL689" s="19">
        <v>6.8</v>
      </c>
      <c r="HM689" s="19">
        <v>5.6</v>
      </c>
      <c r="HN689" s="19">
        <v>4.5</v>
      </c>
      <c r="HO689" s="19">
        <v>4.1</v>
      </c>
      <c r="HP689" s="19">
        <v>3.4</v>
      </c>
      <c r="HQ689" s="19">
        <v>2.9</v>
      </c>
      <c r="HR689" s="19">
        <v>2.4</v>
      </c>
      <c r="HS689" s="19">
        <v>9.6</v>
      </c>
      <c r="HT689" s="19">
        <v>9.1</v>
      </c>
      <c r="HU689" s="19">
        <v>8.6</v>
      </c>
      <c r="HV689" s="19">
        <v>7.4</v>
      </c>
      <c r="HW689" s="19">
        <v>7</v>
      </c>
      <c r="HX689" s="19">
        <v>6.5</v>
      </c>
      <c r="HY689" s="19">
        <v>5.6</v>
      </c>
      <c r="HZ689" s="19">
        <v>5.5</v>
      </c>
      <c r="IA689" s="19">
        <v>5</v>
      </c>
      <c r="IB689" s="19">
        <v>4.8</v>
      </c>
    </row>
    <row r="690">
      <c r="A690" s="2" t="s">
        <v>3843</v>
      </c>
      <c r="B690" s="2" t="s">
        <v>773</v>
      </c>
      <c r="C690" s="2" t="s">
        <v>908</v>
      </c>
      <c r="D690" s="2" t="s">
        <v>985</v>
      </c>
      <c r="E690" s="2" t="s">
        <v>986</v>
      </c>
      <c r="F690" s="2" t="s">
        <v>3844</v>
      </c>
      <c r="G690" s="2" t="s">
        <v>3844</v>
      </c>
      <c r="H690" s="2" t="s">
        <v>3844</v>
      </c>
      <c r="I690" s="2" t="s">
        <v>988</v>
      </c>
      <c r="J690" s="2" t="s">
        <v>989</v>
      </c>
      <c r="K690" s="2" t="s">
        <v>1121</v>
      </c>
      <c r="L690" s="3">
        <v>37.72</v>
      </c>
      <c r="M690" s="3">
        <v>39.61</v>
      </c>
      <c r="N690" s="3">
        <v>81.99</v>
      </c>
      <c r="O690" s="2" t="s">
        <v>230</v>
      </c>
      <c r="P690" s="2" t="s">
        <v>231</v>
      </c>
      <c r="Q690" s="2" t="s">
        <v>232</v>
      </c>
      <c r="R690" s="2" t="s">
        <v>233</v>
      </c>
      <c r="S690" s="2" t="s">
        <v>3845</v>
      </c>
      <c r="T690" s="2" t="s">
        <v>233</v>
      </c>
      <c r="U690" s="2" t="s">
        <v>329</v>
      </c>
      <c r="V690" s="2" t="s">
        <v>914</v>
      </c>
      <c r="W690" s="2" t="s">
        <v>915</v>
      </c>
      <c r="X690" s="2" t="s">
        <v>916</v>
      </c>
      <c r="Y690" s="2" t="s">
        <v>2939</v>
      </c>
      <c r="Z690" s="4">
        <v>1317</v>
      </c>
      <c r="AA690" s="4">
        <f>=ROUNDDOWN(131.7,0)</f>
      </c>
      <c r="AB690" s="5">
        <v>10</v>
      </c>
      <c r="AC690" s="2" t="s">
        <v>233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233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 t="s">
        <v>233</v>
      </c>
      <c r="BD690" s="8" t="s">
        <v>233</v>
      </c>
      <c r="BE690" s="4" t="s">
        <v>233</v>
      </c>
      <c r="BF690" s="8" t="s">
        <v>233</v>
      </c>
      <c r="BG690" s="7" t="s">
        <v>233</v>
      </c>
      <c r="BH690" s="7" t="s">
        <v>233</v>
      </c>
      <c r="BI690" s="7"/>
      <c r="BJ690" s="4">
        <v>63</v>
      </c>
      <c r="BK690" s="8">
        <v>2279.46</v>
      </c>
      <c r="BL690" s="2" t="s">
        <v>446</v>
      </c>
      <c r="BM690" s="7"/>
      <c r="BN690" s="7"/>
      <c r="BO690" s="4"/>
      <c r="BP690" s="8"/>
      <c r="BQ690" s="4"/>
      <c r="BR690" s="8"/>
      <c r="BS690" s="7"/>
      <c r="BT690" s="7"/>
      <c r="BU690" s="2" t="s">
        <v>3846</v>
      </c>
      <c r="BV690" s="2" t="s">
        <v>233</v>
      </c>
      <c r="BW690" s="2" t="s">
        <v>233</v>
      </c>
      <c r="BX690" s="2" t="s">
        <v>241</v>
      </c>
      <c r="BY690" s="2" t="s">
        <v>242</v>
      </c>
      <c r="BZ690" s="2" t="s">
        <v>230</v>
      </c>
      <c r="CA690" s="2" t="s">
        <v>1289</v>
      </c>
      <c r="CB690" s="2" t="s">
        <v>3847</v>
      </c>
      <c r="CC690" s="2" t="s">
        <v>245</v>
      </c>
      <c r="CD690" s="2" t="s">
        <v>233</v>
      </c>
      <c r="CE690" s="4">
        <v>1317</v>
      </c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>
        <v>1330</v>
      </c>
      <c r="GD690" s="4">
        <v>1297</v>
      </c>
      <c r="GE690" s="4">
        <v>1286</v>
      </c>
      <c r="GF690" s="4">
        <v>1273</v>
      </c>
      <c r="GG690" s="4">
        <v>1243</v>
      </c>
      <c r="GH690" s="4">
        <v>1214</v>
      </c>
      <c r="GI690" s="4">
        <v>1175</v>
      </c>
      <c r="GJ690" s="4">
        <v>1155</v>
      </c>
      <c r="GK690" s="4">
        <v>1147</v>
      </c>
      <c r="GL690" s="4">
        <v>1135</v>
      </c>
      <c r="GM690" s="4">
        <v>1129</v>
      </c>
      <c r="GN690" s="4">
        <v>1117</v>
      </c>
      <c r="GO690" s="4">
        <v>1109</v>
      </c>
      <c r="GP690" s="4">
        <v>1101</v>
      </c>
      <c r="GQ690" s="4">
        <v>1096</v>
      </c>
      <c r="GR690" s="4">
        <v>1090</v>
      </c>
      <c r="GS690" s="4">
        <v>1084</v>
      </c>
      <c r="GT690" s="4">
        <v>1079</v>
      </c>
      <c r="GU690" s="4">
        <v>1074</v>
      </c>
      <c r="GV690" s="4">
        <v>1069</v>
      </c>
      <c r="GW690" s="4">
        <v>1063</v>
      </c>
      <c r="GX690" s="4">
        <v>1059</v>
      </c>
      <c r="GY690" s="4">
        <v>1056</v>
      </c>
      <c r="GZ690" s="4">
        <v>1054</v>
      </c>
      <c r="HA690" s="4">
        <v>1052</v>
      </c>
      <c r="HB690" s="4">
        <v>1050</v>
      </c>
      <c r="HC690" s="19">
        <v>60.5</v>
      </c>
      <c r="HD690" s="19">
        <v>61.8</v>
      </c>
      <c r="HE690" s="19">
        <v>45.9</v>
      </c>
      <c r="HF690" s="19">
        <v>42.4</v>
      </c>
      <c r="HG690" s="19">
        <v>51.8</v>
      </c>
      <c r="HH690" s="19">
        <v>60.7</v>
      </c>
      <c r="HI690" s="19">
        <v>97.9</v>
      </c>
      <c r="HJ690" s="19">
        <v>115.5</v>
      </c>
      <c r="HK690" s="19">
        <v>114.7</v>
      </c>
      <c r="HL690" s="19">
        <v>141.9</v>
      </c>
      <c r="HM690" s="19">
        <v>141.1</v>
      </c>
      <c r="HN690" s="19">
        <v>159.6</v>
      </c>
      <c r="HO690" s="19">
        <v>184.8</v>
      </c>
      <c r="HP690" s="19">
        <v>183.5</v>
      </c>
      <c r="HQ690" s="19">
        <v>182.7</v>
      </c>
      <c r="HR690" s="19">
        <v>218</v>
      </c>
      <c r="HS690" s="19">
        <v>216.8</v>
      </c>
      <c r="HT690" s="19">
        <v>215.8</v>
      </c>
      <c r="HU690" s="19">
        <v>268.5</v>
      </c>
      <c r="HV690" s="19">
        <v>267.3</v>
      </c>
      <c r="HW690" s="19">
        <v>354.3</v>
      </c>
      <c r="HX690" s="19">
        <v>529.5</v>
      </c>
      <c r="HY690" s="19">
        <v>528</v>
      </c>
      <c r="HZ690" s="19">
        <v>527</v>
      </c>
      <c r="IA690" s="19">
        <v>526</v>
      </c>
      <c r="IB690" s="19">
        <v>525</v>
      </c>
    </row>
    <row r="691">
      <c r="A691" s="2" t="s">
        <v>3848</v>
      </c>
      <c r="B691" s="2" t="s">
        <v>773</v>
      </c>
      <c r="C691" s="2" t="s">
        <v>908</v>
      </c>
      <c r="D691" s="2" t="s">
        <v>985</v>
      </c>
      <c r="E691" s="2" t="s">
        <v>986</v>
      </c>
      <c r="F691" s="2" t="s">
        <v>3844</v>
      </c>
      <c r="G691" s="2" t="s">
        <v>3844</v>
      </c>
      <c r="H691" s="2" t="s">
        <v>3844</v>
      </c>
      <c r="I691" s="2" t="s">
        <v>988</v>
      </c>
      <c r="J691" s="2" t="s">
        <v>989</v>
      </c>
      <c r="K691" s="2" t="s">
        <v>1014</v>
      </c>
      <c r="L691" s="3">
        <v>37.72</v>
      </c>
      <c r="M691" s="3">
        <v>39.61</v>
      </c>
      <c r="N691" s="3">
        <v>81.99</v>
      </c>
      <c r="O691" s="2" t="s">
        <v>230</v>
      </c>
      <c r="P691" s="2" t="s">
        <v>231</v>
      </c>
      <c r="Q691" s="2" t="s">
        <v>232</v>
      </c>
      <c r="R691" s="2" t="s">
        <v>233</v>
      </c>
      <c r="S691" s="2" t="s">
        <v>3849</v>
      </c>
      <c r="T691" s="2" t="s">
        <v>233</v>
      </c>
      <c r="U691" s="2" t="s">
        <v>329</v>
      </c>
      <c r="V691" s="2" t="s">
        <v>914</v>
      </c>
      <c r="W691" s="2" t="s">
        <v>915</v>
      </c>
      <c r="X691" s="2" t="s">
        <v>916</v>
      </c>
      <c r="Y691" s="2" t="s">
        <v>2939</v>
      </c>
      <c r="Z691" s="4">
        <v>1056</v>
      </c>
      <c r="AA691" s="4">
        <f>=ROUNDDOWN(105.6,0)</f>
      </c>
      <c r="AB691" s="5">
        <v>10</v>
      </c>
      <c r="AC691" s="2" t="s">
        <v>233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233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 t="s">
        <v>233</v>
      </c>
      <c r="BD691" s="8" t="s">
        <v>233</v>
      </c>
      <c r="BE691" s="4" t="s">
        <v>233</v>
      </c>
      <c r="BF691" s="8" t="s">
        <v>233</v>
      </c>
      <c r="BG691" s="7" t="s">
        <v>233</v>
      </c>
      <c r="BH691" s="7" t="s">
        <v>233</v>
      </c>
      <c r="BI691" s="7"/>
      <c r="BJ691" s="4">
        <v>36</v>
      </c>
      <c r="BK691" s="8">
        <v>1337.23</v>
      </c>
      <c r="BL691" s="2" t="s">
        <v>3850</v>
      </c>
      <c r="BM691" s="7"/>
      <c r="BN691" s="7"/>
      <c r="BO691" s="4"/>
      <c r="BP691" s="8"/>
      <c r="BQ691" s="4"/>
      <c r="BR691" s="8"/>
      <c r="BS691" s="7"/>
      <c r="BT691" s="7"/>
      <c r="BU691" s="2" t="s">
        <v>3846</v>
      </c>
      <c r="BV691" s="2" t="s">
        <v>233</v>
      </c>
      <c r="BW691" s="2" t="s">
        <v>233</v>
      </c>
      <c r="BX691" s="2" t="s">
        <v>241</v>
      </c>
      <c r="BY691" s="2" t="s">
        <v>242</v>
      </c>
      <c r="BZ691" s="2" t="s">
        <v>230</v>
      </c>
      <c r="CA691" s="2" t="s">
        <v>1289</v>
      </c>
      <c r="CB691" s="2" t="s">
        <v>3851</v>
      </c>
      <c r="CC691" s="2" t="s">
        <v>245</v>
      </c>
      <c r="CD691" s="2" t="s">
        <v>233</v>
      </c>
      <c r="CE691" s="4">
        <v>1056</v>
      </c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>
        <v>1060</v>
      </c>
      <c r="GD691" s="4">
        <v>1018</v>
      </c>
      <c r="GE691" s="4">
        <v>993</v>
      </c>
      <c r="GF691" s="4">
        <v>963</v>
      </c>
      <c r="GG691" s="4">
        <v>902</v>
      </c>
      <c r="GH691" s="4">
        <v>845</v>
      </c>
      <c r="GI691" s="4">
        <v>775</v>
      </c>
      <c r="GJ691" s="4">
        <v>741</v>
      </c>
      <c r="GK691" s="4">
        <v>729</v>
      </c>
      <c r="GL691" s="4">
        <v>711</v>
      </c>
      <c r="GM691" s="4">
        <v>701</v>
      </c>
      <c r="GN691" s="4">
        <v>681</v>
      </c>
      <c r="GO691" s="4">
        <v>667</v>
      </c>
      <c r="GP691" s="4">
        <v>653</v>
      </c>
      <c r="GQ691" s="4">
        <v>648</v>
      </c>
      <c r="GR691" s="4">
        <v>642</v>
      </c>
      <c r="GS691" s="4">
        <v>636</v>
      </c>
      <c r="GT691" s="4">
        <v>631</v>
      </c>
      <c r="GU691" s="4">
        <v>626</v>
      </c>
      <c r="GV691" s="4">
        <v>621</v>
      </c>
      <c r="GW691" s="4">
        <v>615</v>
      </c>
      <c r="GX691" s="4">
        <v>611</v>
      </c>
      <c r="GY691" s="4">
        <v>608</v>
      </c>
      <c r="GZ691" s="4">
        <v>606</v>
      </c>
      <c r="HA691" s="4">
        <v>604</v>
      </c>
      <c r="HB691" s="4">
        <v>602</v>
      </c>
      <c r="HC691" s="19">
        <v>26.5</v>
      </c>
      <c r="HD691" s="19">
        <v>23.7</v>
      </c>
      <c r="HE691" s="19">
        <v>18.4</v>
      </c>
      <c r="HF691" s="19">
        <v>17.2</v>
      </c>
      <c r="HG691" s="19">
        <v>21</v>
      </c>
      <c r="HH691" s="19">
        <v>24.9</v>
      </c>
      <c r="HI691" s="19">
        <v>43.1</v>
      </c>
      <c r="HJ691" s="19">
        <v>49.4</v>
      </c>
      <c r="HK691" s="19">
        <v>45.6</v>
      </c>
      <c r="HL691" s="19">
        <v>50.8</v>
      </c>
      <c r="HM691" s="19">
        <v>53.9</v>
      </c>
      <c r="HN691" s="19">
        <v>68.1</v>
      </c>
      <c r="HO691" s="19">
        <v>83.4</v>
      </c>
      <c r="HP691" s="19">
        <v>108.8</v>
      </c>
      <c r="HQ691" s="19">
        <v>108</v>
      </c>
      <c r="HR691" s="19">
        <v>128.4</v>
      </c>
      <c r="HS691" s="19">
        <v>127.2</v>
      </c>
      <c r="HT691" s="19">
        <v>126.2</v>
      </c>
      <c r="HU691" s="19">
        <v>156.5</v>
      </c>
      <c r="HV691" s="19">
        <v>155.3</v>
      </c>
      <c r="HW691" s="19">
        <v>205</v>
      </c>
      <c r="HX691" s="19">
        <v>305.5</v>
      </c>
      <c r="HY691" s="19">
        <v>304</v>
      </c>
      <c r="HZ691" s="19">
        <v>303</v>
      </c>
      <c r="IA691" s="19">
        <v>302</v>
      </c>
      <c r="IB691" s="19">
        <v>301</v>
      </c>
    </row>
    <row r="692">
      <c r="A692" s="2" t="s">
        <v>3852</v>
      </c>
      <c r="B692" s="2" t="s">
        <v>736</v>
      </c>
      <c r="C692" s="2" t="s">
        <v>280</v>
      </c>
      <c r="D692" s="2" t="s">
        <v>1197</v>
      </c>
      <c r="E692" s="2" t="s">
        <v>1198</v>
      </c>
      <c r="F692" s="2" t="s">
        <v>3853</v>
      </c>
      <c r="G692" s="2" t="s">
        <v>3853</v>
      </c>
      <c r="H692" s="2" t="s">
        <v>3853</v>
      </c>
      <c r="I692" s="2" t="s">
        <v>3854</v>
      </c>
      <c r="J692" s="2" t="s">
        <v>741</v>
      </c>
      <c r="K692" s="2" t="s">
        <v>2996</v>
      </c>
      <c r="L692" s="3">
        <v>16.15</v>
      </c>
      <c r="M692" s="3">
        <v>16.96</v>
      </c>
      <c r="N692" s="3">
        <v>33.99</v>
      </c>
      <c r="O692" s="2" t="s">
        <v>230</v>
      </c>
      <c r="P692" s="2" t="s">
        <v>721</v>
      </c>
      <c r="Q692" s="2" t="s">
        <v>232</v>
      </c>
      <c r="R692" s="2" t="s">
        <v>233</v>
      </c>
      <c r="S692" s="2" t="s">
        <v>3855</v>
      </c>
      <c r="T692" s="2" t="s">
        <v>233</v>
      </c>
      <c r="U692" s="2" t="s">
        <v>781</v>
      </c>
      <c r="V692" s="2" t="s">
        <v>834</v>
      </c>
      <c r="W692" s="2" t="s">
        <v>712</v>
      </c>
      <c r="X692" s="2" t="s">
        <v>233</v>
      </c>
      <c r="Y692" s="2" t="s">
        <v>238</v>
      </c>
      <c r="Z692" s="4">
        <v>187</v>
      </c>
      <c r="AA692" s="4">
        <f>=ROUNDDOWN(98.4210526315789,0)</f>
      </c>
      <c r="AB692" s="5">
        <v>1.9</v>
      </c>
      <c r="AC692" s="2" t="s">
        <v>233</v>
      </c>
      <c r="AD692" s="4"/>
      <c r="AE692" s="4"/>
      <c r="AF692" s="6">
        <v>63</v>
      </c>
      <c r="AG692" s="6">
        <v>46</v>
      </c>
      <c r="AH692" s="7">
        <v>1</v>
      </c>
      <c r="AI692" s="4"/>
      <c r="AJ692" s="4">
        <f>=ROUNDDOWN({0},0)</f>
      </c>
      <c r="AK692" s="5"/>
      <c r="AL692" s="2" t="s">
        <v>233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/>
      <c r="BD692" s="8"/>
      <c r="BE692" s="4"/>
      <c r="BF692" s="8"/>
      <c r="BG692" s="7"/>
      <c r="BH692" s="7"/>
      <c r="BI692" s="7"/>
      <c r="BJ692" s="4">
        <v>8</v>
      </c>
      <c r="BK692" s="8">
        <v>143.12</v>
      </c>
      <c r="BL692" s="2" t="s">
        <v>3856</v>
      </c>
      <c r="BM692" s="7"/>
      <c r="BN692" s="7"/>
      <c r="BO692" s="4"/>
      <c r="BP692" s="8"/>
      <c r="BQ692" s="4"/>
      <c r="BR692" s="8"/>
      <c r="BS692" s="7"/>
      <c r="BT692" s="7"/>
      <c r="BU692" s="2" t="s">
        <v>3857</v>
      </c>
      <c r="BV692" s="2" t="s">
        <v>233</v>
      </c>
      <c r="BW692" s="2" t="s">
        <v>233</v>
      </c>
      <c r="BX692" s="2" t="s">
        <v>241</v>
      </c>
      <c r="BY692" s="2" t="s">
        <v>242</v>
      </c>
      <c r="BZ692" s="2" t="s">
        <v>230</v>
      </c>
      <c r="CA692" s="2" t="s">
        <v>1106</v>
      </c>
      <c r="CB692" s="2" t="s">
        <v>3858</v>
      </c>
      <c r="CC692" s="2" t="s">
        <v>245</v>
      </c>
      <c r="CD692" s="2" t="s">
        <v>233</v>
      </c>
      <c r="CE692" s="4"/>
      <c r="CF692" s="4">
        <v>87</v>
      </c>
      <c r="CG692" s="4"/>
      <c r="CH692" s="4"/>
      <c r="CI692" s="4"/>
      <c r="CJ692" s="4"/>
      <c r="CK692" s="4"/>
      <c r="CL692" s="4"/>
      <c r="CM692" s="4"/>
      <c r="CN692" s="4"/>
      <c r="CO692" s="4">
        <v>100</v>
      </c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>
        <v>188</v>
      </c>
      <c r="GD692" s="4">
        <v>184</v>
      </c>
      <c r="GE692" s="4">
        <v>182</v>
      </c>
      <c r="GF692" s="4">
        <v>180</v>
      </c>
      <c r="GG692" s="4">
        <v>177</v>
      </c>
      <c r="GH692" s="4">
        <v>175</v>
      </c>
      <c r="GI692" s="4">
        <v>172</v>
      </c>
      <c r="GJ692" s="4">
        <v>170</v>
      </c>
      <c r="GK692" s="4">
        <v>168</v>
      </c>
      <c r="GL692" s="4">
        <v>166</v>
      </c>
      <c r="GM692" s="4">
        <v>164</v>
      </c>
      <c r="GN692" s="4">
        <v>162</v>
      </c>
      <c r="GO692" s="4">
        <v>160</v>
      </c>
      <c r="GP692" s="4">
        <v>158</v>
      </c>
      <c r="GQ692" s="4">
        <v>156</v>
      </c>
      <c r="GR692" s="4">
        <v>154</v>
      </c>
      <c r="GS692" s="4">
        <v>152</v>
      </c>
      <c r="GT692" s="4">
        <v>150</v>
      </c>
      <c r="GU692" s="4">
        <v>148</v>
      </c>
      <c r="GV692" s="4">
        <v>146</v>
      </c>
      <c r="GW692" s="4">
        <v>144</v>
      </c>
      <c r="GX692" s="4">
        <v>142</v>
      </c>
      <c r="GY692" s="4">
        <v>140</v>
      </c>
      <c r="GZ692" s="4">
        <v>138</v>
      </c>
      <c r="HA692" s="4">
        <v>136</v>
      </c>
      <c r="HB692" s="4">
        <v>134</v>
      </c>
      <c r="HC692" s="19">
        <v>14.7</v>
      </c>
      <c r="HD692" s="19">
        <v>21</v>
      </c>
      <c r="HE692" s="19">
        <v>20.5</v>
      </c>
      <c r="HF692" s="19">
        <v>20</v>
      </c>
      <c r="HG692" s="19">
        <v>19.3</v>
      </c>
      <c r="HH692" s="19">
        <v>18.8</v>
      </c>
      <c r="HI692" s="19">
        <v>18</v>
      </c>
      <c r="HJ692" s="19">
        <v>17.5</v>
      </c>
      <c r="HK692" s="19">
        <v>17</v>
      </c>
      <c r="HL692" s="19">
        <v>16.5</v>
      </c>
      <c r="HM692" s="19">
        <v>16</v>
      </c>
      <c r="HN692" s="19">
        <v>15.5</v>
      </c>
      <c r="HO692" s="19">
        <v>15</v>
      </c>
      <c r="HP692" s="19">
        <v>14.5</v>
      </c>
      <c r="HQ692" s="19">
        <v>14</v>
      </c>
      <c r="HR692" s="19">
        <v>13.5</v>
      </c>
      <c r="HS692" s="19">
        <v>13</v>
      </c>
      <c r="HT692" s="19">
        <v>12.5</v>
      </c>
      <c r="HU692" s="19">
        <v>12</v>
      </c>
      <c r="HV692" s="19">
        <v>11.5</v>
      </c>
      <c r="HW692" s="19">
        <v>11</v>
      </c>
      <c r="HX692" s="19">
        <v>10.5</v>
      </c>
      <c r="HY692" s="19">
        <v>10</v>
      </c>
      <c r="HZ692" s="19">
        <v>9.5</v>
      </c>
      <c r="IA692" s="19">
        <v>9</v>
      </c>
      <c r="IB692" s="19">
        <v>8.5</v>
      </c>
    </row>
    <row r="693">
      <c r="A693" s="2" t="s">
        <v>3859</v>
      </c>
      <c r="B693" s="2" t="s">
        <v>811</v>
      </c>
      <c r="C693" s="2" t="s">
        <v>789</v>
      </c>
      <c r="D693" s="2" t="s">
        <v>813</v>
      </c>
      <c r="E693" s="2" t="s">
        <v>814</v>
      </c>
      <c r="F693" s="2" t="s">
        <v>3860</v>
      </c>
      <c r="G693" s="2" t="s">
        <v>3860</v>
      </c>
      <c r="H693" s="2" t="s">
        <v>3860</v>
      </c>
      <c r="I693" s="2" t="s">
        <v>3861</v>
      </c>
      <c r="J693" s="2" t="s">
        <v>741</v>
      </c>
      <c r="K693" s="2" t="s">
        <v>3862</v>
      </c>
      <c r="L693" s="3">
        <v>76.5</v>
      </c>
      <c r="M693" s="3">
        <v>80.33</v>
      </c>
      <c r="N693" s="3">
        <v>159.99</v>
      </c>
      <c r="O693" s="2" t="s">
        <v>230</v>
      </c>
      <c r="P693" s="2" t="s">
        <v>721</v>
      </c>
      <c r="Q693" s="2" t="s">
        <v>232</v>
      </c>
      <c r="R693" s="2" t="s">
        <v>233</v>
      </c>
      <c r="S693" s="2" t="s">
        <v>233</v>
      </c>
      <c r="T693" s="2" t="s">
        <v>233</v>
      </c>
      <c r="U693" s="2" t="s">
        <v>711</v>
      </c>
      <c r="V693" s="2" t="s">
        <v>609</v>
      </c>
      <c r="W693" s="2" t="s">
        <v>620</v>
      </c>
      <c r="X693" s="2" t="s">
        <v>620</v>
      </c>
      <c r="Y693" s="2" t="s">
        <v>3863</v>
      </c>
      <c r="Z693" s="4">
        <v>75</v>
      </c>
      <c r="AA693" s="4">
        <f>=ROUNDDOWN(75,0)</f>
      </c>
      <c r="AB693" s="5">
        <v>1</v>
      </c>
      <c r="AC693" s="2" t="s">
        <v>233</v>
      </c>
      <c r="AD693" s="4"/>
      <c r="AE693" s="4"/>
      <c r="AF693" s="6">
        <v>63</v>
      </c>
      <c r="AG693" s="6"/>
      <c r="AH693" s="7">
        <v>1</v>
      </c>
      <c r="AI693" s="4"/>
      <c r="AJ693" s="4">
        <f>=ROUNDDOWN({0},0)</f>
      </c>
      <c r="AK693" s="5"/>
      <c r="AL693" s="2" t="s">
        <v>233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 t="s">
        <v>233</v>
      </c>
      <c r="BD693" s="8" t="s">
        <v>233</v>
      </c>
      <c r="BE693" s="4" t="s">
        <v>233</v>
      </c>
      <c r="BF693" s="8" t="s">
        <v>233</v>
      </c>
      <c r="BG693" s="7" t="s">
        <v>233</v>
      </c>
      <c r="BH693" s="7" t="s">
        <v>233</v>
      </c>
      <c r="BI693" s="7"/>
      <c r="BJ693" s="4"/>
      <c r="BK693" s="8"/>
      <c r="BL693" s="2" t="s">
        <v>233</v>
      </c>
      <c r="BM693" s="7"/>
      <c r="BN693" s="7"/>
      <c r="BO693" s="4"/>
      <c r="BP693" s="8"/>
      <c r="BQ693" s="4"/>
      <c r="BR693" s="8"/>
      <c r="BS693" s="7"/>
      <c r="BT693" s="7"/>
      <c r="BU693" s="2" t="s">
        <v>3864</v>
      </c>
      <c r="BV693" s="2" t="s">
        <v>233</v>
      </c>
      <c r="BW693" s="2" t="s">
        <v>233</v>
      </c>
      <c r="BX693" s="2" t="s">
        <v>241</v>
      </c>
      <c r="BY693" s="2" t="s">
        <v>242</v>
      </c>
      <c r="BZ693" s="2" t="s">
        <v>230</v>
      </c>
      <c r="CA693" s="2" t="s">
        <v>3592</v>
      </c>
      <c r="CB693" s="2" t="s">
        <v>3430</v>
      </c>
      <c r="CC693" s="2" t="s">
        <v>245</v>
      </c>
      <c r="CD693" s="2" t="s">
        <v>233</v>
      </c>
      <c r="CE693" s="4"/>
      <c r="CF693" s="4">
        <v>75</v>
      </c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>
        <v>75</v>
      </c>
      <c r="GD693" s="4">
        <v>74</v>
      </c>
      <c r="GE693" s="4">
        <v>73</v>
      </c>
      <c r="GF693" s="4">
        <v>72</v>
      </c>
      <c r="GG693" s="4">
        <v>71</v>
      </c>
      <c r="GH693" s="4">
        <v>70</v>
      </c>
      <c r="GI693" s="4">
        <v>69</v>
      </c>
      <c r="GJ693" s="4">
        <v>68</v>
      </c>
      <c r="GK693" s="4">
        <v>67</v>
      </c>
      <c r="GL693" s="4">
        <v>66</v>
      </c>
      <c r="GM693" s="4">
        <v>65</v>
      </c>
      <c r="GN693" s="4">
        <v>64</v>
      </c>
      <c r="GO693" s="4">
        <v>63</v>
      </c>
      <c r="GP693" s="4">
        <v>62</v>
      </c>
      <c r="GQ693" s="4">
        <v>61</v>
      </c>
      <c r="GR693" s="4">
        <v>60</v>
      </c>
      <c r="GS693" s="4">
        <v>59</v>
      </c>
      <c r="GT693" s="4">
        <v>58</v>
      </c>
      <c r="GU693" s="4">
        <v>57</v>
      </c>
      <c r="GV693" s="4">
        <v>56</v>
      </c>
      <c r="GW693" s="4">
        <v>55</v>
      </c>
      <c r="GX693" s="4">
        <v>54</v>
      </c>
      <c r="GY693" s="4">
        <v>53</v>
      </c>
      <c r="GZ693" s="4">
        <v>52</v>
      </c>
      <c r="HA693" s="4">
        <v>51</v>
      </c>
      <c r="HB693" s="4">
        <v>50</v>
      </c>
      <c r="HC693" s="19">
        <v>75</v>
      </c>
      <c r="HD693" s="19">
        <v>74</v>
      </c>
      <c r="HE693" s="19">
        <v>73</v>
      </c>
      <c r="HF693" s="19">
        <v>72</v>
      </c>
      <c r="HG693" s="19">
        <v>71</v>
      </c>
      <c r="HH693" s="19">
        <v>70</v>
      </c>
      <c r="HI693" s="19">
        <v>69</v>
      </c>
      <c r="HJ693" s="19">
        <v>68</v>
      </c>
      <c r="HK693" s="19">
        <v>67</v>
      </c>
      <c r="HL693" s="19">
        <v>66</v>
      </c>
      <c r="HM693" s="19">
        <v>65</v>
      </c>
      <c r="HN693" s="19">
        <v>64</v>
      </c>
      <c r="HO693" s="19">
        <v>63</v>
      </c>
      <c r="HP693" s="19">
        <v>62</v>
      </c>
      <c r="HQ693" s="19">
        <v>61</v>
      </c>
      <c r="HR693" s="19">
        <v>60</v>
      </c>
      <c r="HS693" s="19">
        <v>59</v>
      </c>
      <c r="HT693" s="19">
        <v>58</v>
      </c>
      <c r="HU693" s="19">
        <v>57</v>
      </c>
      <c r="HV693" s="19">
        <v>56</v>
      </c>
      <c r="HW693" s="19">
        <v>55</v>
      </c>
      <c r="HX693" s="19">
        <v>54</v>
      </c>
      <c r="HY693" s="19">
        <v>53</v>
      </c>
      <c r="HZ693" s="19">
        <v>52</v>
      </c>
      <c r="IA693" s="19">
        <v>51</v>
      </c>
      <c r="IB693" s="19">
        <v>50</v>
      </c>
    </row>
    <row r="694">
      <c r="A694" s="2" t="s">
        <v>3865</v>
      </c>
      <c r="B694" s="2" t="s">
        <v>811</v>
      </c>
      <c r="C694" s="2" t="s">
        <v>789</v>
      </c>
      <c r="D694" s="2" t="s">
        <v>813</v>
      </c>
      <c r="E694" s="2" t="s">
        <v>814</v>
      </c>
      <c r="F694" s="2" t="s">
        <v>3860</v>
      </c>
      <c r="G694" s="2" t="s">
        <v>3860</v>
      </c>
      <c r="H694" s="2" t="s">
        <v>3860</v>
      </c>
      <c r="I694" s="2" t="s">
        <v>3861</v>
      </c>
      <c r="J694" s="2" t="s">
        <v>741</v>
      </c>
      <c r="K694" s="2" t="s">
        <v>3866</v>
      </c>
      <c r="L694" s="3">
        <v>76.5</v>
      </c>
      <c r="M694" s="3">
        <v>80.33</v>
      </c>
      <c r="N694" s="3">
        <v>159.99</v>
      </c>
      <c r="O694" s="2" t="s">
        <v>230</v>
      </c>
      <c r="P694" s="2" t="s">
        <v>231</v>
      </c>
      <c r="Q694" s="2" t="s">
        <v>232</v>
      </c>
      <c r="R694" s="2" t="s">
        <v>233</v>
      </c>
      <c r="S694" s="2" t="s">
        <v>233</v>
      </c>
      <c r="T694" s="2" t="s">
        <v>233</v>
      </c>
      <c r="U694" s="2" t="s">
        <v>711</v>
      </c>
      <c r="V694" s="2" t="s">
        <v>609</v>
      </c>
      <c r="W694" s="2" t="s">
        <v>620</v>
      </c>
      <c r="X694" s="2" t="s">
        <v>620</v>
      </c>
      <c r="Y694" s="2" t="s">
        <v>3863</v>
      </c>
      <c r="Z694" s="4">
        <v>75</v>
      </c>
      <c r="AA694" s="4">
        <f>=ROUNDDOWN(75,0)</f>
      </c>
      <c r="AB694" s="5">
        <v>1</v>
      </c>
      <c r="AC694" s="2" t="s">
        <v>233</v>
      </c>
      <c r="AD694" s="4"/>
      <c r="AE694" s="4"/>
      <c r="AF694" s="6">
        <v>63</v>
      </c>
      <c r="AG694" s="6"/>
      <c r="AH694" s="7">
        <v>1</v>
      </c>
      <c r="AI694" s="4"/>
      <c r="AJ694" s="4">
        <f>=ROUNDDOWN({0},0)</f>
      </c>
      <c r="AK694" s="5"/>
      <c r="AL694" s="2" t="s">
        <v>233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 t="s">
        <v>233</v>
      </c>
      <c r="BD694" s="8" t="s">
        <v>233</v>
      </c>
      <c r="BE694" s="4" t="s">
        <v>233</v>
      </c>
      <c r="BF694" s="8" t="s">
        <v>233</v>
      </c>
      <c r="BG694" s="7" t="s">
        <v>233</v>
      </c>
      <c r="BH694" s="7" t="s">
        <v>233</v>
      </c>
      <c r="BI694" s="7"/>
      <c r="BJ694" s="4"/>
      <c r="BK694" s="8"/>
      <c r="BL694" s="2" t="s">
        <v>233</v>
      </c>
      <c r="BM694" s="7"/>
      <c r="BN694" s="7"/>
      <c r="BO694" s="4"/>
      <c r="BP694" s="8"/>
      <c r="BQ694" s="4"/>
      <c r="BR694" s="8"/>
      <c r="BS694" s="7"/>
      <c r="BT694" s="7"/>
      <c r="BU694" s="2" t="s">
        <v>3864</v>
      </c>
      <c r="BV694" s="2" t="s">
        <v>233</v>
      </c>
      <c r="BW694" s="2" t="s">
        <v>233</v>
      </c>
      <c r="BX694" s="2" t="s">
        <v>241</v>
      </c>
      <c r="BY694" s="2" t="s">
        <v>242</v>
      </c>
      <c r="BZ694" s="2" t="s">
        <v>230</v>
      </c>
      <c r="CA694" s="2" t="s">
        <v>3592</v>
      </c>
      <c r="CB694" s="2" t="s">
        <v>1552</v>
      </c>
      <c r="CC694" s="2" t="s">
        <v>245</v>
      </c>
      <c r="CD694" s="2" t="s">
        <v>233</v>
      </c>
      <c r="CE694" s="4"/>
      <c r="CF694" s="4">
        <v>75</v>
      </c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>
        <v>75</v>
      </c>
      <c r="GD694" s="4">
        <v>74</v>
      </c>
      <c r="GE694" s="4">
        <v>73</v>
      </c>
      <c r="GF694" s="4">
        <v>72</v>
      </c>
      <c r="GG694" s="4">
        <v>71</v>
      </c>
      <c r="GH694" s="4">
        <v>70</v>
      </c>
      <c r="GI694" s="4">
        <v>69</v>
      </c>
      <c r="GJ694" s="4">
        <v>68</v>
      </c>
      <c r="GK694" s="4">
        <v>67</v>
      </c>
      <c r="GL694" s="4">
        <v>66</v>
      </c>
      <c r="GM694" s="4">
        <v>65</v>
      </c>
      <c r="GN694" s="4">
        <v>64</v>
      </c>
      <c r="GO694" s="4">
        <v>63</v>
      </c>
      <c r="GP694" s="4">
        <v>62</v>
      </c>
      <c r="GQ694" s="4">
        <v>61</v>
      </c>
      <c r="GR694" s="4">
        <v>60</v>
      </c>
      <c r="GS694" s="4">
        <v>59</v>
      </c>
      <c r="GT694" s="4">
        <v>58</v>
      </c>
      <c r="GU694" s="4">
        <v>57</v>
      </c>
      <c r="GV694" s="4">
        <v>56</v>
      </c>
      <c r="GW694" s="4">
        <v>55</v>
      </c>
      <c r="GX694" s="4">
        <v>54</v>
      </c>
      <c r="GY694" s="4">
        <v>53</v>
      </c>
      <c r="GZ694" s="4">
        <v>52</v>
      </c>
      <c r="HA694" s="4">
        <v>51</v>
      </c>
      <c r="HB694" s="4">
        <v>50</v>
      </c>
      <c r="HC694" s="19">
        <v>75</v>
      </c>
      <c r="HD694" s="19">
        <v>74</v>
      </c>
      <c r="HE694" s="19">
        <v>73</v>
      </c>
      <c r="HF694" s="19">
        <v>72</v>
      </c>
      <c r="HG694" s="19">
        <v>71</v>
      </c>
      <c r="HH694" s="19">
        <v>70</v>
      </c>
      <c r="HI694" s="19">
        <v>69</v>
      </c>
      <c r="HJ694" s="19">
        <v>68</v>
      </c>
      <c r="HK694" s="19">
        <v>67</v>
      </c>
      <c r="HL694" s="19">
        <v>66</v>
      </c>
      <c r="HM694" s="19">
        <v>65</v>
      </c>
      <c r="HN694" s="19">
        <v>64</v>
      </c>
      <c r="HO694" s="19">
        <v>63</v>
      </c>
      <c r="HP694" s="19">
        <v>62</v>
      </c>
      <c r="HQ694" s="19">
        <v>61</v>
      </c>
      <c r="HR694" s="19">
        <v>60</v>
      </c>
      <c r="HS694" s="19">
        <v>59</v>
      </c>
      <c r="HT694" s="19">
        <v>58</v>
      </c>
      <c r="HU694" s="19">
        <v>57</v>
      </c>
      <c r="HV694" s="19">
        <v>56</v>
      </c>
      <c r="HW694" s="19">
        <v>55</v>
      </c>
      <c r="HX694" s="19">
        <v>54</v>
      </c>
      <c r="HY694" s="19">
        <v>53</v>
      </c>
      <c r="HZ694" s="19">
        <v>52</v>
      </c>
      <c r="IA694" s="19">
        <v>51</v>
      </c>
      <c r="IB694" s="19">
        <v>50</v>
      </c>
    </row>
    <row r="695">
      <c r="A695" s="2" t="s">
        <v>3867</v>
      </c>
      <c r="B695" s="2" t="s">
        <v>872</v>
      </c>
      <c r="C695" s="2" t="s">
        <v>280</v>
      </c>
      <c r="D695" s="2" t="s">
        <v>261</v>
      </c>
      <c r="E695" s="2" t="s">
        <v>603</v>
      </c>
      <c r="F695" s="2" t="s">
        <v>3868</v>
      </c>
      <c r="G695" s="2" t="s">
        <v>3869</v>
      </c>
      <c r="H695" s="2" t="s">
        <v>3870</v>
      </c>
      <c r="I695" s="2" t="s">
        <v>3871</v>
      </c>
      <c r="J695" s="2" t="s">
        <v>1052</v>
      </c>
      <c r="K695" s="2" t="s">
        <v>434</v>
      </c>
      <c r="L695" s="3">
        <v>49.68</v>
      </c>
      <c r="M695" s="3">
        <v>52.16</v>
      </c>
      <c r="N695" s="3">
        <v>99.99</v>
      </c>
      <c r="O695" s="2" t="s">
        <v>230</v>
      </c>
      <c r="P695" s="2" t="s">
        <v>231</v>
      </c>
      <c r="Q695" s="2" t="s">
        <v>232</v>
      </c>
      <c r="R695" s="2" t="s">
        <v>233</v>
      </c>
      <c r="S695" s="2" t="s">
        <v>3872</v>
      </c>
      <c r="T695" s="2" t="s">
        <v>233</v>
      </c>
      <c r="U695" s="2" t="s">
        <v>665</v>
      </c>
      <c r="V695" s="2" t="s">
        <v>834</v>
      </c>
      <c r="W695" s="2" t="s">
        <v>712</v>
      </c>
      <c r="X695" s="2" t="s">
        <v>3873</v>
      </c>
      <c r="Y695" s="2" t="s">
        <v>2388</v>
      </c>
      <c r="Z695" s="4">
        <v>133</v>
      </c>
      <c r="AA695" s="4">
        <f>=ROUNDDOWN(33.25,0)</f>
      </c>
      <c r="AB695" s="5">
        <v>4</v>
      </c>
      <c r="AC695" s="2" t="s">
        <v>150</v>
      </c>
      <c r="AD695" s="4">
        <v>100</v>
      </c>
      <c r="AE695" s="4">
        <v>100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233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 t="s">
        <v>233</v>
      </c>
      <c r="BD695" s="8" t="s">
        <v>233</v>
      </c>
      <c r="BE695" s="4" t="s">
        <v>233</v>
      </c>
      <c r="BF695" s="8" t="s">
        <v>233</v>
      </c>
      <c r="BG695" s="7" t="s">
        <v>233</v>
      </c>
      <c r="BH695" s="7" t="s">
        <v>233</v>
      </c>
      <c r="BI695" s="7"/>
      <c r="BJ695" s="4">
        <v>15</v>
      </c>
      <c r="BK695" s="8">
        <v>756.14</v>
      </c>
      <c r="BL695" s="2" t="s">
        <v>3874</v>
      </c>
      <c r="BM695" s="7"/>
      <c r="BN695" s="7"/>
      <c r="BO695" s="4"/>
      <c r="BP695" s="8"/>
      <c r="BQ695" s="4"/>
      <c r="BR695" s="8"/>
      <c r="BS695" s="7"/>
      <c r="BT695" s="7"/>
      <c r="BU695" s="2" t="s">
        <v>3875</v>
      </c>
      <c r="BV695" s="2" t="s">
        <v>233</v>
      </c>
      <c r="BW695" s="2" t="s">
        <v>233</v>
      </c>
      <c r="BX695" s="2" t="s">
        <v>293</v>
      </c>
      <c r="BY695" s="2" t="s">
        <v>242</v>
      </c>
      <c r="BZ695" s="2" t="s">
        <v>230</v>
      </c>
      <c r="CA695" s="2" t="s">
        <v>3876</v>
      </c>
      <c r="CB695" s="2" t="s">
        <v>3877</v>
      </c>
      <c r="CC695" s="2" t="s">
        <v>245</v>
      </c>
      <c r="CD695" s="2" t="s">
        <v>233</v>
      </c>
      <c r="CE695" s="4">
        <v>133</v>
      </c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>
        <v>100</v>
      </c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>
        <v>133</v>
      </c>
      <c r="GD695" s="4">
        <v>121</v>
      </c>
      <c r="GE695" s="4">
        <v>115</v>
      </c>
      <c r="GF695" s="4">
        <v>109</v>
      </c>
      <c r="GG695" s="4">
        <v>197</v>
      </c>
      <c r="GH695" s="4">
        <v>190</v>
      </c>
      <c r="GI695" s="4">
        <v>184</v>
      </c>
      <c r="GJ695" s="4">
        <v>180</v>
      </c>
      <c r="GK695" s="4">
        <v>177</v>
      </c>
      <c r="GL695" s="4">
        <v>173</v>
      </c>
      <c r="GM695" s="4">
        <v>169</v>
      </c>
      <c r="GN695" s="4">
        <v>165</v>
      </c>
      <c r="GO695" s="4">
        <v>161</v>
      </c>
      <c r="GP695" s="4">
        <v>157</v>
      </c>
      <c r="GQ695" s="4">
        <v>153</v>
      </c>
      <c r="GR695" s="4">
        <v>149</v>
      </c>
      <c r="GS695" s="4">
        <v>145</v>
      </c>
      <c r="GT695" s="4">
        <v>141</v>
      </c>
      <c r="GU695" s="4">
        <v>137</v>
      </c>
      <c r="GV695" s="4">
        <v>133</v>
      </c>
      <c r="GW695" s="4">
        <v>129</v>
      </c>
      <c r="GX695" s="4">
        <v>125</v>
      </c>
      <c r="GY695" s="4">
        <v>121</v>
      </c>
      <c r="GZ695" s="4">
        <v>117</v>
      </c>
      <c r="HA695" s="4">
        <v>113</v>
      </c>
      <c r="HB695" s="4">
        <v>109</v>
      </c>
      <c r="HC695" s="19">
        <v>14.8</v>
      </c>
      <c r="HD695" s="19">
        <v>15.1</v>
      </c>
      <c r="HE695" s="19">
        <v>14.4</v>
      </c>
      <c r="HF695" s="19">
        <v>15.6</v>
      </c>
      <c r="HG695" s="19">
        <v>39.4</v>
      </c>
      <c r="HH695" s="19">
        <v>47.5</v>
      </c>
      <c r="HI695" s="19">
        <v>46</v>
      </c>
      <c r="HJ695" s="19">
        <v>45</v>
      </c>
      <c r="HK695" s="19">
        <v>44.3</v>
      </c>
      <c r="HL695" s="19">
        <v>43.3</v>
      </c>
      <c r="HM695" s="19">
        <v>42.3</v>
      </c>
      <c r="HN695" s="19">
        <v>41.3</v>
      </c>
      <c r="HO695" s="19">
        <v>40.3</v>
      </c>
      <c r="HP695" s="19">
        <v>39.3</v>
      </c>
      <c r="HQ695" s="19">
        <v>38.3</v>
      </c>
      <c r="HR695" s="19">
        <v>37.3</v>
      </c>
      <c r="HS695" s="19">
        <v>36.3</v>
      </c>
      <c r="HT695" s="19">
        <v>35.3</v>
      </c>
      <c r="HU695" s="19">
        <v>34.3</v>
      </c>
      <c r="HV695" s="19">
        <v>33.3</v>
      </c>
      <c r="HW695" s="19">
        <v>32.3</v>
      </c>
      <c r="HX695" s="19">
        <v>31.3</v>
      </c>
      <c r="HY695" s="19">
        <v>30.3</v>
      </c>
      <c r="HZ695" s="19">
        <v>29.3</v>
      </c>
      <c r="IA695" s="19">
        <v>28.3</v>
      </c>
      <c r="IB695" s="19">
        <v>27.3</v>
      </c>
    </row>
    <row r="696">
      <c r="A696" s="2" t="s">
        <v>3878</v>
      </c>
      <c r="B696" s="2" t="s">
        <v>872</v>
      </c>
      <c r="C696" s="2" t="s">
        <v>280</v>
      </c>
      <c r="D696" s="2" t="s">
        <v>261</v>
      </c>
      <c r="E696" s="2" t="s">
        <v>603</v>
      </c>
      <c r="F696" s="2" t="s">
        <v>3868</v>
      </c>
      <c r="G696" s="2" t="s">
        <v>3869</v>
      </c>
      <c r="H696" s="2" t="s">
        <v>3870</v>
      </c>
      <c r="I696" s="2" t="s">
        <v>3871</v>
      </c>
      <c r="J696" s="2" t="s">
        <v>1052</v>
      </c>
      <c r="K696" s="2" t="s">
        <v>3879</v>
      </c>
      <c r="L696" s="3">
        <v>49.68</v>
      </c>
      <c r="M696" s="3">
        <v>52.16</v>
      </c>
      <c r="N696" s="3">
        <v>99.99</v>
      </c>
      <c r="O696" s="2" t="s">
        <v>230</v>
      </c>
      <c r="P696" s="2" t="s">
        <v>597</v>
      </c>
      <c r="Q696" s="2" t="s">
        <v>232</v>
      </c>
      <c r="R696" s="2" t="s">
        <v>233</v>
      </c>
      <c r="S696" s="2" t="s">
        <v>3880</v>
      </c>
      <c r="T696" s="2" t="s">
        <v>233</v>
      </c>
      <c r="U696" s="2" t="s">
        <v>665</v>
      </c>
      <c r="V696" s="2" t="s">
        <v>834</v>
      </c>
      <c r="W696" s="2" t="s">
        <v>712</v>
      </c>
      <c r="X696" s="2" t="s">
        <v>3873</v>
      </c>
      <c r="Y696" s="2" t="s">
        <v>3881</v>
      </c>
      <c r="Z696" s="4">
        <v>321</v>
      </c>
      <c r="AA696" s="4">
        <f>=ROUNDDOWN(40.125,0)</f>
      </c>
      <c r="AB696" s="5">
        <v>8</v>
      </c>
      <c r="AC696" s="2" t="s">
        <v>143</v>
      </c>
      <c r="AD696" s="4">
        <v>78</v>
      </c>
      <c r="AE696" s="4">
        <v>198</v>
      </c>
      <c r="AF696" s="6">
        <v>65</v>
      </c>
      <c r="AG696" s="6">
        <v>73</v>
      </c>
      <c r="AH696" s="7">
        <v>1</v>
      </c>
      <c r="AI696" s="4"/>
      <c r="AJ696" s="4">
        <f>=ROUNDDOWN({0},0)</f>
      </c>
      <c r="AK696" s="5"/>
      <c r="AL696" s="2" t="s">
        <v>233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233</v>
      </c>
      <c r="AW696" s="8" t="s">
        <v>233</v>
      </c>
      <c r="AX696" s="4" t="s">
        <v>233</v>
      </c>
      <c r="AY696" s="8" t="s">
        <v>233</v>
      </c>
      <c r="AZ696" s="7" t="s">
        <v>233</v>
      </c>
      <c r="BA696" s="7" t="s">
        <v>233</v>
      </c>
      <c r="BB696" s="7"/>
      <c r="BC696" s="4" t="s">
        <v>233</v>
      </c>
      <c r="BD696" s="8" t="s">
        <v>233</v>
      </c>
      <c r="BE696" s="4" t="s">
        <v>233</v>
      </c>
      <c r="BF696" s="8" t="s">
        <v>233</v>
      </c>
      <c r="BG696" s="7" t="s">
        <v>233</v>
      </c>
      <c r="BH696" s="7" t="s">
        <v>233</v>
      </c>
      <c r="BI696" s="7"/>
      <c r="BJ696" s="4">
        <v>24</v>
      </c>
      <c r="BK696" s="8">
        <v>1362.38</v>
      </c>
      <c r="BL696" s="2" t="s">
        <v>3882</v>
      </c>
      <c r="BM696" s="7"/>
      <c r="BN696" s="7"/>
      <c r="BO696" s="4"/>
      <c r="BP696" s="8"/>
      <c r="BQ696" s="4"/>
      <c r="BR696" s="8"/>
      <c r="BS696" s="7"/>
      <c r="BT696" s="7"/>
      <c r="BU696" s="2" t="s">
        <v>3875</v>
      </c>
      <c r="BV696" s="2" t="s">
        <v>233</v>
      </c>
      <c r="BW696" s="2" t="s">
        <v>233</v>
      </c>
      <c r="BX696" s="2" t="s">
        <v>293</v>
      </c>
      <c r="BY696" s="2" t="s">
        <v>242</v>
      </c>
      <c r="BZ696" s="2" t="s">
        <v>230</v>
      </c>
      <c r="CA696" s="2" t="s">
        <v>3883</v>
      </c>
      <c r="CB696" s="2" t="s">
        <v>3884</v>
      </c>
      <c r="CC696" s="2" t="s">
        <v>245</v>
      </c>
      <c r="CD696" s="2" t="s">
        <v>233</v>
      </c>
      <c r="CE696" s="4">
        <v>271</v>
      </c>
      <c r="CF696" s="4">
        <v>28</v>
      </c>
      <c r="CG696" s="4"/>
      <c r="CH696" s="4">
        <v>22</v>
      </c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>
        <v>78</v>
      </c>
      <c r="DF696" s="4"/>
      <c r="DG696" s="4"/>
      <c r="DH696" s="4"/>
      <c r="DI696" s="4"/>
      <c r="DJ696" s="4"/>
      <c r="DK696" s="4">
        <v>70</v>
      </c>
      <c r="DL696" s="4"/>
      <c r="DM696" s="4"/>
      <c r="DN696" s="4"/>
      <c r="DO696" s="4"/>
      <c r="DP696" s="4"/>
      <c r="DQ696" s="4">
        <v>50</v>
      </c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>
        <v>324</v>
      </c>
      <c r="GD696" s="4">
        <v>304</v>
      </c>
      <c r="GE696" s="4">
        <v>281</v>
      </c>
      <c r="GF696" s="4">
        <v>340</v>
      </c>
      <c r="GG696" s="4">
        <v>374</v>
      </c>
      <c r="GH696" s="4">
        <v>403</v>
      </c>
      <c r="GI696" s="4">
        <v>383</v>
      </c>
      <c r="GJ696" s="4">
        <v>375</v>
      </c>
      <c r="GK696" s="4">
        <v>369</v>
      </c>
      <c r="GL696" s="4">
        <v>361</v>
      </c>
      <c r="GM696" s="4">
        <v>353</v>
      </c>
      <c r="GN696" s="4">
        <v>345</v>
      </c>
      <c r="GO696" s="4">
        <v>337</v>
      </c>
      <c r="GP696" s="4">
        <v>329</v>
      </c>
      <c r="GQ696" s="4">
        <v>321</v>
      </c>
      <c r="GR696" s="4">
        <v>313</v>
      </c>
      <c r="GS696" s="4">
        <v>305</v>
      </c>
      <c r="GT696" s="4">
        <v>297</v>
      </c>
      <c r="GU696" s="4">
        <v>289</v>
      </c>
      <c r="GV696" s="4">
        <v>281</v>
      </c>
      <c r="GW696" s="4">
        <v>273</v>
      </c>
      <c r="GX696" s="4">
        <v>265</v>
      </c>
      <c r="GY696" s="4">
        <v>257</v>
      </c>
      <c r="GZ696" s="4">
        <v>249</v>
      </c>
      <c r="HA696" s="4">
        <v>241</v>
      </c>
      <c r="HB696" s="4">
        <v>233</v>
      </c>
      <c r="HC696" s="19">
        <v>10.4</v>
      </c>
      <c r="HD696" s="19">
        <v>9</v>
      </c>
      <c r="HE696" s="19">
        <v>7.9</v>
      </c>
      <c r="HF696" s="19">
        <v>10</v>
      </c>
      <c r="HG696" s="19">
        <v>17</v>
      </c>
      <c r="HH696" s="19">
        <v>31.5</v>
      </c>
      <c r="HI696" s="19">
        <v>41.3</v>
      </c>
      <c r="HJ696" s="19">
        <v>40.3</v>
      </c>
      <c r="HK696" s="19">
        <v>39.5</v>
      </c>
      <c r="HL696" s="19">
        <v>38.5</v>
      </c>
      <c r="HM696" s="19">
        <v>37.5</v>
      </c>
      <c r="HN696" s="19">
        <v>36.5</v>
      </c>
      <c r="HO696" s="19">
        <v>35.5</v>
      </c>
      <c r="HP696" s="19">
        <v>34.5</v>
      </c>
      <c r="HQ696" s="19">
        <v>33.5</v>
      </c>
      <c r="HR696" s="19">
        <v>32.5</v>
      </c>
      <c r="HS696" s="19">
        <v>31.5</v>
      </c>
      <c r="HT696" s="19">
        <v>30.5</v>
      </c>
      <c r="HU696" s="19">
        <v>25.6</v>
      </c>
      <c r="HV696" s="19">
        <v>24.4</v>
      </c>
      <c r="HW696" s="19">
        <v>20.8</v>
      </c>
      <c r="HX696" s="19">
        <v>16.6</v>
      </c>
      <c r="HY696" s="19">
        <v>16.1</v>
      </c>
      <c r="HZ696" s="19">
        <v>15.6</v>
      </c>
      <c r="IA696" s="19">
        <v>15.1</v>
      </c>
      <c r="IB696" s="19">
        <v>14.6</v>
      </c>
    </row>
    <row r="697">
      <c r="A697" s="2" t="s">
        <v>3885</v>
      </c>
      <c r="B697" s="2" t="s">
        <v>872</v>
      </c>
      <c r="C697" s="2" t="s">
        <v>280</v>
      </c>
      <c r="D697" s="2" t="s">
        <v>884</v>
      </c>
      <c r="E697" s="2" t="s">
        <v>1753</v>
      </c>
      <c r="F697" s="2" t="s">
        <v>3868</v>
      </c>
      <c r="G697" s="2" t="s">
        <v>3869</v>
      </c>
      <c r="H697" s="2" t="s">
        <v>3870</v>
      </c>
      <c r="I697" s="2" t="s">
        <v>3886</v>
      </c>
      <c r="J697" s="2" t="s">
        <v>275</v>
      </c>
      <c r="K697" s="2" t="s">
        <v>3879</v>
      </c>
      <c r="L697" s="3">
        <v>66.29</v>
      </c>
      <c r="M697" s="3">
        <v>69.61</v>
      </c>
      <c r="N697" s="3">
        <v>129.99</v>
      </c>
      <c r="O697" s="2" t="s">
        <v>230</v>
      </c>
      <c r="P697" s="2" t="s">
        <v>597</v>
      </c>
      <c r="Q697" s="2" t="s">
        <v>232</v>
      </c>
      <c r="R697" s="2" t="s">
        <v>233</v>
      </c>
      <c r="S697" s="2" t="s">
        <v>3880</v>
      </c>
      <c r="T697" s="2" t="s">
        <v>233</v>
      </c>
      <c r="U697" s="2" t="s">
        <v>665</v>
      </c>
      <c r="V697" s="2" t="s">
        <v>834</v>
      </c>
      <c r="W697" s="2" t="s">
        <v>712</v>
      </c>
      <c r="X697" s="2" t="s">
        <v>3873</v>
      </c>
      <c r="Y697" s="2" t="s">
        <v>1086</v>
      </c>
      <c r="Z697" s="4">
        <v>409</v>
      </c>
      <c r="AA697" s="4">
        <f>=ROUNDDOWN(40.9,0)</f>
      </c>
      <c r="AB697" s="5">
        <v>10</v>
      </c>
      <c r="AC697" s="2" t="s">
        <v>149</v>
      </c>
      <c r="AD697" s="4">
        <v>148</v>
      </c>
      <c r="AE697" s="4">
        <v>148</v>
      </c>
      <c r="AF697" s="6">
        <v>65</v>
      </c>
      <c r="AG697" s="6">
        <v>73</v>
      </c>
      <c r="AH697" s="7">
        <v>1</v>
      </c>
      <c r="AI697" s="4"/>
      <c r="AJ697" s="4">
        <f>=ROUNDDOWN({0},0)</f>
      </c>
      <c r="AK697" s="5"/>
      <c r="AL697" s="2" t="s">
        <v>233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233</v>
      </c>
      <c r="AW697" s="8" t="s">
        <v>233</v>
      </c>
      <c r="AX697" s="4" t="s">
        <v>233</v>
      </c>
      <c r="AY697" s="8" t="s">
        <v>233</v>
      </c>
      <c r="AZ697" s="7" t="s">
        <v>233</v>
      </c>
      <c r="BA697" s="7" t="s">
        <v>233</v>
      </c>
      <c r="BB697" s="7"/>
      <c r="BC697" s="4" t="s">
        <v>233</v>
      </c>
      <c r="BD697" s="8" t="s">
        <v>233</v>
      </c>
      <c r="BE697" s="4" t="s">
        <v>233</v>
      </c>
      <c r="BF697" s="8" t="s">
        <v>233</v>
      </c>
      <c r="BG697" s="7" t="s">
        <v>233</v>
      </c>
      <c r="BH697" s="7" t="s">
        <v>233</v>
      </c>
      <c r="BI697" s="7"/>
      <c r="BJ697" s="4">
        <v>27</v>
      </c>
      <c r="BK697" s="8">
        <v>1837.18</v>
      </c>
      <c r="BL697" s="2" t="s">
        <v>3887</v>
      </c>
      <c r="BM697" s="7"/>
      <c r="BN697" s="7"/>
      <c r="BO697" s="4"/>
      <c r="BP697" s="8"/>
      <c r="BQ697" s="4"/>
      <c r="BR697" s="8"/>
      <c r="BS697" s="7"/>
      <c r="BT697" s="7"/>
      <c r="BU697" s="2" t="s">
        <v>3888</v>
      </c>
      <c r="BV697" s="2" t="s">
        <v>233</v>
      </c>
      <c r="BW697" s="2" t="s">
        <v>233</v>
      </c>
      <c r="BX697" s="2" t="s">
        <v>241</v>
      </c>
      <c r="BY697" s="2" t="s">
        <v>242</v>
      </c>
      <c r="BZ697" s="2" t="s">
        <v>230</v>
      </c>
      <c r="CA697" s="2" t="s">
        <v>2622</v>
      </c>
      <c r="CB697" s="2" t="s">
        <v>2488</v>
      </c>
      <c r="CC697" s="2" t="s">
        <v>245</v>
      </c>
      <c r="CD697" s="2" t="s">
        <v>233</v>
      </c>
      <c r="CE697" s="4">
        <v>308</v>
      </c>
      <c r="CF697" s="4"/>
      <c r="CG697" s="4"/>
      <c r="CH697" s="4">
        <v>101</v>
      </c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>
        <v>148</v>
      </c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>
        <v>421</v>
      </c>
      <c r="GD697" s="4">
        <v>404</v>
      </c>
      <c r="GE697" s="4">
        <v>395</v>
      </c>
      <c r="GF697" s="4">
        <v>386</v>
      </c>
      <c r="GG697" s="4">
        <v>516</v>
      </c>
      <c r="GH697" s="4">
        <v>501</v>
      </c>
      <c r="GI697" s="4">
        <v>488</v>
      </c>
      <c r="GJ697" s="4">
        <v>479</v>
      </c>
      <c r="GK697" s="4">
        <v>472</v>
      </c>
      <c r="GL697" s="4">
        <v>461</v>
      </c>
      <c r="GM697" s="4">
        <v>451</v>
      </c>
      <c r="GN697" s="4">
        <v>441</v>
      </c>
      <c r="GO697" s="4">
        <v>431</v>
      </c>
      <c r="GP697" s="4">
        <v>421</v>
      </c>
      <c r="GQ697" s="4">
        <v>411</v>
      </c>
      <c r="GR697" s="4">
        <v>401</v>
      </c>
      <c r="GS697" s="4">
        <v>391</v>
      </c>
      <c r="GT697" s="4">
        <v>380</v>
      </c>
      <c r="GU697" s="4">
        <v>370</v>
      </c>
      <c r="GV697" s="4">
        <v>360</v>
      </c>
      <c r="GW697" s="4">
        <v>350</v>
      </c>
      <c r="GX697" s="4">
        <v>340</v>
      </c>
      <c r="GY697" s="4">
        <v>330</v>
      </c>
      <c r="GZ697" s="4">
        <v>320</v>
      </c>
      <c r="HA697" s="4">
        <v>310</v>
      </c>
      <c r="HB697" s="4">
        <v>300</v>
      </c>
      <c r="HC697" s="19">
        <v>33.1</v>
      </c>
      <c r="HD697" s="19">
        <v>31.7</v>
      </c>
      <c r="HE697" s="19">
        <v>29.6</v>
      </c>
      <c r="HF697" s="19">
        <v>28.9</v>
      </c>
      <c r="HG697" s="19">
        <v>46.2</v>
      </c>
      <c r="HH697" s="19">
        <v>47.7</v>
      </c>
      <c r="HI697" s="19">
        <v>46.3</v>
      </c>
      <c r="HJ697" s="19">
        <v>45.3</v>
      </c>
      <c r="HK697" s="19">
        <v>44.7</v>
      </c>
      <c r="HL697" s="19">
        <v>43.7</v>
      </c>
      <c r="HM697" s="19">
        <v>42.7</v>
      </c>
      <c r="HN697" s="19">
        <v>41.7</v>
      </c>
      <c r="HO697" s="19">
        <v>40.7</v>
      </c>
      <c r="HP697" s="19">
        <v>39.7</v>
      </c>
      <c r="HQ697" s="19">
        <v>38.7</v>
      </c>
      <c r="HR697" s="19">
        <v>37.7</v>
      </c>
      <c r="HS697" s="19">
        <v>36.7</v>
      </c>
      <c r="HT697" s="19">
        <v>35.6</v>
      </c>
      <c r="HU697" s="19">
        <v>34.6</v>
      </c>
      <c r="HV697" s="19">
        <v>33.6</v>
      </c>
      <c r="HW697" s="19">
        <v>32.6</v>
      </c>
      <c r="HX697" s="19">
        <v>31.6</v>
      </c>
      <c r="HY697" s="19">
        <v>30.6</v>
      </c>
      <c r="HZ697" s="19">
        <v>29.6</v>
      </c>
      <c r="IA697" s="19">
        <v>28.6</v>
      </c>
      <c r="IB697" s="19">
        <v>27.6</v>
      </c>
    </row>
    <row r="698">
      <c r="A698" s="2" t="s">
        <v>3889</v>
      </c>
      <c r="B698" s="2" t="s">
        <v>872</v>
      </c>
      <c r="C698" s="2" t="s">
        <v>280</v>
      </c>
      <c r="D698" s="2" t="s">
        <v>261</v>
      </c>
      <c r="E698" s="2" t="s">
        <v>603</v>
      </c>
      <c r="F698" s="2" t="s">
        <v>3868</v>
      </c>
      <c r="G698" s="2" t="s">
        <v>3869</v>
      </c>
      <c r="H698" s="2" t="s">
        <v>3870</v>
      </c>
      <c r="I698" s="2" t="s">
        <v>3871</v>
      </c>
      <c r="J698" s="2" t="s">
        <v>285</v>
      </c>
      <c r="K698" s="2" t="s">
        <v>3879</v>
      </c>
      <c r="L698" s="3">
        <v>74.96</v>
      </c>
      <c r="M698" s="3">
        <v>78.71</v>
      </c>
      <c r="N698" s="3">
        <v>149.99</v>
      </c>
      <c r="O698" s="2" t="s">
        <v>230</v>
      </c>
      <c r="P698" s="2" t="s">
        <v>597</v>
      </c>
      <c r="Q698" s="2" t="s">
        <v>232</v>
      </c>
      <c r="R698" s="2" t="s">
        <v>233</v>
      </c>
      <c r="S698" s="2" t="s">
        <v>3880</v>
      </c>
      <c r="T698" s="2" t="s">
        <v>233</v>
      </c>
      <c r="U698" s="2" t="s">
        <v>635</v>
      </c>
      <c r="V698" s="2" t="s">
        <v>834</v>
      </c>
      <c r="W698" s="2" t="s">
        <v>712</v>
      </c>
      <c r="X698" s="2" t="s">
        <v>3873</v>
      </c>
      <c r="Y698" s="2" t="s">
        <v>3890</v>
      </c>
      <c r="Z698" s="4">
        <v>428</v>
      </c>
      <c r="AA698" s="4">
        <f>=ROUNDDOWN(61.1428571428571,0)</f>
      </c>
      <c r="AB698" s="5">
        <v>7</v>
      </c>
      <c r="AC698" s="2" t="s">
        <v>1470</v>
      </c>
      <c r="AD698" s="4">
        <v>30</v>
      </c>
      <c r="AE698" s="4">
        <v>30</v>
      </c>
      <c r="AF698" s="6">
        <v>65</v>
      </c>
      <c r="AG698" s="6">
        <v>73</v>
      </c>
      <c r="AH698" s="7">
        <v>1</v>
      </c>
      <c r="AI698" s="4"/>
      <c r="AJ698" s="4">
        <f>=ROUNDDOWN({0},0)</f>
      </c>
      <c r="AK698" s="5"/>
      <c r="AL698" s="2" t="s">
        <v>233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233</v>
      </c>
      <c r="AW698" s="8" t="s">
        <v>233</v>
      </c>
      <c r="AX698" s="4" t="s">
        <v>233</v>
      </c>
      <c r="AY698" s="8" t="s">
        <v>233</v>
      </c>
      <c r="AZ698" s="7" t="s">
        <v>233</v>
      </c>
      <c r="BA698" s="7" t="s">
        <v>233</v>
      </c>
      <c r="BB698" s="7"/>
      <c r="BC698" s="4" t="s">
        <v>233</v>
      </c>
      <c r="BD698" s="8" t="s">
        <v>233</v>
      </c>
      <c r="BE698" s="4" t="s">
        <v>233</v>
      </c>
      <c r="BF698" s="8" t="s">
        <v>233</v>
      </c>
      <c r="BG698" s="7" t="s">
        <v>233</v>
      </c>
      <c r="BH698" s="7" t="s">
        <v>233</v>
      </c>
      <c r="BI698" s="7"/>
      <c r="BJ698" s="4">
        <v>20</v>
      </c>
      <c r="BK698" s="8">
        <v>1641.84</v>
      </c>
      <c r="BL698" s="2" t="s">
        <v>1870</v>
      </c>
      <c r="BM698" s="7"/>
      <c r="BN698" s="7"/>
      <c r="BO698" s="4"/>
      <c r="BP698" s="8"/>
      <c r="BQ698" s="4"/>
      <c r="BR698" s="8"/>
      <c r="BS698" s="7"/>
      <c r="BT698" s="7"/>
      <c r="BU698" s="2" t="s">
        <v>3875</v>
      </c>
      <c r="BV698" s="2" t="s">
        <v>233</v>
      </c>
      <c r="BW698" s="2" t="s">
        <v>233</v>
      </c>
      <c r="BX698" s="2" t="s">
        <v>293</v>
      </c>
      <c r="BY698" s="2" t="s">
        <v>242</v>
      </c>
      <c r="BZ698" s="2" t="s">
        <v>230</v>
      </c>
      <c r="CA698" s="2" t="s">
        <v>3891</v>
      </c>
      <c r="CB698" s="2" t="s">
        <v>3891</v>
      </c>
      <c r="CC698" s="2" t="s">
        <v>245</v>
      </c>
      <c r="CD698" s="2" t="s">
        <v>233</v>
      </c>
      <c r="CE698" s="4">
        <v>337</v>
      </c>
      <c r="CF698" s="4">
        <v>36</v>
      </c>
      <c r="CG698" s="4"/>
      <c r="CH698" s="4">
        <v>55</v>
      </c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>
        <v>30</v>
      </c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>
        <v>432</v>
      </c>
      <c r="GD698" s="4">
        <v>414</v>
      </c>
      <c r="GE698" s="4">
        <v>395</v>
      </c>
      <c r="GF698" s="4">
        <v>381</v>
      </c>
      <c r="GG698" s="4">
        <v>342</v>
      </c>
      <c r="GH698" s="4">
        <v>356</v>
      </c>
      <c r="GI698" s="4">
        <v>343</v>
      </c>
      <c r="GJ698" s="4">
        <v>329</v>
      </c>
      <c r="GK698" s="4">
        <v>325</v>
      </c>
      <c r="GL698" s="4">
        <v>319</v>
      </c>
      <c r="GM698" s="4">
        <v>313</v>
      </c>
      <c r="GN698" s="4">
        <v>307</v>
      </c>
      <c r="GO698" s="4">
        <v>301</v>
      </c>
      <c r="GP698" s="4">
        <v>295</v>
      </c>
      <c r="GQ698" s="4">
        <v>289</v>
      </c>
      <c r="GR698" s="4">
        <v>282</v>
      </c>
      <c r="GS698" s="4">
        <v>275</v>
      </c>
      <c r="GT698" s="4">
        <v>268</v>
      </c>
      <c r="GU698" s="4">
        <v>261</v>
      </c>
      <c r="GV698" s="4">
        <v>254</v>
      </c>
      <c r="GW698" s="4">
        <v>247</v>
      </c>
      <c r="GX698" s="4">
        <v>240</v>
      </c>
      <c r="GY698" s="4">
        <v>233</v>
      </c>
      <c r="GZ698" s="4">
        <v>226</v>
      </c>
      <c r="HA698" s="4">
        <v>219</v>
      </c>
      <c r="HB698" s="4">
        <v>212</v>
      </c>
      <c r="HC698" s="19">
        <v>16</v>
      </c>
      <c r="HD698" s="19">
        <v>16.1</v>
      </c>
      <c r="HE698" s="19">
        <v>15.6</v>
      </c>
      <c r="HF698" s="19">
        <v>15</v>
      </c>
      <c r="HG698" s="19">
        <v>22.9</v>
      </c>
      <c r="HH698" s="19">
        <v>33.8</v>
      </c>
      <c r="HI698" s="19">
        <v>41.1</v>
      </c>
      <c r="HJ698" s="19">
        <v>46.2</v>
      </c>
      <c r="HK698" s="19">
        <v>45.5</v>
      </c>
      <c r="HL698" s="19">
        <v>44.5</v>
      </c>
      <c r="HM698" s="19">
        <v>43.5</v>
      </c>
      <c r="HN698" s="19">
        <v>42.5</v>
      </c>
      <c r="HO698" s="19">
        <v>41.5</v>
      </c>
      <c r="HP698" s="19">
        <v>33.9</v>
      </c>
      <c r="HQ698" s="19">
        <v>33</v>
      </c>
      <c r="HR698" s="19">
        <v>32</v>
      </c>
      <c r="HS698" s="19">
        <v>31</v>
      </c>
      <c r="HT698" s="19">
        <v>30</v>
      </c>
      <c r="HU698" s="19">
        <v>29</v>
      </c>
      <c r="HV698" s="19">
        <v>28</v>
      </c>
      <c r="HW698" s="19">
        <v>27</v>
      </c>
      <c r="HX698" s="19">
        <v>26</v>
      </c>
      <c r="HY698" s="19">
        <v>25</v>
      </c>
      <c r="HZ698" s="19">
        <v>24</v>
      </c>
      <c r="IA698" s="19">
        <v>23</v>
      </c>
      <c r="IB698" s="19">
        <v>19.8</v>
      </c>
    </row>
    <row r="699">
      <c r="A699" s="2" t="s">
        <v>3892</v>
      </c>
      <c r="B699" s="2" t="s">
        <v>872</v>
      </c>
      <c r="C699" s="2" t="s">
        <v>280</v>
      </c>
      <c r="D699" s="2" t="s">
        <v>261</v>
      </c>
      <c r="E699" s="2" t="s">
        <v>603</v>
      </c>
      <c r="F699" s="2" t="s">
        <v>3868</v>
      </c>
      <c r="G699" s="2" t="s">
        <v>3869</v>
      </c>
      <c r="H699" s="2" t="s">
        <v>3870</v>
      </c>
      <c r="I699" s="2" t="s">
        <v>3871</v>
      </c>
      <c r="J699" s="2" t="s">
        <v>1052</v>
      </c>
      <c r="K699" s="2" t="s">
        <v>3893</v>
      </c>
      <c r="L699" s="3">
        <v>49.68</v>
      </c>
      <c r="M699" s="3">
        <v>52.16</v>
      </c>
      <c r="N699" s="3">
        <v>99.99</v>
      </c>
      <c r="O699" s="2" t="s">
        <v>230</v>
      </c>
      <c r="P699" s="2" t="s">
        <v>597</v>
      </c>
      <c r="Q699" s="2" t="s">
        <v>232</v>
      </c>
      <c r="R699" s="2" t="s">
        <v>233</v>
      </c>
      <c r="S699" s="2" t="s">
        <v>3894</v>
      </c>
      <c r="T699" s="2" t="s">
        <v>233</v>
      </c>
      <c r="U699" s="2" t="s">
        <v>665</v>
      </c>
      <c r="V699" s="2" t="s">
        <v>834</v>
      </c>
      <c r="W699" s="2" t="s">
        <v>712</v>
      </c>
      <c r="X699" s="2" t="s">
        <v>3873</v>
      </c>
      <c r="Y699" s="2" t="s">
        <v>238</v>
      </c>
      <c r="Z699" s="4">
        <v>174</v>
      </c>
      <c r="AA699" s="4">
        <f>=ROUNDDOWN(34.8,0)</f>
      </c>
      <c r="AB699" s="5">
        <v>5</v>
      </c>
      <c r="AC699" s="2" t="s">
        <v>143</v>
      </c>
      <c r="AD699" s="4">
        <v>190</v>
      </c>
      <c r="AE699" s="4">
        <v>190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233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233</v>
      </c>
      <c r="AW699" s="8" t="s">
        <v>233</v>
      </c>
      <c r="AX699" s="4" t="s">
        <v>233</v>
      </c>
      <c r="AY699" s="8" t="s">
        <v>233</v>
      </c>
      <c r="AZ699" s="7" t="s">
        <v>233</v>
      </c>
      <c r="BA699" s="7" t="s">
        <v>233</v>
      </c>
      <c r="BB699" s="7"/>
      <c r="BC699" s="4" t="s">
        <v>233</v>
      </c>
      <c r="BD699" s="8" t="s">
        <v>233</v>
      </c>
      <c r="BE699" s="4" t="s">
        <v>233</v>
      </c>
      <c r="BF699" s="8" t="s">
        <v>233</v>
      </c>
      <c r="BG699" s="7" t="s">
        <v>233</v>
      </c>
      <c r="BH699" s="7" t="s">
        <v>233</v>
      </c>
      <c r="BI699" s="7"/>
      <c r="BJ699" s="4">
        <v>15</v>
      </c>
      <c r="BK699" s="8">
        <v>811.66</v>
      </c>
      <c r="BL699" s="2" t="s">
        <v>491</v>
      </c>
      <c r="BM699" s="7"/>
      <c r="BN699" s="7"/>
      <c r="BO699" s="4"/>
      <c r="BP699" s="8"/>
      <c r="BQ699" s="4"/>
      <c r="BR699" s="8"/>
      <c r="BS699" s="7"/>
      <c r="BT699" s="7"/>
      <c r="BU699" s="2" t="s">
        <v>3875</v>
      </c>
      <c r="BV699" s="2" t="s">
        <v>233</v>
      </c>
      <c r="BW699" s="2" t="s">
        <v>233</v>
      </c>
      <c r="BX699" s="2" t="s">
        <v>293</v>
      </c>
      <c r="BY699" s="2" t="s">
        <v>242</v>
      </c>
      <c r="BZ699" s="2" t="s">
        <v>230</v>
      </c>
      <c r="CA699" s="2" t="s">
        <v>243</v>
      </c>
      <c r="CB699" s="2" t="s">
        <v>3895</v>
      </c>
      <c r="CC699" s="2" t="s">
        <v>245</v>
      </c>
      <c r="CD699" s="2" t="s">
        <v>233</v>
      </c>
      <c r="CE699" s="4">
        <v>115</v>
      </c>
      <c r="CF699" s="4">
        <v>59</v>
      </c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>
        <v>190</v>
      </c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>
        <v>176</v>
      </c>
      <c r="GD699" s="4">
        <v>152</v>
      </c>
      <c r="GE699" s="4">
        <v>145</v>
      </c>
      <c r="GF699" s="4">
        <v>328</v>
      </c>
      <c r="GG699" s="4">
        <v>315</v>
      </c>
      <c r="GH699" s="4">
        <v>307</v>
      </c>
      <c r="GI699" s="4">
        <v>300</v>
      </c>
      <c r="GJ699" s="4">
        <v>295</v>
      </c>
      <c r="GK699" s="4">
        <v>291</v>
      </c>
      <c r="GL699" s="4">
        <v>286</v>
      </c>
      <c r="GM699" s="4">
        <v>281</v>
      </c>
      <c r="GN699" s="4">
        <v>276</v>
      </c>
      <c r="GO699" s="4">
        <v>271</v>
      </c>
      <c r="GP699" s="4">
        <v>266</v>
      </c>
      <c r="GQ699" s="4">
        <v>261</v>
      </c>
      <c r="GR699" s="4">
        <v>256</v>
      </c>
      <c r="GS699" s="4">
        <v>251</v>
      </c>
      <c r="GT699" s="4">
        <v>246</v>
      </c>
      <c r="GU699" s="4">
        <v>241</v>
      </c>
      <c r="GV699" s="4">
        <v>236</v>
      </c>
      <c r="GW699" s="4">
        <v>231</v>
      </c>
      <c r="GX699" s="4">
        <v>226</v>
      </c>
      <c r="GY699" s="4">
        <v>221</v>
      </c>
      <c r="GZ699" s="4">
        <v>216</v>
      </c>
      <c r="HA699" s="4">
        <v>211</v>
      </c>
      <c r="HB699" s="4">
        <v>206</v>
      </c>
      <c r="HC699" s="19">
        <v>13.5</v>
      </c>
      <c r="HD699" s="19">
        <v>16.9</v>
      </c>
      <c r="HE699" s="19">
        <v>16.1</v>
      </c>
      <c r="HF699" s="19">
        <v>41</v>
      </c>
      <c r="HG699" s="19">
        <v>52.5</v>
      </c>
      <c r="HH699" s="19">
        <v>61.4</v>
      </c>
      <c r="HI699" s="19">
        <v>60</v>
      </c>
      <c r="HJ699" s="19">
        <v>59</v>
      </c>
      <c r="HK699" s="19">
        <v>58.2</v>
      </c>
      <c r="HL699" s="19">
        <v>57.2</v>
      </c>
      <c r="HM699" s="19">
        <v>56.2</v>
      </c>
      <c r="HN699" s="19">
        <v>55.2</v>
      </c>
      <c r="HO699" s="19">
        <v>54.2</v>
      </c>
      <c r="HP699" s="19">
        <v>53.2</v>
      </c>
      <c r="HQ699" s="19">
        <v>52.2</v>
      </c>
      <c r="HR699" s="19">
        <v>51.2</v>
      </c>
      <c r="HS699" s="19">
        <v>50.2</v>
      </c>
      <c r="HT699" s="19">
        <v>49.2</v>
      </c>
      <c r="HU699" s="19">
        <v>48.2</v>
      </c>
      <c r="HV699" s="19">
        <v>47.2</v>
      </c>
      <c r="HW699" s="19">
        <v>46.2</v>
      </c>
      <c r="HX699" s="19">
        <v>45.2</v>
      </c>
      <c r="HY699" s="19">
        <v>44.2</v>
      </c>
      <c r="HZ699" s="19">
        <v>43.2</v>
      </c>
      <c r="IA699" s="19">
        <v>42.2</v>
      </c>
      <c r="IB699" s="19">
        <v>41.2</v>
      </c>
    </row>
    <row r="700">
      <c r="A700" s="2" t="s">
        <v>3896</v>
      </c>
      <c r="B700" s="2" t="s">
        <v>872</v>
      </c>
      <c r="C700" s="2" t="s">
        <v>280</v>
      </c>
      <c r="D700" s="2" t="s">
        <v>774</v>
      </c>
      <c r="E700" s="2" t="s">
        <v>827</v>
      </c>
      <c r="F700" s="2" t="s">
        <v>3868</v>
      </c>
      <c r="G700" s="2" t="s">
        <v>3869</v>
      </c>
      <c r="H700" s="2" t="s">
        <v>3870</v>
      </c>
      <c r="I700" s="2" t="s">
        <v>3897</v>
      </c>
      <c r="J700" s="2" t="s">
        <v>265</v>
      </c>
      <c r="K700" s="2" t="s">
        <v>3893</v>
      </c>
      <c r="L700" s="3">
        <v>54.99</v>
      </c>
      <c r="M700" s="3">
        <v>57.74</v>
      </c>
      <c r="N700" s="3">
        <v>109.99</v>
      </c>
      <c r="O700" s="2" t="s">
        <v>230</v>
      </c>
      <c r="P700" s="2" t="s">
        <v>597</v>
      </c>
      <c r="Q700" s="2" t="s">
        <v>232</v>
      </c>
      <c r="R700" s="2" t="s">
        <v>233</v>
      </c>
      <c r="S700" s="2" t="s">
        <v>3894</v>
      </c>
      <c r="T700" s="2" t="s">
        <v>233</v>
      </c>
      <c r="U700" s="2" t="s">
        <v>665</v>
      </c>
      <c r="V700" s="2" t="s">
        <v>834</v>
      </c>
      <c r="W700" s="2" t="s">
        <v>712</v>
      </c>
      <c r="X700" s="2" t="s">
        <v>3873</v>
      </c>
      <c r="Y700" s="2" t="s">
        <v>238</v>
      </c>
      <c r="Z700" s="4">
        <v>182</v>
      </c>
      <c r="AA700" s="4">
        <f>=ROUNDDOWN(36.4,0)</f>
      </c>
      <c r="AB700" s="5">
        <v>5</v>
      </c>
      <c r="AC700" s="2" t="s">
        <v>143</v>
      </c>
      <c r="AD700" s="4">
        <v>40</v>
      </c>
      <c r="AE700" s="4">
        <v>40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233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233</v>
      </c>
      <c r="AW700" s="8" t="s">
        <v>233</v>
      </c>
      <c r="AX700" s="4" t="s">
        <v>233</v>
      </c>
      <c r="AY700" s="8" t="s">
        <v>233</v>
      </c>
      <c r="AZ700" s="7" t="s">
        <v>233</v>
      </c>
      <c r="BA700" s="7" t="s">
        <v>233</v>
      </c>
      <c r="BB700" s="7"/>
      <c r="BC700" s="4" t="s">
        <v>233</v>
      </c>
      <c r="BD700" s="8" t="s">
        <v>233</v>
      </c>
      <c r="BE700" s="4" t="s">
        <v>233</v>
      </c>
      <c r="BF700" s="8" t="s">
        <v>233</v>
      </c>
      <c r="BG700" s="7" t="s">
        <v>233</v>
      </c>
      <c r="BH700" s="7" t="s">
        <v>233</v>
      </c>
      <c r="BI700" s="7"/>
      <c r="BJ700" s="4">
        <v>15</v>
      </c>
      <c r="BK700" s="8">
        <v>866.74</v>
      </c>
      <c r="BL700" s="2" t="s">
        <v>3898</v>
      </c>
      <c r="BM700" s="7"/>
      <c r="BN700" s="7"/>
      <c r="BO700" s="4"/>
      <c r="BP700" s="8"/>
      <c r="BQ700" s="4"/>
      <c r="BR700" s="8"/>
      <c r="BS700" s="7"/>
      <c r="BT700" s="7"/>
      <c r="BU700" s="2" t="s">
        <v>3899</v>
      </c>
      <c r="BV700" s="2" t="s">
        <v>233</v>
      </c>
      <c r="BW700" s="2" t="s">
        <v>233</v>
      </c>
      <c r="BX700" s="2" t="s">
        <v>241</v>
      </c>
      <c r="BY700" s="2" t="s">
        <v>242</v>
      </c>
      <c r="BZ700" s="2" t="s">
        <v>230</v>
      </c>
      <c r="CA700" s="2" t="s">
        <v>243</v>
      </c>
      <c r="CB700" s="2" t="s">
        <v>3698</v>
      </c>
      <c r="CC700" s="2" t="s">
        <v>245</v>
      </c>
      <c r="CD700" s="2" t="s">
        <v>233</v>
      </c>
      <c r="CE700" s="4">
        <v>118</v>
      </c>
      <c r="CF700" s="4">
        <v>64</v>
      </c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>
        <v>40</v>
      </c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>
        <v>192</v>
      </c>
      <c r="GD700" s="4">
        <v>178</v>
      </c>
      <c r="GE700" s="4">
        <v>172</v>
      </c>
      <c r="GF700" s="4">
        <v>205</v>
      </c>
      <c r="GG700" s="4">
        <v>192</v>
      </c>
      <c r="GH700" s="4">
        <v>184</v>
      </c>
      <c r="GI700" s="4">
        <v>177</v>
      </c>
      <c r="GJ700" s="4">
        <v>172</v>
      </c>
      <c r="GK700" s="4">
        <v>168</v>
      </c>
      <c r="GL700" s="4">
        <v>163</v>
      </c>
      <c r="GM700" s="4">
        <v>158</v>
      </c>
      <c r="GN700" s="4">
        <v>153</v>
      </c>
      <c r="GO700" s="4">
        <v>148</v>
      </c>
      <c r="GP700" s="4">
        <v>143</v>
      </c>
      <c r="GQ700" s="4">
        <v>138</v>
      </c>
      <c r="GR700" s="4">
        <v>133</v>
      </c>
      <c r="GS700" s="4">
        <v>128</v>
      </c>
      <c r="GT700" s="4">
        <v>123</v>
      </c>
      <c r="GU700" s="4">
        <v>118</v>
      </c>
      <c r="GV700" s="4">
        <v>113</v>
      </c>
      <c r="GW700" s="4">
        <v>108</v>
      </c>
      <c r="GX700" s="4">
        <v>103</v>
      </c>
      <c r="GY700" s="4">
        <v>98</v>
      </c>
      <c r="GZ700" s="4">
        <v>93</v>
      </c>
      <c r="HA700" s="4">
        <v>88</v>
      </c>
      <c r="HB700" s="4">
        <v>83</v>
      </c>
      <c r="HC700" s="19">
        <v>19.2</v>
      </c>
      <c r="HD700" s="19">
        <v>22.3</v>
      </c>
      <c r="HE700" s="19">
        <v>19.1</v>
      </c>
      <c r="HF700" s="19">
        <v>25.6</v>
      </c>
      <c r="HG700" s="19">
        <v>32</v>
      </c>
      <c r="HH700" s="19">
        <v>36.8</v>
      </c>
      <c r="HI700" s="19">
        <v>35.4</v>
      </c>
      <c r="HJ700" s="19">
        <v>34.4</v>
      </c>
      <c r="HK700" s="19">
        <v>33.6</v>
      </c>
      <c r="HL700" s="19">
        <v>32.6</v>
      </c>
      <c r="HM700" s="19">
        <v>31.6</v>
      </c>
      <c r="HN700" s="19">
        <v>30.6</v>
      </c>
      <c r="HO700" s="19">
        <v>29.6</v>
      </c>
      <c r="HP700" s="19">
        <v>28.6</v>
      </c>
      <c r="HQ700" s="19">
        <v>27.6</v>
      </c>
      <c r="HR700" s="19">
        <v>26.6</v>
      </c>
      <c r="HS700" s="19">
        <v>25.6</v>
      </c>
      <c r="HT700" s="19">
        <v>24.6</v>
      </c>
      <c r="HU700" s="19">
        <v>23.6</v>
      </c>
      <c r="HV700" s="19">
        <v>22.6</v>
      </c>
      <c r="HW700" s="19">
        <v>21.6</v>
      </c>
      <c r="HX700" s="19">
        <v>20.6</v>
      </c>
      <c r="HY700" s="19">
        <v>19.6</v>
      </c>
      <c r="HZ700" s="19">
        <v>18.6</v>
      </c>
      <c r="IA700" s="19">
        <v>17.6</v>
      </c>
      <c r="IB700" s="19">
        <v>16.6</v>
      </c>
    </row>
    <row r="701">
      <c r="A701" s="2" t="s">
        <v>3900</v>
      </c>
      <c r="B701" s="2" t="s">
        <v>872</v>
      </c>
      <c r="C701" s="2" t="s">
        <v>280</v>
      </c>
      <c r="D701" s="2" t="s">
        <v>884</v>
      </c>
      <c r="E701" s="2" t="s">
        <v>1753</v>
      </c>
      <c r="F701" s="2" t="s">
        <v>3868</v>
      </c>
      <c r="G701" s="2" t="s">
        <v>3869</v>
      </c>
      <c r="H701" s="2" t="s">
        <v>3870</v>
      </c>
      <c r="I701" s="2" t="s">
        <v>3886</v>
      </c>
      <c r="J701" s="2" t="s">
        <v>265</v>
      </c>
      <c r="K701" s="2" t="s">
        <v>3901</v>
      </c>
      <c r="L701" s="3">
        <v>59.99</v>
      </c>
      <c r="M701" s="3">
        <v>62.99</v>
      </c>
      <c r="N701" s="3">
        <v>119.99</v>
      </c>
      <c r="O701" s="2" t="s">
        <v>230</v>
      </c>
      <c r="P701" s="2" t="s">
        <v>231</v>
      </c>
      <c r="Q701" s="2" t="s">
        <v>232</v>
      </c>
      <c r="R701" s="2" t="s">
        <v>233</v>
      </c>
      <c r="S701" s="2" t="s">
        <v>3902</v>
      </c>
      <c r="T701" s="2" t="s">
        <v>233</v>
      </c>
      <c r="U701" s="2" t="s">
        <v>665</v>
      </c>
      <c r="V701" s="2" t="s">
        <v>834</v>
      </c>
      <c r="W701" s="2" t="s">
        <v>712</v>
      </c>
      <c r="X701" s="2" t="s">
        <v>3873</v>
      </c>
      <c r="Y701" s="2" t="s">
        <v>238</v>
      </c>
      <c r="Z701" s="4">
        <v>452</v>
      </c>
      <c r="AA701" s="4">
        <f>=ROUNDDOWN(45.2,0)</f>
      </c>
      <c r="AB701" s="5">
        <v>10</v>
      </c>
      <c r="AC701" s="2" t="s">
        <v>144</v>
      </c>
      <c r="AD701" s="4">
        <v>40</v>
      </c>
      <c r="AE701" s="4">
        <v>120</v>
      </c>
      <c r="AF701" s="6">
        <v>65</v>
      </c>
      <c r="AG701" s="6">
        <v>73</v>
      </c>
      <c r="AH701" s="7">
        <v>1</v>
      </c>
      <c r="AI701" s="4"/>
      <c r="AJ701" s="4">
        <f>=ROUNDDOWN({0},0)</f>
      </c>
      <c r="AK701" s="5"/>
      <c r="AL701" s="2" t="s">
        <v>233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233</v>
      </c>
      <c r="AW701" s="8" t="s">
        <v>233</v>
      </c>
      <c r="AX701" s="4" t="s">
        <v>233</v>
      </c>
      <c r="AY701" s="8" t="s">
        <v>233</v>
      </c>
      <c r="AZ701" s="7" t="s">
        <v>233</v>
      </c>
      <c r="BA701" s="7" t="s">
        <v>233</v>
      </c>
      <c r="BB701" s="7"/>
      <c r="BC701" s="4" t="s">
        <v>233</v>
      </c>
      <c r="BD701" s="8" t="s">
        <v>233</v>
      </c>
      <c r="BE701" s="4" t="s">
        <v>233</v>
      </c>
      <c r="BF701" s="8" t="s">
        <v>233</v>
      </c>
      <c r="BG701" s="7" t="s">
        <v>233</v>
      </c>
      <c r="BH701" s="7" t="s">
        <v>233</v>
      </c>
      <c r="BI701" s="7"/>
      <c r="BJ701" s="4">
        <v>31</v>
      </c>
      <c r="BK701" s="8">
        <v>2006.1</v>
      </c>
      <c r="BL701" s="2" t="s">
        <v>1894</v>
      </c>
      <c r="BM701" s="7"/>
      <c r="BN701" s="7"/>
      <c r="BO701" s="4"/>
      <c r="BP701" s="8"/>
      <c r="BQ701" s="4"/>
      <c r="BR701" s="8"/>
      <c r="BS701" s="7"/>
      <c r="BT701" s="7"/>
      <c r="BU701" s="2" t="s">
        <v>3888</v>
      </c>
      <c r="BV701" s="2" t="s">
        <v>233</v>
      </c>
      <c r="BW701" s="2" t="s">
        <v>233</v>
      </c>
      <c r="BX701" s="2" t="s">
        <v>241</v>
      </c>
      <c r="BY701" s="2" t="s">
        <v>242</v>
      </c>
      <c r="BZ701" s="2" t="s">
        <v>230</v>
      </c>
      <c r="CA701" s="2" t="s">
        <v>243</v>
      </c>
      <c r="CB701" s="2" t="s">
        <v>1057</v>
      </c>
      <c r="CC701" s="2" t="s">
        <v>245</v>
      </c>
      <c r="CD701" s="2" t="s">
        <v>233</v>
      </c>
      <c r="CE701" s="4">
        <v>378</v>
      </c>
      <c r="CF701" s="4"/>
      <c r="CG701" s="4"/>
      <c r="CH701" s="4">
        <v>74</v>
      </c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>
        <v>40</v>
      </c>
      <c r="DG701" s="4"/>
      <c r="DH701" s="4"/>
      <c r="DI701" s="4"/>
      <c r="DJ701" s="4"/>
      <c r="DK701" s="4"/>
      <c r="DL701" s="4">
        <v>80</v>
      </c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>
        <v>454</v>
      </c>
      <c r="GD701" s="4">
        <v>432</v>
      </c>
      <c r="GE701" s="4">
        <v>420</v>
      </c>
      <c r="GF701" s="4">
        <v>448</v>
      </c>
      <c r="GG701" s="4">
        <v>504</v>
      </c>
      <c r="GH701" s="4">
        <v>487</v>
      </c>
      <c r="GI701" s="4">
        <v>472</v>
      </c>
      <c r="GJ701" s="4">
        <v>463</v>
      </c>
      <c r="GK701" s="4">
        <v>455</v>
      </c>
      <c r="GL701" s="4">
        <v>444</v>
      </c>
      <c r="GM701" s="4">
        <v>434</v>
      </c>
      <c r="GN701" s="4">
        <v>424</v>
      </c>
      <c r="GO701" s="4">
        <v>414</v>
      </c>
      <c r="GP701" s="4">
        <v>404</v>
      </c>
      <c r="GQ701" s="4">
        <v>394</v>
      </c>
      <c r="GR701" s="4">
        <v>384</v>
      </c>
      <c r="GS701" s="4">
        <v>374</v>
      </c>
      <c r="GT701" s="4">
        <v>363</v>
      </c>
      <c r="GU701" s="4">
        <v>353</v>
      </c>
      <c r="GV701" s="4">
        <v>343</v>
      </c>
      <c r="GW701" s="4">
        <v>333</v>
      </c>
      <c r="GX701" s="4">
        <v>323</v>
      </c>
      <c r="GY701" s="4">
        <v>313</v>
      </c>
      <c r="GZ701" s="4">
        <v>303</v>
      </c>
      <c r="HA701" s="4">
        <v>293</v>
      </c>
      <c r="HB701" s="4">
        <v>283</v>
      </c>
      <c r="HC701" s="19">
        <v>31.2</v>
      </c>
      <c r="HD701" s="19">
        <v>30.5</v>
      </c>
      <c r="HE701" s="19">
        <v>29</v>
      </c>
      <c r="HF701" s="19">
        <v>30.6</v>
      </c>
      <c r="HG701" s="19">
        <v>36.2</v>
      </c>
      <c r="HH701" s="19">
        <v>52.7</v>
      </c>
      <c r="HI701" s="19">
        <v>56.2</v>
      </c>
      <c r="HJ701" s="19">
        <v>52.4</v>
      </c>
      <c r="HK701" s="19">
        <v>51.5</v>
      </c>
      <c r="HL701" s="19">
        <v>50.5</v>
      </c>
      <c r="HM701" s="19">
        <v>49.5</v>
      </c>
      <c r="HN701" s="19">
        <v>48.5</v>
      </c>
      <c r="HO701" s="19">
        <v>47.5</v>
      </c>
      <c r="HP701" s="19">
        <v>46.5</v>
      </c>
      <c r="HQ701" s="19">
        <v>45.5</v>
      </c>
      <c r="HR701" s="19">
        <v>44.5</v>
      </c>
      <c r="HS701" s="19">
        <v>43.5</v>
      </c>
      <c r="HT701" s="19">
        <v>42.4</v>
      </c>
      <c r="HU701" s="19">
        <v>41.4</v>
      </c>
      <c r="HV701" s="19">
        <v>40.4</v>
      </c>
      <c r="HW701" s="19">
        <v>39.4</v>
      </c>
      <c r="HX701" s="19">
        <v>38.4</v>
      </c>
      <c r="HY701" s="19">
        <v>37.4</v>
      </c>
      <c r="HZ701" s="19">
        <v>36.4</v>
      </c>
      <c r="IA701" s="19">
        <v>35.4</v>
      </c>
      <c r="IB701" s="19">
        <v>34.4</v>
      </c>
    </row>
    <row r="702">
      <c r="A702" s="2" t="s">
        <v>3903</v>
      </c>
      <c r="B702" s="2" t="s">
        <v>872</v>
      </c>
      <c r="C702" s="2" t="s">
        <v>280</v>
      </c>
      <c r="D702" s="2" t="s">
        <v>774</v>
      </c>
      <c r="E702" s="2" t="s">
        <v>827</v>
      </c>
      <c r="F702" s="2" t="s">
        <v>3868</v>
      </c>
      <c r="G702" s="2" t="s">
        <v>3869</v>
      </c>
      <c r="H702" s="2" t="s">
        <v>3870</v>
      </c>
      <c r="I702" s="2" t="s">
        <v>3897</v>
      </c>
      <c r="J702" s="2" t="s">
        <v>275</v>
      </c>
      <c r="K702" s="2" t="s">
        <v>3901</v>
      </c>
      <c r="L702" s="3">
        <v>59.99</v>
      </c>
      <c r="M702" s="3">
        <v>62.99</v>
      </c>
      <c r="N702" s="3">
        <v>119.99</v>
      </c>
      <c r="O702" s="2" t="s">
        <v>230</v>
      </c>
      <c r="P702" s="2" t="s">
        <v>231</v>
      </c>
      <c r="Q702" s="2" t="s">
        <v>232</v>
      </c>
      <c r="R702" s="2" t="s">
        <v>233</v>
      </c>
      <c r="S702" s="2" t="s">
        <v>3904</v>
      </c>
      <c r="T702" s="2" t="s">
        <v>233</v>
      </c>
      <c r="U702" s="2" t="s">
        <v>665</v>
      </c>
      <c r="V702" s="2" t="s">
        <v>834</v>
      </c>
      <c r="W702" s="2" t="s">
        <v>712</v>
      </c>
      <c r="X702" s="2" t="s">
        <v>3873</v>
      </c>
      <c r="Y702" s="2" t="s">
        <v>238</v>
      </c>
      <c r="Z702" s="4">
        <v>109</v>
      </c>
      <c r="AA702" s="4">
        <f>=ROUNDDOWN(27.25,0)</f>
      </c>
      <c r="AB702" s="5">
        <v>4</v>
      </c>
      <c r="AC702" s="2" t="s">
        <v>140</v>
      </c>
      <c r="AD702" s="4">
        <v>50</v>
      </c>
      <c r="AE702" s="4">
        <v>110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233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233</v>
      </c>
      <c r="AW702" s="8" t="s">
        <v>233</v>
      </c>
      <c r="AX702" s="4" t="s">
        <v>233</v>
      </c>
      <c r="AY702" s="8" t="s">
        <v>233</v>
      </c>
      <c r="AZ702" s="7" t="s">
        <v>233</v>
      </c>
      <c r="BA702" s="7" t="s">
        <v>233</v>
      </c>
      <c r="BB702" s="7"/>
      <c r="BC702" s="4" t="s">
        <v>233</v>
      </c>
      <c r="BD702" s="8" t="s">
        <v>233</v>
      </c>
      <c r="BE702" s="4" t="s">
        <v>233</v>
      </c>
      <c r="BF702" s="8" t="s">
        <v>233</v>
      </c>
      <c r="BG702" s="7" t="s">
        <v>233</v>
      </c>
      <c r="BH702" s="7" t="s">
        <v>233</v>
      </c>
      <c r="BI702" s="7"/>
      <c r="BJ702" s="4">
        <v>20</v>
      </c>
      <c r="BK702" s="8">
        <v>1273.12</v>
      </c>
      <c r="BL702" s="2" t="s">
        <v>897</v>
      </c>
      <c r="BM702" s="7"/>
      <c r="BN702" s="7"/>
      <c r="BO702" s="4"/>
      <c r="BP702" s="8"/>
      <c r="BQ702" s="4"/>
      <c r="BR702" s="8"/>
      <c r="BS702" s="7"/>
      <c r="BT702" s="7"/>
      <c r="BU702" s="2" t="s">
        <v>3899</v>
      </c>
      <c r="BV702" s="2" t="s">
        <v>233</v>
      </c>
      <c r="BW702" s="2" t="s">
        <v>233</v>
      </c>
      <c r="BX702" s="2" t="s">
        <v>241</v>
      </c>
      <c r="BY702" s="2" t="s">
        <v>242</v>
      </c>
      <c r="BZ702" s="2" t="s">
        <v>230</v>
      </c>
      <c r="CA702" s="2" t="s">
        <v>243</v>
      </c>
      <c r="CB702" s="2" t="s">
        <v>1126</v>
      </c>
      <c r="CC702" s="2" t="s">
        <v>245</v>
      </c>
      <c r="CD702" s="2" t="s">
        <v>233</v>
      </c>
      <c r="CE702" s="4">
        <v>109</v>
      </c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>
        <v>50</v>
      </c>
      <c r="DC702" s="4"/>
      <c r="DD702" s="4"/>
      <c r="DE702" s="4"/>
      <c r="DF702" s="4"/>
      <c r="DG702" s="4"/>
      <c r="DH702" s="4"/>
      <c r="DI702" s="4"/>
      <c r="DJ702" s="4"/>
      <c r="DK702" s="4"/>
      <c r="DL702" s="4">
        <v>60</v>
      </c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>
        <v>112</v>
      </c>
      <c r="GD702" s="4">
        <v>106</v>
      </c>
      <c r="GE702" s="4">
        <v>151</v>
      </c>
      <c r="GF702" s="4">
        <v>145</v>
      </c>
      <c r="GG702" s="4">
        <v>195</v>
      </c>
      <c r="GH702" s="4">
        <v>189</v>
      </c>
      <c r="GI702" s="4">
        <v>183</v>
      </c>
      <c r="GJ702" s="4">
        <v>179</v>
      </c>
      <c r="GK702" s="4">
        <v>176</v>
      </c>
      <c r="GL702" s="4">
        <v>172</v>
      </c>
      <c r="GM702" s="4">
        <v>168</v>
      </c>
      <c r="GN702" s="4">
        <v>164</v>
      </c>
      <c r="GO702" s="4">
        <v>160</v>
      </c>
      <c r="GP702" s="4">
        <v>156</v>
      </c>
      <c r="GQ702" s="4">
        <v>152</v>
      </c>
      <c r="GR702" s="4">
        <v>148</v>
      </c>
      <c r="GS702" s="4">
        <v>144</v>
      </c>
      <c r="GT702" s="4">
        <v>140</v>
      </c>
      <c r="GU702" s="4">
        <v>136</v>
      </c>
      <c r="GV702" s="4">
        <v>132</v>
      </c>
      <c r="GW702" s="4">
        <v>128</v>
      </c>
      <c r="GX702" s="4">
        <v>124</v>
      </c>
      <c r="GY702" s="4">
        <v>120</v>
      </c>
      <c r="GZ702" s="4">
        <v>116</v>
      </c>
      <c r="HA702" s="4">
        <v>112</v>
      </c>
      <c r="HB702" s="4">
        <v>108</v>
      </c>
      <c r="HC702" s="19">
        <v>16</v>
      </c>
      <c r="HD702" s="19">
        <v>15.1</v>
      </c>
      <c r="HE702" s="19">
        <v>21.6</v>
      </c>
      <c r="HF702" s="19">
        <v>24.2</v>
      </c>
      <c r="HG702" s="19">
        <v>39</v>
      </c>
      <c r="HH702" s="19">
        <v>47.3</v>
      </c>
      <c r="HI702" s="19">
        <v>45.8</v>
      </c>
      <c r="HJ702" s="19">
        <v>44.8</v>
      </c>
      <c r="HK702" s="19">
        <v>44</v>
      </c>
      <c r="HL702" s="19">
        <v>43</v>
      </c>
      <c r="HM702" s="19">
        <v>42</v>
      </c>
      <c r="HN702" s="19">
        <v>41</v>
      </c>
      <c r="HO702" s="19">
        <v>40</v>
      </c>
      <c r="HP702" s="19">
        <v>39</v>
      </c>
      <c r="HQ702" s="19">
        <v>38</v>
      </c>
      <c r="HR702" s="19">
        <v>37</v>
      </c>
      <c r="HS702" s="19">
        <v>36</v>
      </c>
      <c r="HT702" s="19">
        <v>35</v>
      </c>
      <c r="HU702" s="19">
        <v>34</v>
      </c>
      <c r="HV702" s="19">
        <v>33</v>
      </c>
      <c r="HW702" s="19">
        <v>32</v>
      </c>
      <c r="HX702" s="19">
        <v>31</v>
      </c>
      <c r="HY702" s="19">
        <v>30</v>
      </c>
      <c r="HZ702" s="19">
        <v>29</v>
      </c>
      <c r="IA702" s="19">
        <v>28</v>
      </c>
      <c r="IB702" s="19">
        <v>27</v>
      </c>
    </row>
    <row r="703">
      <c r="A703" s="2" t="s">
        <v>3905</v>
      </c>
      <c r="B703" s="2" t="s">
        <v>872</v>
      </c>
      <c r="C703" s="2" t="s">
        <v>2050</v>
      </c>
      <c r="D703" s="2" t="s">
        <v>261</v>
      </c>
      <c r="E703" s="2" t="s">
        <v>603</v>
      </c>
      <c r="F703" s="2" t="s">
        <v>3906</v>
      </c>
      <c r="G703" s="2" t="s">
        <v>3906</v>
      </c>
      <c r="H703" s="2" t="s">
        <v>3906</v>
      </c>
      <c r="I703" s="2" t="s">
        <v>3907</v>
      </c>
      <c r="J703" s="2" t="s">
        <v>285</v>
      </c>
      <c r="K703" s="2" t="s">
        <v>2996</v>
      </c>
      <c r="L703" s="3">
        <v>114.04</v>
      </c>
      <c r="M703" s="3">
        <v>119.74</v>
      </c>
      <c r="N703" s="3">
        <v>244.99</v>
      </c>
      <c r="O703" s="2" t="s">
        <v>230</v>
      </c>
      <c r="P703" s="2" t="s">
        <v>586</v>
      </c>
      <c r="Q703" s="2" t="s">
        <v>232</v>
      </c>
      <c r="R703" s="2" t="s">
        <v>233</v>
      </c>
      <c r="S703" s="2" t="s">
        <v>3908</v>
      </c>
      <c r="T703" s="2" t="s">
        <v>233</v>
      </c>
      <c r="U703" s="2" t="s">
        <v>665</v>
      </c>
      <c r="V703" s="2" t="s">
        <v>361</v>
      </c>
      <c r="W703" s="2" t="s">
        <v>1190</v>
      </c>
      <c r="X703" s="2" t="s">
        <v>916</v>
      </c>
      <c r="Y703" s="2" t="s">
        <v>238</v>
      </c>
      <c r="Z703" s="4">
        <v>90</v>
      </c>
      <c r="AA703" s="4">
        <f>=ROUNDDOWN(27.2727272727273,0)</f>
      </c>
      <c r="AB703" s="5">
        <v>3.3</v>
      </c>
      <c r="AC703" s="2" t="s">
        <v>233</v>
      </c>
      <c r="AD703" s="4"/>
      <c r="AE703" s="4"/>
      <c r="AF703" s="6">
        <v>66</v>
      </c>
      <c r="AG703" s="6"/>
      <c r="AH703" s="7">
        <v>1</v>
      </c>
      <c r="AI703" s="4"/>
      <c r="AJ703" s="4">
        <f>=ROUNDDOWN({0},0)</f>
      </c>
      <c r="AK703" s="5"/>
      <c r="AL703" s="2" t="s">
        <v>233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/>
      <c r="BD703" s="8"/>
      <c r="BE703" s="4"/>
      <c r="BF703" s="8"/>
      <c r="BG703" s="7"/>
      <c r="BH703" s="7"/>
      <c r="BI703" s="7"/>
      <c r="BJ703" s="4">
        <v>12</v>
      </c>
      <c r="BK703" s="8">
        <v>1499.19</v>
      </c>
      <c r="BL703" s="2" t="s">
        <v>3909</v>
      </c>
      <c r="BM703" s="7"/>
      <c r="BN703" s="7"/>
      <c r="BO703" s="4"/>
      <c r="BP703" s="8"/>
      <c r="BQ703" s="4"/>
      <c r="BR703" s="8"/>
      <c r="BS703" s="7"/>
      <c r="BT703" s="7"/>
      <c r="BU703" s="2" t="s">
        <v>3910</v>
      </c>
      <c r="BV703" s="2" t="s">
        <v>233</v>
      </c>
      <c r="BW703" s="2" t="s">
        <v>233</v>
      </c>
      <c r="BX703" s="2" t="s">
        <v>241</v>
      </c>
      <c r="BY703" s="2" t="s">
        <v>242</v>
      </c>
      <c r="BZ703" s="2" t="s">
        <v>230</v>
      </c>
      <c r="CA703" s="2" t="s">
        <v>3911</v>
      </c>
      <c r="CB703" s="2" t="s">
        <v>402</v>
      </c>
      <c r="CC703" s="2" t="s">
        <v>245</v>
      </c>
      <c r="CD703" s="2" t="s">
        <v>233</v>
      </c>
      <c r="CE703" s="4">
        <v>90</v>
      </c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>
        <v>92</v>
      </c>
      <c r="GD703" s="4">
        <v>86</v>
      </c>
      <c r="GE703" s="4">
        <v>83</v>
      </c>
      <c r="GF703" s="4">
        <v>80</v>
      </c>
      <c r="GG703" s="4">
        <v>77</v>
      </c>
      <c r="GH703" s="4">
        <v>74</v>
      </c>
      <c r="GI703" s="4">
        <v>71</v>
      </c>
      <c r="GJ703" s="4">
        <v>68</v>
      </c>
      <c r="GK703" s="4">
        <v>65</v>
      </c>
      <c r="GL703" s="4">
        <v>62</v>
      </c>
      <c r="GM703" s="4">
        <v>60</v>
      </c>
      <c r="GN703" s="4">
        <v>57</v>
      </c>
      <c r="GO703" s="4">
        <v>55</v>
      </c>
      <c r="GP703" s="4">
        <v>53</v>
      </c>
      <c r="GQ703" s="4">
        <v>50</v>
      </c>
      <c r="GR703" s="4">
        <v>47</v>
      </c>
      <c r="GS703" s="4">
        <v>44</v>
      </c>
      <c r="GT703" s="4">
        <v>41</v>
      </c>
      <c r="GU703" s="4">
        <v>38</v>
      </c>
      <c r="GV703" s="4">
        <v>35</v>
      </c>
      <c r="GW703" s="4">
        <v>124</v>
      </c>
      <c r="GX703" s="4">
        <v>121</v>
      </c>
      <c r="GY703" s="4">
        <v>118</v>
      </c>
      <c r="GZ703" s="4">
        <v>115</v>
      </c>
      <c r="HA703" s="4">
        <v>112</v>
      </c>
      <c r="HB703" s="4">
        <v>109</v>
      </c>
      <c r="HC703" s="19">
        <v>23</v>
      </c>
      <c r="HD703" s="19">
        <v>28.7</v>
      </c>
      <c r="HE703" s="19">
        <v>27.7</v>
      </c>
      <c r="HF703" s="19">
        <v>26.7</v>
      </c>
      <c r="HG703" s="19">
        <v>25.7</v>
      </c>
      <c r="HH703" s="19">
        <v>24.7</v>
      </c>
      <c r="HI703" s="19">
        <v>23.7</v>
      </c>
      <c r="HJ703" s="19">
        <v>22.7</v>
      </c>
      <c r="HK703" s="19">
        <v>32.5</v>
      </c>
      <c r="HL703" s="19">
        <v>31</v>
      </c>
      <c r="HM703" s="19">
        <v>30</v>
      </c>
      <c r="HN703" s="19">
        <v>28.5</v>
      </c>
      <c r="HO703" s="19">
        <v>18.3</v>
      </c>
      <c r="HP703" s="19">
        <v>17.7</v>
      </c>
      <c r="HQ703" s="19">
        <v>16.7</v>
      </c>
      <c r="HR703" s="19">
        <v>15.7</v>
      </c>
      <c r="HS703" s="19">
        <v>14.7</v>
      </c>
      <c r="HT703" s="19">
        <v>13.7</v>
      </c>
      <c r="HU703" s="19">
        <v>12.7</v>
      </c>
      <c r="HV703" s="19">
        <v>11.7</v>
      </c>
      <c r="HW703" s="19">
        <v>41.3</v>
      </c>
      <c r="HX703" s="19">
        <v>40.3</v>
      </c>
      <c r="HY703" s="19">
        <v>39.3</v>
      </c>
      <c r="HZ703" s="19">
        <v>38.3</v>
      </c>
      <c r="IA703" s="19">
        <v>37.3</v>
      </c>
      <c r="IB703" s="19">
        <v>36.3</v>
      </c>
    </row>
    <row r="704">
      <c r="A704" s="2" t="s">
        <v>3912</v>
      </c>
      <c r="B704" s="2" t="s">
        <v>825</v>
      </c>
      <c r="C704" s="2" t="s">
        <v>1411</v>
      </c>
      <c r="D704" s="2" t="s">
        <v>261</v>
      </c>
      <c r="E704" s="2" t="s">
        <v>1119</v>
      </c>
      <c r="F704" s="2" t="s">
        <v>3913</v>
      </c>
      <c r="G704" s="2" t="s">
        <v>3914</v>
      </c>
      <c r="H704" s="2" t="s">
        <v>1382</v>
      </c>
      <c r="I704" s="2" t="s">
        <v>3915</v>
      </c>
      <c r="J704" s="2" t="s">
        <v>247</v>
      </c>
      <c r="K704" s="2" t="s">
        <v>943</v>
      </c>
      <c r="L704" s="3">
        <v>31.97</v>
      </c>
      <c r="M704" s="3">
        <v>33.57</v>
      </c>
      <c r="N704" s="3">
        <v>68.99</v>
      </c>
      <c r="O704" s="2" t="s">
        <v>230</v>
      </c>
      <c r="P704" s="2" t="s">
        <v>597</v>
      </c>
      <c r="Q704" s="2" t="s">
        <v>232</v>
      </c>
      <c r="R704" s="2" t="s">
        <v>233</v>
      </c>
      <c r="S704" s="2" t="s">
        <v>3916</v>
      </c>
      <c r="T704" s="2" t="s">
        <v>469</v>
      </c>
      <c r="U704" s="2" t="s">
        <v>635</v>
      </c>
      <c r="V704" s="2" t="s">
        <v>3402</v>
      </c>
      <c r="W704" s="2" t="s">
        <v>2083</v>
      </c>
      <c r="X704" s="2" t="s">
        <v>878</v>
      </c>
      <c r="Y704" s="2" t="s">
        <v>3917</v>
      </c>
      <c r="Z704" s="4">
        <v>442</v>
      </c>
      <c r="AA704" s="4">
        <f>=ROUNDDOWN(73.6666666666667,0)</f>
      </c>
      <c r="AB704" s="5">
        <v>6</v>
      </c>
      <c r="AC704" s="2" t="s">
        <v>233</v>
      </c>
      <c r="AD704" s="4"/>
      <c r="AE704" s="4"/>
      <c r="AF704" s="6">
        <v>64</v>
      </c>
      <c r="AG704" s="6">
        <v>47</v>
      </c>
      <c r="AH704" s="7">
        <v>1</v>
      </c>
      <c r="AI704" s="4"/>
      <c r="AJ704" s="4">
        <f>=ROUNDDOWN({0},0)</f>
      </c>
      <c r="AK704" s="5"/>
      <c r="AL704" s="2" t="s">
        <v>233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/>
      <c r="BD704" s="8"/>
      <c r="BE704" s="4"/>
      <c r="BF704" s="8"/>
      <c r="BG704" s="7"/>
      <c r="BH704" s="7"/>
      <c r="BI704" s="7"/>
      <c r="BJ704" s="4">
        <v>2</v>
      </c>
      <c r="BK704" s="8">
        <v>65.41</v>
      </c>
      <c r="BL704" s="2" t="s">
        <v>3918</v>
      </c>
      <c r="BM704" s="7"/>
      <c r="BN704" s="7"/>
      <c r="BO704" s="4"/>
      <c r="BP704" s="8"/>
      <c r="BQ704" s="4"/>
      <c r="BR704" s="8"/>
      <c r="BS704" s="7"/>
      <c r="BT704" s="7"/>
      <c r="BU704" s="2" t="s">
        <v>3919</v>
      </c>
      <c r="BV704" s="2" t="s">
        <v>233</v>
      </c>
      <c r="BW704" s="2" t="s">
        <v>233</v>
      </c>
      <c r="BX704" s="2" t="s">
        <v>293</v>
      </c>
      <c r="BY704" s="2" t="s">
        <v>242</v>
      </c>
      <c r="BZ704" s="2" t="s">
        <v>230</v>
      </c>
      <c r="CA704" s="2" t="s">
        <v>487</v>
      </c>
      <c r="CB704" s="2" t="s">
        <v>3920</v>
      </c>
      <c r="CC704" s="2" t="s">
        <v>245</v>
      </c>
      <c r="CD704" s="2" t="s">
        <v>233</v>
      </c>
      <c r="CE704" s="4">
        <v>286</v>
      </c>
      <c r="CF704" s="4">
        <v>1</v>
      </c>
      <c r="CG704" s="4"/>
      <c r="CH704" s="4">
        <v>155</v>
      </c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>
        <v>442</v>
      </c>
      <c r="GD704" s="4">
        <v>425</v>
      </c>
      <c r="GE704" s="4">
        <v>395</v>
      </c>
      <c r="GF704" s="4">
        <v>375</v>
      </c>
      <c r="GG704" s="4">
        <v>349</v>
      </c>
      <c r="GH704" s="4">
        <v>334</v>
      </c>
      <c r="GI704" s="4">
        <v>318</v>
      </c>
      <c r="GJ704" s="4">
        <v>292</v>
      </c>
      <c r="GK704" s="4">
        <v>281</v>
      </c>
      <c r="GL704" s="4">
        <v>269</v>
      </c>
      <c r="GM704" s="4">
        <v>266</v>
      </c>
      <c r="GN704" s="4">
        <v>262</v>
      </c>
      <c r="GO704" s="4">
        <v>256</v>
      </c>
      <c r="GP704" s="4">
        <v>250</v>
      </c>
      <c r="GQ704" s="4">
        <v>244</v>
      </c>
      <c r="GR704" s="4">
        <v>238</v>
      </c>
      <c r="GS704" s="4">
        <v>232</v>
      </c>
      <c r="GT704" s="4">
        <v>226</v>
      </c>
      <c r="GU704" s="4">
        <v>220</v>
      </c>
      <c r="GV704" s="4">
        <v>214</v>
      </c>
      <c r="GW704" s="4">
        <v>208</v>
      </c>
      <c r="GX704" s="4">
        <v>202</v>
      </c>
      <c r="GY704" s="4">
        <v>196</v>
      </c>
      <c r="GZ704" s="4">
        <v>190</v>
      </c>
      <c r="HA704" s="4">
        <v>184</v>
      </c>
      <c r="HB704" s="4">
        <v>178</v>
      </c>
      <c r="HC704" s="19">
        <v>19.5</v>
      </c>
      <c r="HD704" s="19">
        <v>20.1</v>
      </c>
      <c r="HE704" s="19">
        <v>21.3</v>
      </c>
      <c r="HF704" s="19">
        <v>18.2</v>
      </c>
      <c r="HG704" s="19">
        <v>21.1</v>
      </c>
      <c r="HH704" s="19">
        <v>20.9</v>
      </c>
      <c r="HI704" s="19">
        <v>25.5</v>
      </c>
      <c r="HJ704" s="19">
        <v>36.6</v>
      </c>
      <c r="HK704" s="19">
        <v>46.9</v>
      </c>
      <c r="HL704" s="19">
        <v>67.3</v>
      </c>
      <c r="HM704" s="19">
        <v>44.4</v>
      </c>
      <c r="HN704" s="19">
        <v>43.7</v>
      </c>
      <c r="HO704" s="19">
        <v>42.7</v>
      </c>
      <c r="HP704" s="19">
        <v>41.7</v>
      </c>
      <c r="HQ704" s="19">
        <v>40.7</v>
      </c>
      <c r="HR704" s="19">
        <v>39.7</v>
      </c>
      <c r="HS704" s="19">
        <v>38.7</v>
      </c>
      <c r="HT704" s="19">
        <v>37.7</v>
      </c>
      <c r="HU704" s="19">
        <v>36.7</v>
      </c>
      <c r="HV704" s="19">
        <v>35.7</v>
      </c>
      <c r="HW704" s="19">
        <v>34.7</v>
      </c>
      <c r="HX704" s="19">
        <v>33.7</v>
      </c>
      <c r="HY704" s="19">
        <v>32.7</v>
      </c>
      <c r="HZ704" s="19">
        <v>31.7</v>
      </c>
      <c r="IA704" s="19">
        <v>30.7</v>
      </c>
      <c r="IB704" s="19">
        <v>29.7</v>
      </c>
    </row>
    <row r="705">
      <c r="A705" s="2" t="s">
        <v>3921</v>
      </c>
      <c r="B705" s="2" t="s">
        <v>704</v>
      </c>
      <c r="C705" s="2" t="s">
        <v>260</v>
      </c>
      <c r="D705" s="2" t="s">
        <v>705</v>
      </c>
      <c r="E705" s="2" t="s">
        <v>706</v>
      </c>
      <c r="F705" s="2" t="s">
        <v>3922</v>
      </c>
      <c r="G705" s="2" t="s">
        <v>3922</v>
      </c>
      <c r="H705" s="2" t="s">
        <v>3922</v>
      </c>
      <c r="I705" s="2" t="s">
        <v>3923</v>
      </c>
      <c r="J705" s="2" t="s">
        <v>792</v>
      </c>
      <c r="K705" s="2" t="s">
        <v>671</v>
      </c>
      <c r="L705" s="3">
        <v>42.75</v>
      </c>
      <c r="M705" s="3">
        <v>44.89</v>
      </c>
      <c r="N705" s="3">
        <v>94.99</v>
      </c>
      <c r="O705" s="2" t="s">
        <v>230</v>
      </c>
      <c r="P705" s="2" t="s">
        <v>231</v>
      </c>
      <c r="Q705" s="2" t="s">
        <v>232</v>
      </c>
      <c r="R705" s="2" t="s">
        <v>233</v>
      </c>
      <c r="S705" s="2" t="s">
        <v>3924</v>
      </c>
      <c r="T705" s="2" t="s">
        <v>348</v>
      </c>
      <c r="U705" s="2" t="s">
        <v>665</v>
      </c>
      <c r="V705" s="2" t="s">
        <v>236</v>
      </c>
      <c r="W705" s="2" t="s">
        <v>288</v>
      </c>
      <c r="X705" s="2" t="s">
        <v>712</v>
      </c>
      <c r="Y705" s="2" t="s">
        <v>917</v>
      </c>
      <c r="Z705" s="4">
        <v>735</v>
      </c>
      <c r="AA705" s="4">
        <f>=ROUNDDOWN(105,0)</f>
      </c>
      <c r="AB705" s="5">
        <v>7</v>
      </c>
      <c r="AC705" s="2" t="s">
        <v>233</v>
      </c>
      <c r="AD705" s="4"/>
      <c r="AE705" s="4"/>
      <c r="AF705" s="6">
        <v>73</v>
      </c>
      <c r="AG705" s="6"/>
      <c r="AH705" s="7">
        <v>1</v>
      </c>
      <c r="AI705" s="4"/>
      <c r="AJ705" s="4">
        <f>=ROUNDDOWN({0},0)</f>
      </c>
      <c r="AK705" s="5"/>
      <c r="AL705" s="2" t="s">
        <v>233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 t="s">
        <v>233</v>
      </c>
      <c r="BD705" s="8" t="s">
        <v>233</v>
      </c>
      <c r="BE705" s="4" t="s">
        <v>233</v>
      </c>
      <c r="BF705" s="8" t="s">
        <v>233</v>
      </c>
      <c r="BG705" s="7" t="s">
        <v>233</v>
      </c>
      <c r="BH705" s="7" t="s">
        <v>233</v>
      </c>
      <c r="BI705" s="7"/>
      <c r="BJ705" s="4">
        <v>28</v>
      </c>
      <c r="BK705" s="8">
        <v>1330.21</v>
      </c>
      <c r="BL705" s="2" t="s">
        <v>3925</v>
      </c>
      <c r="BM705" s="7"/>
      <c r="BN705" s="7"/>
      <c r="BO705" s="4"/>
      <c r="BP705" s="8"/>
      <c r="BQ705" s="4"/>
      <c r="BR705" s="8"/>
      <c r="BS705" s="7"/>
      <c r="BT705" s="7"/>
      <c r="BU705" s="2" t="s">
        <v>3926</v>
      </c>
      <c r="BV705" s="2" t="s">
        <v>233</v>
      </c>
      <c r="BW705" s="2" t="s">
        <v>233</v>
      </c>
      <c r="BX705" s="2" t="s">
        <v>241</v>
      </c>
      <c r="BY705" s="2" t="s">
        <v>242</v>
      </c>
      <c r="BZ705" s="2" t="s">
        <v>230</v>
      </c>
      <c r="CA705" s="2" t="s">
        <v>920</v>
      </c>
      <c r="CB705" s="2" t="s">
        <v>1290</v>
      </c>
      <c r="CC705" s="2" t="s">
        <v>245</v>
      </c>
      <c r="CD705" s="2" t="s">
        <v>233</v>
      </c>
      <c r="CE705" s="4">
        <v>735</v>
      </c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>
        <v>737</v>
      </c>
      <c r="GD705" s="4">
        <v>702</v>
      </c>
      <c r="GE705" s="4">
        <v>676</v>
      </c>
      <c r="GF705" s="4">
        <v>647</v>
      </c>
      <c r="GG705" s="4">
        <v>600</v>
      </c>
      <c r="GH705" s="4">
        <v>577</v>
      </c>
      <c r="GI705" s="4">
        <v>546</v>
      </c>
      <c r="GJ705" s="4">
        <v>532</v>
      </c>
      <c r="GK705" s="4">
        <v>523</v>
      </c>
      <c r="GL705" s="4">
        <v>515</v>
      </c>
      <c r="GM705" s="4">
        <v>508</v>
      </c>
      <c r="GN705" s="4">
        <v>501</v>
      </c>
      <c r="GO705" s="4">
        <v>494</v>
      </c>
      <c r="GP705" s="4">
        <v>487</v>
      </c>
      <c r="GQ705" s="4">
        <v>480</v>
      </c>
      <c r="GR705" s="4">
        <v>473</v>
      </c>
      <c r="GS705" s="4">
        <v>466</v>
      </c>
      <c r="GT705" s="4">
        <v>458</v>
      </c>
      <c r="GU705" s="4">
        <v>451</v>
      </c>
      <c r="GV705" s="4">
        <v>444</v>
      </c>
      <c r="GW705" s="4">
        <v>437</v>
      </c>
      <c r="GX705" s="4">
        <v>430</v>
      </c>
      <c r="GY705" s="4">
        <v>423</v>
      </c>
      <c r="GZ705" s="4">
        <v>416</v>
      </c>
      <c r="HA705" s="4">
        <v>409</v>
      </c>
      <c r="HB705" s="4">
        <v>402</v>
      </c>
      <c r="HC705" s="19">
        <v>21.7</v>
      </c>
      <c r="HD705" s="19">
        <v>22.6</v>
      </c>
      <c r="HE705" s="19">
        <v>21.1</v>
      </c>
      <c r="HF705" s="19">
        <v>22.3</v>
      </c>
      <c r="HG705" s="19">
        <v>31.6</v>
      </c>
      <c r="HH705" s="19">
        <v>36.1</v>
      </c>
      <c r="HI705" s="19">
        <v>54.6</v>
      </c>
      <c r="HJ705" s="19">
        <v>66.5</v>
      </c>
      <c r="HK705" s="19">
        <v>74.7</v>
      </c>
      <c r="HL705" s="19">
        <v>73.6</v>
      </c>
      <c r="HM705" s="19">
        <v>72.6</v>
      </c>
      <c r="HN705" s="19">
        <v>71.6</v>
      </c>
      <c r="HO705" s="19">
        <v>70.6</v>
      </c>
      <c r="HP705" s="19">
        <v>69.6</v>
      </c>
      <c r="HQ705" s="19">
        <v>68.6</v>
      </c>
      <c r="HR705" s="19">
        <v>67.6</v>
      </c>
      <c r="HS705" s="19">
        <v>66.6</v>
      </c>
      <c r="HT705" s="19">
        <v>65.4</v>
      </c>
      <c r="HU705" s="19">
        <v>64.4</v>
      </c>
      <c r="HV705" s="19">
        <v>63.4</v>
      </c>
      <c r="HW705" s="19">
        <v>62.4</v>
      </c>
      <c r="HX705" s="19">
        <v>61.4</v>
      </c>
      <c r="HY705" s="19">
        <v>60.4</v>
      </c>
      <c r="HZ705" s="19">
        <v>59.4</v>
      </c>
      <c r="IA705" s="19">
        <v>58.4</v>
      </c>
      <c r="IB705" s="19">
        <v>57.4</v>
      </c>
    </row>
    <row r="706">
      <c r="A706" s="2" t="s">
        <v>3927</v>
      </c>
      <c r="B706" s="2" t="s">
        <v>704</v>
      </c>
      <c r="C706" s="2" t="s">
        <v>260</v>
      </c>
      <c r="D706" s="2" t="s">
        <v>705</v>
      </c>
      <c r="E706" s="2" t="s">
        <v>706</v>
      </c>
      <c r="F706" s="2" t="s">
        <v>3922</v>
      </c>
      <c r="G706" s="2" t="s">
        <v>3922</v>
      </c>
      <c r="H706" s="2" t="s">
        <v>3922</v>
      </c>
      <c r="I706" s="2" t="s">
        <v>3923</v>
      </c>
      <c r="J706" s="2" t="s">
        <v>792</v>
      </c>
      <c r="K706" s="2" t="s">
        <v>300</v>
      </c>
      <c r="L706" s="3">
        <v>42.75</v>
      </c>
      <c r="M706" s="3">
        <v>44.89</v>
      </c>
      <c r="N706" s="3">
        <v>94.99</v>
      </c>
      <c r="O706" s="2" t="s">
        <v>230</v>
      </c>
      <c r="P706" s="2" t="s">
        <v>231</v>
      </c>
      <c r="Q706" s="2" t="s">
        <v>232</v>
      </c>
      <c r="R706" s="2" t="s">
        <v>233</v>
      </c>
      <c r="S706" s="2" t="s">
        <v>3924</v>
      </c>
      <c r="T706" s="2" t="s">
        <v>348</v>
      </c>
      <c r="U706" s="2" t="s">
        <v>665</v>
      </c>
      <c r="V706" s="2" t="s">
        <v>236</v>
      </c>
      <c r="W706" s="2" t="s">
        <v>288</v>
      </c>
      <c r="X706" s="2" t="s">
        <v>712</v>
      </c>
      <c r="Y706" s="2" t="s">
        <v>917</v>
      </c>
      <c r="Z706" s="4">
        <v>707</v>
      </c>
      <c r="AA706" s="4">
        <f>=ROUNDDOWN(117.833333333333,0)</f>
      </c>
      <c r="AB706" s="5">
        <v>6</v>
      </c>
      <c r="AC706" s="2" t="s">
        <v>233</v>
      </c>
      <c r="AD706" s="4"/>
      <c r="AE706" s="4"/>
      <c r="AF706" s="6">
        <v>73</v>
      </c>
      <c r="AG706" s="6"/>
      <c r="AH706" s="7">
        <v>1</v>
      </c>
      <c r="AI706" s="4"/>
      <c r="AJ706" s="4">
        <f>=ROUNDDOWN({0},0)</f>
      </c>
      <c r="AK706" s="5"/>
      <c r="AL706" s="2" t="s">
        <v>233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 t="s">
        <v>233</v>
      </c>
      <c r="BD706" s="8" t="s">
        <v>233</v>
      </c>
      <c r="BE706" s="4" t="s">
        <v>233</v>
      </c>
      <c r="BF706" s="8" t="s">
        <v>233</v>
      </c>
      <c r="BG706" s="7" t="s">
        <v>233</v>
      </c>
      <c r="BH706" s="7" t="s">
        <v>233</v>
      </c>
      <c r="BI706" s="7"/>
      <c r="BJ706" s="4">
        <v>22</v>
      </c>
      <c r="BK706" s="8">
        <v>1020.51</v>
      </c>
      <c r="BL706" s="2" t="s">
        <v>3928</v>
      </c>
      <c r="BM706" s="7"/>
      <c r="BN706" s="7"/>
      <c r="BO706" s="4"/>
      <c r="BP706" s="8"/>
      <c r="BQ706" s="4"/>
      <c r="BR706" s="8"/>
      <c r="BS706" s="7"/>
      <c r="BT706" s="7"/>
      <c r="BU706" s="2" t="s">
        <v>3926</v>
      </c>
      <c r="BV706" s="2" t="s">
        <v>233</v>
      </c>
      <c r="BW706" s="2" t="s">
        <v>233</v>
      </c>
      <c r="BX706" s="2" t="s">
        <v>241</v>
      </c>
      <c r="BY706" s="2" t="s">
        <v>242</v>
      </c>
      <c r="BZ706" s="2" t="s">
        <v>230</v>
      </c>
      <c r="CA706" s="2" t="s">
        <v>920</v>
      </c>
      <c r="CB706" s="2" t="s">
        <v>2849</v>
      </c>
      <c r="CC706" s="2" t="s">
        <v>245</v>
      </c>
      <c r="CD706" s="2" t="s">
        <v>233</v>
      </c>
      <c r="CE706" s="4">
        <v>707</v>
      </c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>
        <v>712</v>
      </c>
      <c r="GD706" s="4">
        <v>680</v>
      </c>
      <c r="GE706" s="4">
        <v>655</v>
      </c>
      <c r="GF706" s="4">
        <v>631</v>
      </c>
      <c r="GG706" s="4">
        <v>591</v>
      </c>
      <c r="GH706" s="4">
        <v>572</v>
      </c>
      <c r="GI706" s="4">
        <v>546</v>
      </c>
      <c r="GJ706" s="4">
        <v>534</v>
      </c>
      <c r="GK706" s="4">
        <v>526</v>
      </c>
      <c r="GL706" s="4">
        <v>519</v>
      </c>
      <c r="GM706" s="4">
        <v>513</v>
      </c>
      <c r="GN706" s="4">
        <v>507</v>
      </c>
      <c r="GO706" s="4">
        <v>501</v>
      </c>
      <c r="GP706" s="4">
        <v>495</v>
      </c>
      <c r="GQ706" s="4">
        <v>489</v>
      </c>
      <c r="GR706" s="4">
        <v>483</v>
      </c>
      <c r="GS706" s="4">
        <v>477</v>
      </c>
      <c r="GT706" s="4">
        <v>470</v>
      </c>
      <c r="GU706" s="4">
        <v>464</v>
      </c>
      <c r="GV706" s="4">
        <v>458</v>
      </c>
      <c r="GW706" s="4">
        <v>452</v>
      </c>
      <c r="GX706" s="4">
        <v>446</v>
      </c>
      <c r="GY706" s="4">
        <v>440</v>
      </c>
      <c r="GZ706" s="4">
        <v>434</v>
      </c>
      <c r="HA706" s="4">
        <v>428</v>
      </c>
      <c r="HB706" s="4">
        <v>422</v>
      </c>
      <c r="HC706" s="19">
        <v>23.7</v>
      </c>
      <c r="HD706" s="19">
        <v>25.2</v>
      </c>
      <c r="HE706" s="19">
        <v>24.3</v>
      </c>
      <c r="HF706" s="19">
        <v>26.3</v>
      </c>
      <c r="HG706" s="19">
        <v>36.9</v>
      </c>
      <c r="HH706" s="19">
        <v>44</v>
      </c>
      <c r="HI706" s="19">
        <v>68.3</v>
      </c>
      <c r="HJ706" s="19">
        <v>76.3</v>
      </c>
      <c r="HK706" s="19">
        <v>87.7</v>
      </c>
      <c r="HL706" s="19">
        <v>86.5</v>
      </c>
      <c r="HM706" s="19">
        <v>85.5</v>
      </c>
      <c r="HN706" s="19">
        <v>84.5</v>
      </c>
      <c r="HO706" s="19">
        <v>83.5</v>
      </c>
      <c r="HP706" s="19">
        <v>82.5</v>
      </c>
      <c r="HQ706" s="19">
        <v>81.5</v>
      </c>
      <c r="HR706" s="19">
        <v>80.5</v>
      </c>
      <c r="HS706" s="19">
        <v>79.5</v>
      </c>
      <c r="HT706" s="19">
        <v>78.3</v>
      </c>
      <c r="HU706" s="19">
        <v>77.3</v>
      </c>
      <c r="HV706" s="19">
        <v>76.3</v>
      </c>
      <c r="HW706" s="19">
        <v>75.3</v>
      </c>
      <c r="HX706" s="19">
        <v>74.3</v>
      </c>
      <c r="HY706" s="19">
        <v>73.3</v>
      </c>
      <c r="HZ706" s="19">
        <v>72.3</v>
      </c>
      <c r="IA706" s="19">
        <v>71.3</v>
      </c>
      <c r="IB706" s="19">
        <v>70.3</v>
      </c>
    </row>
    <row r="707">
      <c r="A707" s="2" t="s">
        <v>3929</v>
      </c>
      <c r="B707" s="2" t="s">
        <v>704</v>
      </c>
      <c r="C707" s="2" t="s">
        <v>260</v>
      </c>
      <c r="D707" s="2" t="s">
        <v>705</v>
      </c>
      <c r="E707" s="2" t="s">
        <v>706</v>
      </c>
      <c r="F707" s="2" t="s">
        <v>3922</v>
      </c>
      <c r="G707" s="2" t="s">
        <v>3922</v>
      </c>
      <c r="H707" s="2" t="s">
        <v>3922</v>
      </c>
      <c r="I707" s="2" t="s">
        <v>3923</v>
      </c>
      <c r="J707" s="2" t="s">
        <v>792</v>
      </c>
      <c r="K707" s="2" t="s">
        <v>3930</v>
      </c>
      <c r="L707" s="3">
        <v>42.75</v>
      </c>
      <c r="M707" s="3">
        <v>44.89</v>
      </c>
      <c r="N707" s="3">
        <v>94.99</v>
      </c>
      <c r="O707" s="2" t="s">
        <v>230</v>
      </c>
      <c r="P707" s="2" t="s">
        <v>1302</v>
      </c>
      <c r="Q707" s="2" t="s">
        <v>232</v>
      </c>
      <c r="R707" s="2" t="s">
        <v>233</v>
      </c>
      <c r="S707" s="2" t="s">
        <v>3924</v>
      </c>
      <c r="T707" s="2" t="s">
        <v>348</v>
      </c>
      <c r="U707" s="2" t="s">
        <v>665</v>
      </c>
      <c r="V707" s="2" t="s">
        <v>236</v>
      </c>
      <c r="W707" s="2" t="s">
        <v>288</v>
      </c>
      <c r="X707" s="2" t="s">
        <v>712</v>
      </c>
      <c r="Y707" s="2" t="s">
        <v>3931</v>
      </c>
      <c r="Z707" s="4">
        <v>548</v>
      </c>
      <c r="AA707" s="4">
        <f>=ROUNDDOWN(49.8181818181818,0)</f>
      </c>
      <c r="AB707" s="5">
        <v>11</v>
      </c>
      <c r="AC707" s="2" t="s">
        <v>140</v>
      </c>
      <c r="AD707" s="4">
        <v>470</v>
      </c>
      <c r="AE707" s="4">
        <v>1080</v>
      </c>
      <c r="AF707" s="6">
        <v>73</v>
      </c>
      <c r="AG707" s="6"/>
      <c r="AH707" s="7">
        <v>1</v>
      </c>
      <c r="AI707" s="4"/>
      <c r="AJ707" s="4">
        <f>=ROUNDDOWN({0},0)</f>
      </c>
      <c r="AK707" s="5"/>
      <c r="AL707" s="2" t="s">
        <v>233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 t="s">
        <v>233</v>
      </c>
      <c r="BD707" s="8" t="s">
        <v>233</v>
      </c>
      <c r="BE707" s="4" t="s">
        <v>233</v>
      </c>
      <c r="BF707" s="8" t="s">
        <v>233</v>
      </c>
      <c r="BG707" s="7" t="s">
        <v>233</v>
      </c>
      <c r="BH707" s="7" t="s">
        <v>233</v>
      </c>
      <c r="BI707" s="7"/>
      <c r="BJ707" s="4">
        <v>46</v>
      </c>
      <c r="BK707" s="8">
        <v>2082.7</v>
      </c>
      <c r="BL707" s="2" t="s">
        <v>3932</v>
      </c>
      <c r="BM707" s="7"/>
      <c r="BN707" s="7"/>
      <c r="BO707" s="4"/>
      <c r="BP707" s="8"/>
      <c r="BQ707" s="4"/>
      <c r="BR707" s="8"/>
      <c r="BS707" s="7"/>
      <c r="BT707" s="7"/>
      <c r="BU707" s="2" t="s">
        <v>3926</v>
      </c>
      <c r="BV707" s="2" t="s">
        <v>233</v>
      </c>
      <c r="BW707" s="2" t="s">
        <v>233</v>
      </c>
      <c r="BX707" s="2" t="s">
        <v>241</v>
      </c>
      <c r="BY707" s="2" t="s">
        <v>242</v>
      </c>
      <c r="BZ707" s="2" t="s">
        <v>230</v>
      </c>
      <c r="CA707" s="2" t="s">
        <v>3933</v>
      </c>
      <c r="CB707" s="2" t="s">
        <v>3934</v>
      </c>
      <c r="CC707" s="2" t="s">
        <v>245</v>
      </c>
      <c r="CD707" s="2" t="s">
        <v>233</v>
      </c>
      <c r="CE707" s="4">
        <v>548</v>
      </c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>
        <v>470</v>
      </c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>
        <v>610</v>
      </c>
      <c r="FU707" s="4"/>
      <c r="FV707" s="4"/>
      <c r="FW707" s="4"/>
      <c r="FX707" s="4"/>
      <c r="FY707" s="4"/>
      <c r="FZ707" s="4"/>
      <c r="GA707" s="4"/>
      <c r="GB707" s="4"/>
      <c r="GC707" s="4">
        <v>552</v>
      </c>
      <c r="GD707" s="4">
        <v>498</v>
      </c>
      <c r="GE707" s="4">
        <v>918</v>
      </c>
      <c r="GF707" s="4">
        <v>875</v>
      </c>
      <c r="GG707" s="4">
        <v>804</v>
      </c>
      <c r="GH707" s="4">
        <v>770</v>
      </c>
      <c r="GI707" s="4">
        <v>723</v>
      </c>
      <c r="GJ707" s="4">
        <v>694</v>
      </c>
      <c r="GK707" s="4">
        <v>681</v>
      </c>
      <c r="GL707" s="4">
        <v>671</v>
      </c>
      <c r="GM707" s="4">
        <v>662</v>
      </c>
      <c r="GN707" s="4">
        <v>652</v>
      </c>
      <c r="GO707" s="4">
        <v>641</v>
      </c>
      <c r="GP707" s="4">
        <v>630</v>
      </c>
      <c r="GQ707" s="4">
        <v>619</v>
      </c>
      <c r="GR707" s="4">
        <v>608</v>
      </c>
      <c r="GS707" s="4">
        <v>597</v>
      </c>
      <c r="GT707" s="4">
        <v>1195</v>
      </c>
      <c r="GU707" s="4">
        <v>1184</v>
      </c>
      <c r="GV707" s="4">
        <v>1173</v>
      </c>
      <c r="GW707" s="4">
        <v>1162</v>
      </c>
      <c r="GX707" s="4">
        <v>1151</v>
      </c>
      <c r="GY707" s="4">
        <v>1140</v>
      </c>
      <c r="GZ707" s="4">
        <v>1129</v>
      </c>
      <c r="HA707" s="4">
        <v>1118</v>
      </c>
      <c r="HB707" s="4">
        <v>1107</v>
      </c>
      <c r="HC707" s="19">
        <v>10.2</v>
      </c>
      <c r="HD707" s="19">
        <v>10</v>
      </c>
      <c r="HE707" s="19">
        <v>18.7</v>
      </c>
      <c r="HF707" s="19">
        <v>19.4</v>
      </c>
      <c r="HG707" s="19">
        <v>25.9</v>
      </c>
      <c r="HH707" s="19">
        <v>30.8</v>
      </c>
      <c r="HI707" s="19">
        <v>48.2</v>
      </c>
      <c r="HJ707" s="19">
        <v>69.4</v>
      </c>
      <c r="HK707" s="19">
        <v>68.1</v>
      </c>
      <c r="HL707" s="19">
        <v>67.1</v>
      </c>
      <c r="HM707" s="19">
        <v>60.2</v>
      </c>
      <c r="HN707" s="19">
        <v>59.3</v>
      </c>
      <c r="HO707" s="19">
        <v>58.3</v>
      </c>
      <c r="HP707" s="19">
        <v>57.3</v>
      </c>
      <c r="HQ707" s="19">
        <v>56.3</v>
      </c>
      <c r="HR707" s="19">
        <v>55.3</v>
      </c>
      <c r="HS707" s="19">
        <v>54.3</v>
      </c>
      <c r="HT707" s="19">
        <v>108.6</v>
      </c>
      <c r="HU707" s="19">
        <v>107.6</v>
      </c>
      <c r="HV707" s="19">
        <v>106.6</v>
      </c>
      <c r="HW707" s="19">
        <v>105.6</v>
      </c>
      <c r="HX707" s="19">
        <v>104.6</v>
      </c>
      <c r="HY707" s="19">
        <v>103.6</v>
      </c>
      <c r="HZ707" s="19">
        <v>102.6</v>
      </c>
      <c r="IA707" s="19">
        <v>101.6</v>
      </c>
      <c r="IB707" s="19">
        <v>100.6</v>
      </c>
    </row>
    <row r="708">
      <c r="A708" s="2" t="s">
        <v>3935</v>
      </c>
      <c r="B708" s="2" t="s">
        <v>704</v>
      </c>
      <c r="C708" s="2" t="s">
        <v>260</v>
      </c>
      <c r="D708" s="2" t="s">
        <v>705</v>
      </c>
      <c r="E708" s="2" t="s">
        <v>706</v>
      </c>
      <c r="F708" s="2" t="s">
        <v>3922</v>
      </c>
      <c r="G708" s="2" t="s">
        <v>3922</v>
      </c>
      <c r="H708" s="2" t="s">
        <v>3922</v>
      </c>
      <c r="I708" s="2" t="s">
        <v>3923</v>
      </c>
      <c r="J708" s="2" t="s">
        <v>792</v>
      </c>
      <c r="K708" s="2" t="s">
        <v>266</v>
      </c>
      <c r="L708" s="3">
        <v>42.75</v>
      </c>
      <c r="M708" s="3">
        <v>44.89</v>
      </c>
      <c r="N708" s="3">
        <v>94.99</v>
      </c>
      <c r="O708" s="2" t="s">
        <v>230</v>
      </c>
      <c r="P708" s="2" t="s">
        <v>1302</v>
      </c>
      <c r="Q708" s="2" t="s">
        <v>232</v>
      </c>
      <c r="R708" s="2" t="s">
        <v>233</v>
      </c>
      <c r="S708" s="2" t="s">
        <v>3924</v>
      </c>
      <c r="T708" s="2" t="s">
        <v>348</v>
      </c>
      <c r="U708" s="2" t="s">
        <v>665</v>
      </c>
      <c r="V708" s="2" t="s">
        <v>236</v>
      </c>
      <c r="W708" s="2" t="s">
        <v>288</v>
      </c>
      <c r="X708" s="2" t="s">
        <v>712</v>
      </c>
      <c r="Y708" s="2" t="s">
        <v>3931</v>
      </c>
      <c r="Z708" s="4">
        <v>733</v>
      </c>
      <c r="AA708" s="4">
        <f>=ROUNDDOWN(66.6363636363636,0)</f>
      </c>
      <c r="AB708" s="5">
        <v>11</v>
      </c>
      <c r="AC708" s="2" t="s">
        <v>140</v>
      </c>
      <c r="AD708" s="4">
        <v>290</v>
      </c>
      <c r="AE708" s="4">
        <v>880</v>
      </c>
      <c r="AF708" s="6">
        <v>73</v>
      </c>
      <c r="AG708" s="6"/>
      <c r="AH708" s="7">
        <v>1</v>
      </c>
      <c r="AI708" s="4"/>
      <c r="AJ708" s="4">
        <f>=ROUNDDOWN({0},0)</f>
      </c>
      <c r="AK708" s="5"/>
      <c r="AL708" s="2" t="s">
        <v>233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 t="s">
        <v>233</v>
      </c>
      <c r="BD708" s="8" t="s">
        <v>233</v>
      </c>
      <c r="BE708" s="4" t="s">
        <v>233</v>
      </c>
      <c r="BF708" s="8" t="s">
        <v>233</v>
      </c>
      <c r="BG708" s="7" t="s">
        <v>233</v>
      </c>
      <c r="BH708" s="7" t="s">
        <v>233</v>
      </c>
      <c r="BI708" s="7"/>
      <c r="BJ708" s="4">
        <v>39</v>
      </c>
      <c r="BK708" s="8">
        <v>1786.88</v>
      </c>
      <c r="BL708" s="2" t="s">
        <v>3936</v>
      </c>
      <c r="BM708" s="7"/>
      <c r="BN708" s="7"/>
      <c r="BO708" s="4"/>
      <c r="BP708" s="8"/>
      <c r="BQ708" s="4"/>
      <c r="BR708" s="8"/>
      <c r="BS708" s="7"/>
      <c r="BT708" s="7"/>
      <c r="BU708" s="2" t="s">
        <v>3926</v>
      </c>
      <c r="BV708" s="2" t="s">
        <v>233</v>
      </c>
      <c r="BW708" s="2" t="s">
        <v>233</v>
      </c>
      <c r="BX708" s="2" t="s">
        <v>241</v>
      </c>
      <c r="BY708" s="2" t="s">
        <v>242</v>
      </c>
      <c r="BZ708" s="2" t="s">
        <v>230</v>
      </c>
      <c r="CA708" s="2" t="s">
        <v>3933</v>
      </c>
      <c r="CB708" s="2" t="s">
        <v>3937</v>
      </c>
      <c r="CC708" s="2" t="s">
        <v>245</v>
      </c>
      <c r="CD708" s="2" t="s">
        <v>233</v>
      </c>
      <c r="CE708" s="4">
        <v>733</v>
      </c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>
        <v>290</v>
      </c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>
        <v>590</v>
      </c>
      <c r="FU708" s="4"/>
      <c r="FV708" s="4"/>
      <c r="FW708" s="4"/>
      <c r="FX708" s="4"/>
      <c r="FY708" s="4"/>
      <c r="FZ708" s="4"/>
      <c r="GA708" s="4"/>
      <c r="GB708" s="4"/>
      <c r="GC708" s="4">
        <v>737</v>
      </c>
      <c r="GD708" s="4">
        <v>699</v>
      </c>
      <c r="GE708" s="4">
        <v>945</v>
      </c>
      <c r="GF708" s="4">
        <v>898</v>
      </c>
      <c r="GG708" s="4">
        <v>820</v>
      </c>
      <c r="GH708" s="4">
        <v>783</v>
      </c>
      <c r="GI708" s="4">
        <v>732</v>
      </c>
      <c r="GJ708" s="4">
        <v>709</v>
      </c>
      <c r="GK708" s="4">
        <v>694</v>
      </c>
      <c r="GL708" s="4">
        <v>682</v>
      </c>
      <c r="GM708" s="4">
        <v>671</v>
      </c>
      <c r="GN708" s="4">
        <v>660</v>
      </c>
      <c r="GO708" s="4">
        <v>649</v>
      </c>
      <c r="GP708" s="4">
        <v>638</v>
      </c>
      <c r="GQ708" s="4">
        <v>627</v>
      </c>
      <c r="GR708" s="4">
        <v>616</v>
      </c>
      <c r="GS708" s="4">
        <v>605</v>
      </c>
      <c r="GT708" s="4">
        <v>1183</v>
      </c>
      <c r="GU708" s="4">
        <v>1172</v>
      </c>
      <c r="GV708" s="4">
        <v>1161</v>
      </c>
      <c r="GW708" s="4">
        <v>1150</v>
      </c>
      <c r="GX708" s="4">
        <v>1139</v>
      </c>
      <c r="GY708" s="4">
        <v>1128</v>
      </c>
      <c r="GZ708" s="4">
        <v>1117</v>
      </c>
      <c r="HA708" s="4">
        <v>1106</v>
      </c>
      <c r="HB708" s="4">
        <v>1095</v>
      </c>
      <c r="HC708" s="19">
        <v>14.2</v>
      </c>
      <c r="HD708" s="19">
        <v>13.4</v>
      </c>
      <c r="HE708" s="19">
        <v>17.8</v>
      </c>
      <c r="HF708" s="19">
        <v>19.1</v>
      </c>
      <c r="HG708" s="19">
        <v>25.6</v>
      </c>
      <c r="HH708" s="19">
        <v>31.3</v>
      </c>
      <c r="HI708" s="19">
        <v>48.8</v>
      </c>
      <c r="HJ708" s="19">
        <v>59.1</v>
      </c>
      <c r="HK708" s="19">
        <v>63.1</v>
      </c>
      <c r="HL708" s="19">
        <v>62</v>
      </c>
      <c r="HM708" s="19">
        <v>61</v>
      </c>
      <c r="HN708" s="19">
        <v>60</v>
      </c>
      <c r="HO708" s="19">
        <v>59</v>
      </c>
      <c r="HP708" s="19">
        <v>58</v>
      </c>
      <c r="HQ708" s="19">
        <v>57</v>
      </c>
      <c r="HR708" s="19">
        <v>56</v>
      </c>
      <c r="HS708" s="19">
        <v>55</v>
      </c>
      <c r="HT708" s="19">
        <v>107.5</v>
      </c>
      <c r="HU708" s="19">
        <v>106.5</v>
      </c>
      <c r="HV708" s="19">
        <v>105.5</v>
      </c>
      <c r="HW708" s="19">
        <v>104.5</v>
      </c>
      <c r="HX708" s="19">
        <v>103.5</v>
      </c>
      <c r="HY708" s="19">
        <v>102.5</v>
      </c>
      <c r="HZ708" s="19">
        <v>101.5</v>
      </c>
      <c r="IA708" s="19">
        <v>100.5</v>
      </c>
      <c r="IB708" s="19">
        <v>99.5</v>
      </c>
    </row>
    <row r="709">
      <c r="A709" s="2" t="s">
        <v>3938</v>
      </c>
      <c r="B709" s="2" t="s">
        <v>825</v>
      </c>
      <c r="C709" s="2" t="s">
        <v>1411</v>
      </c>
      <c r="D709" s="2" t="s">
        <v>261</v>
      </c>
      <c r="E709" s="2" t="s">
        <v>895</v>
      </c>
      <c r="F709" s="2" t="s">
        <v>3939</v>
      </c>
      <c r="G709" s="2" t="s">
        <v>1932</v>
      </c>
      <c r="H709" s="2" t="s">
        <v>3940</v>
      </c>
      <c r="I709" s="2" t="s">
        <v>3941</v>
      </c>
      <c r="J709" s="2" t="s">
        <v>1052</v>
      </c>
      <c r="K709" s="2" t="s">
        <v>1511</v>
      </c>
      <c r="L709" s="3">
        <v>33.33</v>
      </c>
      <c r="M709" s="3">
        <v>35</v>
      </c>
      <c r="N709" s="3">
        <v>69.99</v>
      </c>
      <c r="O709" s="2" t="s">
        <v>230</v>
      </c>
      <c r="P709" s="2" t="s">
        <v>231</v>
      </c>
      <c r="Q709" s="2" t="s">
        <v>232</v>
      </c>
      <c r="R709" s="2" t="s">
        <v>233</v>
      </c>
      <c r="S709" s="2" t="s">
        <v>3942</v>
      </c>
      <c r="T709" s="2" t="s">
        <v>1546</v>
      </c>
      <c r="U709" s="2" t="s">
        <v>711</v>
      </c>
      <c r="V709" s="2" t="s">
        <v>236</v>
      </c>
      <c r="W709" s="2" t="s">
        <v>620</v>
      </c>
      <c r="X709" s="2" t="s">
        <v>237</v>
      </c>
      <c r="Y709" s="2" t="s">
        <v>3943</v>
      </c>
      <c r="Z709" s="4">
        <v>360</v>
      </c>
      <c r="AA709" s="4">
        <f>=ROUNDDOWN(90,0)</f>
      </c>
      <c r="AB709" s="5">
        <v>4</v>
      </c>
      <c r="AC709" s="2" t="s">
        <v>233</v>
      </c>
      <c r="AD709" s="4"/>
      <c r="AE709" s="4"/>
      <c r="AF709" s="6">
        <v>66</v>
      </c>
      <c r="AG709" s="6"/>
      <c r="AH709" s="7">
        <v>1</v>
      </c>
      <c r="AI709" s="4"/>
      <c r="AJ709" s="4">
        <f>=ROUNDDOWN({0},0)</f>
      </c>
      <c r="AK709" s="5"/>
      <c r="AL709" s="2" t="s">
        <v>233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 t="s">
        <v>233</v>
      </c>
      <c r="BD709" s="8" t="s">
        <v>233</v>
      </c>
      <c r="BE709" s="4" t="s">
        <v>233</v>
      </c>
      <c r="BF709" s="8" t="s">
        <v>233</v>
      </c>
      <c r="BG709" s="7" t="s">
        <v>233</v>
      </c>
      <c r="BH709" s="7" t="s">
        <v>233</v>
      </c>
      <c r="BI709" s="7"/>
      <c r="BJ709" s="4">
        <v>8</v>
      </c>
      <c r="BK709" s="8">
        <v>301.36</v>
      </c>
      <c r="BL709" s="2" t="s">
        <v>1549</v>
      </c>
      <c r="BM709" s="7"/>
      <c r="BN709" s="7"/>
      <c r="BO709" s="4"/>
      <c r="BP709" s="8"/>
      <c r="BQ709" s="4"/>
      <c r="BR709" s="8"/>
      <c r="BS709" s="7"/>
      <c r="BT709" s="7"/>
      <c r="BU709" s="2" t="s">
        <v>3944</v>
      </c>
      <c r="BV709" s="2" t="s">
        <v>233</v>
      </c>
      <c r="BW709" s="2" t="s">
        <v>233</v>
      </c>
      <c r="BX709" s="2" t="s">
        <v>624</v>
      </c>
      <c r="BY709" s="2" t="s">
        <v>242</v>
      </c>
      <c r="BZ709" s="2" t="s">
        <v>230</v>
      </c>
      <c r="CA709" s="2" t="s">
        <v>1521</v>
      </c>
      <c r="CB709" s="2" t="s">
        <v>233</v>
      </c>
      <c r="CC709" s="2" t="s">
        <v>245</v>
      </c>
      <c r="CD709" s="2" t="s">
        <v>233</v>
      </c>
      <c r="CE709" s="4">
        <v>360</v>
      </c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>
        <v>361</v>
      </c>
      <c r="GD709" s="4">
        <v>350</v>
      </c>
      <c r="GE709" s="4">
        <v>345</v>
      </c>
      <c r="GF709" s="4">
        <v>340</v>
      </c>
      <c r="GG709" s="4">
        <v>335</v>
      </c>
      <c r="GH709" s="4">
        <v>327</v>
      </c>
      <c r="GI709" s="4">
        <v>320</v>
      </c>
      <c r="GJ709" s="4">
        <v>315</v>
      </c>
      <c r="GK709" s="4">
        <v>310</v>
      </c>
      <c r="GL709" s="4">
        <v>305</v>
      </c>
      <c r="GM709" s="4">
        <v>301</v>
      </c>
      <c r="GN709" s="4">
        <v>297</v>
      </c>
      <c r="GO709" s="4">
        <v>293</v>
      </c>
      <c r="GP709" s="4">
        <v>289</v>
      </c>
      <c r="GQ709" s="4">
        <v>285</v>
      </c>
      <c r="GR709" s="4">
        <v>281</v>
      </c>
      <c r="GS709" s="4">
        <v>277</v>
      </c>
      <c r="GT709" s="4">
        <v>272</v>
      </c>
      <c r="GU709" s="4">
        <v>268</v>
      </c>
      <c r="GV709" s="4">
        <v>264</v>
      </c>
      <c r="GW709" s="4">
        <v>260</v>
      </c>
      <c r="GX709" s="4">
        <v>256</v>
      </c>
      <c r="GY709" s="4">
        <v>252</v>
      </c>
      <c r="GZ709" s="4">
        <v>248</v>
      </c>
      <c r="HA709" s="4">
        <v>244</v>
      </c>
      <c r="HB709" s="4">
        <v>240</v>
      </c>
      <c r="HC709" s="19">
        <v>60.2</v>
      </c>
      <c r="HD709" s="19">
        <v>58.3</v>
      </c>
      <c r="HE709" s="19">
        <v>57.5</v>
      </c>
      <c r="HF709" s="19">
        <v>56.7</v>
      </c>
      <c r="HG709" s="19">
        <v>55.8</v>
      </c>
      <c r="HH709" s="19">
        <v>54.5</v>
      </c>
      <c r="HI709" s="19">
        <v>64</v>
      </c>
      <c r="HJ709" s="19">
        <v>78.8</v>
      </c>
      <c r="HK709" s="19">
        <v>77.5</v>
      </c>
      <c r="HL709" s="19">
        <v>76.3</v>
      </c>
      <c r="HM709" s="19">
        <v>75.3</v>
      </c>
      <c r="HN709" s="19">
        <v>74.3</v>
      </c>
      <c r="HO709" s="19">
        <v>73.3</v>
      </c>
      <c r="HP709" s="19">
        <v>72.3</v>
      </c>
      <c r="HQ709" s="19">
        <v>71.3</v>
      </c>
      <c r="HR709" s="19">
        <v>70.3</v>
      </c>
      <c r="HS709" s="19">
        <v>69.3</v>
      </c>
      <c r="HT709" s="19">
        <v>68</v>
      </c>
      <c r="HU709" s="19">
        <v>67</v>
      </c>
      <c r="HV709" s="19">
        <v>66</v>
      </c>
      <c r="HW709" s="19">
        <v>65</v>
      </c>
      <c r="HX709" s="19">
        <v>64</v>
      </c>
      <c r="HY709" s="19">
        <v>63</v>
      </c>
      <c r="HZ709" s="19">
        <v>62</v>
      </c>
      <c r="IA709" s="19">
        <v>61</v>
      </c>
      <c r="IB709" s="19">
        <v>60</v>
      </c>
    </row>
    <row r="710">
      <c r="A710" s="2" t="s">
        <v>3945</v>
      </c>
      <c r="B710" s="2" t="s">
        <v>825</v>
      </c>
      <c r="C710" s="2" t="s">
        <v>1411</v>
      </c>
      <c r="D710" s="2" t="s">
        <v>774</v>
      </c>
      <c r="E710" s="2" t="s">
        <v>775</v>
      </c>
      <c r="F710" s="2" t="s">
        <v>3939</v>
      </c>
      <c r="G710" s="2" t="s">
        <v>1932</v>
      </c>
      <c r="H710" s="2" t="s">
        <v>3940</v>
      </c>
      <c r="I710" s="2" t="s">
        <v>3946</v>
      </c>
      <c r="J710" s="2" t="s">
        <v>1052</v>
      </c>
      <c r="K710" s="2" t="s">
        <v>300</v>
      </c>
      <c r="L710" s="3">
        <v>26.19</v>
      </c>
      <c r="M710" s="3">
        <v>27.5</v>
      </c>
      <c r="N710" s="3">
        <v>54.99</v>
      </c>
      <c r="O710" s="2" t="s">
        <v>230</v>
      </c>
      <c r="P710" s="2" t="s">
        <v>231</v>
      </c>
      <c r="Q710" s="2" t="s">
        <v>232</v>
      </c>
      <c r="R710" s="2" t="s">
        <v>233</v>
      </c>
      <c r="S710" s="2" t="s">
        <v>3947</v>
      </c>
      <c r="T710" s="2" t="s">
        <v>1546</v>
      </c>
      <c r="U710" s="2" t="s">
        <v>711</v>
      </c>
      <c r="V710" s="2" t="s">
        <v>236</v>
      </c>
      <c r="W710" s="2" t="s">
        <v>620</v>
      </c>
      <c r="X710" s="2" t="s">
        <v>237</v>
      </c>
      <c r="Y710" s="2" t="s">
        <v>3570</v>
      </c>
      <c r="Z710" s="4">
        <v>183</v>
      </c>
      <c r="AA710" s="4">
        <f>=ROUNDDOWN(183,0)</f>
      </c>
      <c r="AB710" s="5">
        <v>1</v>
      </c>
      <c r="AC710" s="2" t="s">
        <v>233</v>
      </c>
      <c r="AD710" s="4"/>
      <c r="AE710" s="4"/>
      <c r="AF710" s="6">
        <v>66</v>
      </c>
      <c r="AG710" s="6"/>
      <c r="AH710" s="7">
        <v>1</v>
      </c>
      <c r="AI710" s="4"/>
      <c r="AJ710" s="4">
        <f>=ROUNDDOWN({0},0)</f>
      </c>
      <c r="AK710" s="5"/>
      <c r="AL710" s="2" t="s">
        <v>233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233</v>
      </c>
      <c r="AW710" s="8" t="s">
        <v>233</v>
      </c>
      <c r="AX710" s="4" t="s">
        <v>233</v>
      </c>
      <c r="AY710" s="8" t="s">
        <v>233</v>
      </c>
      <c r="AZ710" s="7" t="s">
        <v>233</v>
      </c>
      <c r="BA710" s="7" t="s">
        <v>233</v>
      </c>
      <c r="BB710" s="7"/>
      <c r="BC710" s="4" t="s">
        <v>233</v>
      </c>
      <c r="BD710" s="8" t="s">
        <v>233</v>
      </c>
      <c r="BE710" s="4" t="s">
        <v>233</v>
      </c>
      <c r="BF710" s="8" t="s">
        <v>233</v>
      </c>
      <c r="BG710" s="7" t="s">
        <v>233</v>
      </c>
      <c r="BH710" s="7" t="s">
        <v>233</v>
      </c>
      <c r="BI710" s="7"/>
      <c r="BJ710" s="4">
        <v>3</v>
      </c>
      <c r="BK710" s="8">
        <v>89.1</v>
      </c>
      <c r="BL710" s="2" t="s">
        <v>835</v>
      </c>
      <c r="BM710" s="7"/>
      <c r="BN710" s="7"/>
      <c r="BO710" s="4"/>
      <c r="BP710" s="8"/>
      <c r="BQ710" s="4"/>
      <c r="BR710" s="8"/>
      <c r="BS710" s="7"/>
      <c r="BT710" s="7"/>
      <c r="BU710" s="2" t="s">
        <v>3948</v>
      </c>
      <c r="BV710" s="2" t="s">
        <v>233</v>
      </c>
      <c r="BW710" s="2" t="s">
        <v>233</v>
      </c>
      <c r="BX710" s="2" t="s">
        <v>293</v>
      </c>
      <c r="BY710" s="2" t="s">
        <v>242</v>
      </c>
      <c r="BZ710" s="2" t="s">
        <v>230</v>
      </c>
      <c r="CA710" s="2" t="s">
        <v>1937</v>
      </c>
      <c r="CB710" s="2" t="s">
        <v>3949</v>
      </c>
      <c r="CC710" s="2" t="s">
        <v>245</v>
      </c>
      <c r="CD710" s="2" t="s">
        <v>233</v>
      </c>
      <c r="CE710" s="4">
        <v>183</v>
      </c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>
        <v>283</v>
      </c>
      <c r="GD710" s="4">
        <v>280</v>
      </c>
      <c r="GE710" s="4">
        <v>277</v>
      </c>
      <c r="GF710" s="4">
        <v>274</v>
      </c>
      <c r="GG710" s="4">
        <v>271</v>
      </c>
      <c r="GH710" s="4">
        <v>268</v>
      </c>
      <c r="GI710" s="4">
        <v>265</v>
      </c>
      <c r="GJ710" s="4">
        <v>262</v>
      </c>
      <c r="GK710" s="4">
        <v>259</v>
      </c>
      <c r="GL710" s="4">
        <v>258</v>
      </c>
      <c r="GM710" s="4">
        <v>257</v>
      </c>
      <c r="GN710" s="4">
        <v>256</v>
      </c>
      <c r="GO710" s="4">
        <v>255</v>
      </c>
      <c r="GP710" s="4">
        <v>254</v>
      </c>
      <c r="GQ710" s="4">
        <v>253</v>
      </c>
      <c r="GR710" s="4">
        <v>252</v>
      </c>
      <c r="GS710" s="4">
        <v>251</v>
      </c>
      <c r="GT710" s="4">
        <v>250</v>
      </c>
      <c r="GU710" s="4">
        <v>249</v>
      </c>
      <c r="GV710" s="4">
        <v>248</v>
      </c>
      <c r="GW710" s="4">
        <v>247</v>
      </c>
      <c r="GX710" s="4">
        <v>246</v>
      </c>
      <c r="GY710" s="4">
        <v>245</v>
      </c>
      <c r="GZ710" s="4">
        <v>244</v>
      </c>
      <c r="HA710" s="4">
        <v>243</v>
      </c>
      <c r="HB710" s="4">
        <v>242</v>
      </c>
      <c r="HC710" s="19">
        <v>94.3</v>
      </c>
      <c r="HD710" s="19">
        <v>93.3</v>
      </c>
      <c r="HE710" s="19">
        <v>92.3</v>
      </c>
      <c r="HF710" s="19">
        <v>91.3</v>
      </c>
      <c r="HG710" s="19">
        <v>90.3</v>
      </c>
      <c r="HH710" s="19">
        <v>134</v>
      </c>
      <c r="HI710" s="19">
        <v>132.5</v>
      </c>
      <c r="HJ710" s="19">
        <v>131</v>
      </c>
      <c r="HK710" s="19">
        <v>259</v>
      </c>
      <c r="HL710" s="19">
        <v>258</v>
      </c>
      <c r="HM710" s="19">
        <v>257</v>
      </c>
      <c r="HN710" s="19">
        <v>256</v>
      </c>
      <c r="HO710" s="19">
        <v>255</v>
      </c>
      <c r="HP710" s="19">
        <v>254</v>
      </c>
      <c r="HQ710" s="19">
        <v>253</v>
      </c>
      <c r="HR710" s="19">
        <v>252</v>
      </c>
      <c r="HS710" s="19">
        <v>251</v>
      </c>
      <c r="HT710" s="19">
        <v>250</v>
      </c>
      <c r="HU710" s="19">
        <v>249</v>
      </c>
      <c r="HV710" s="19">
        <v>248</v>
      </c>
      <c r="HW710" s="19">
        <v>247</v>
      </c>
      <c r="HX710" s="19">
        <v>246</v>
      </c>
      <c r="HY710" s="19">
        <v>245</v>
      </c>
      <c r="HZ710" s="19">
        <v>244</v>
      </c>
      <c r="IA710" s="19">
        <v>243</v>
      </c>
      <c r="IB710" s="19">
        <v>242</v>
      </c>
    </row>
    <row r="711">
      <c r="A711" s="2" t="s">
        <v>3950</v>
      </c>
      <c r="B711" s="2" t="s">
        <v>825</v>
      </c>
      <c r="C711" s="2" t="s">
        <v>1411</v>
      </c>
      <c r="D711" s="2" t="s">
        <v>774</v>
      </c>
      <c r="E711" s="2" t="s">
        <v>775</v>
      </c>
      <c r="F711" s="2" t="s">
        <v>3939</v>
      </c>
      <c r="G711" s="2" t="s">
        <v>1932</v>
      </c>
      <c r="H711" s="2" t="s">
        <v>3940</v>
      </c>
      <c r="I711" s="2" t="s">
        <v>3946</v>
      </c>
      <c r="J711" s="2" t="s">
        <v>265</v>
      </c>
      <c r="K711" s="2" t="s">
        <v>300</v>
      </c>
      <c r="L711" s="3">
        <v>30.95</v>
      </c>
      <c r="M711" s="3">
        <v>32.5</v>
      </c>
      <c r="N711" s="3">
        <v>64.99</v>
      </c>
      <c r="O711" s="2" t="s">
        <v>230</v>
      </c>
      <c r="P711" s="2" t="s">
        <v>231</v>
      </c>
      <c r="Q711" s="2" t="s">
        <v>232</v>
      </c>
      <c r="R711" s="2" t="s">
        <v>233</v>
      </c>
      <c r="S711" s="2" t="s">
        <v>3947</v>
      </c>
      <c r="T711" s="2" t="s">
        <v>1546</v>
      </c>
      <c r="U711" s="2" t="s">
        <v>781</v>
      </c>
      <c r="V711" s="2" t="s">
        <v>236</v>
      </c>
      <c r="W711" s="2" t="s">
        <v>620</v>
      </c>
      <c r="X711" s="2" t="s">
        <v>237</v>
      </c>
      <c r="Y711" s="2" t="s">
        <v>2716</v>
      </c>
      <c r="Z711" s="4">
        <v>193</v>
      </c>
      <c r="AA711" s="4">
        <f>=ROUNDDOWN(96.5,0)</f>
      </c>
      <c r="AB711" s="5">
        <v>2</v>
      </c>
      <c r="AC711" s="2" t="s">
        <v>233</v>
      </c>
      <c r="AD711" s="4"/>
      <c r="AE711" s="4"/>
      <c r="AF711" s="6">
        <v>66</v>
      </c>
      <c r="AG711" s="6"/>
      <c r="AH711" s="7">
        <v>1</v>
      </c>
      <c r="AI711" s="4"/>
      <c r="AJ711" s="4">
        <f>=ROUNDDOWN({0},0)</f>
      </c>
      <c r="AK711" s="5"/>
      <c r="AL711" s="2" t="s">
        <v>233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233</v>
      </c>
      <c r="AW711" s="8" t="s">
        <v>233</v>
      </c>
      <c r="AX711" s="4" t="s">
        <v>233</v>
      </c>
      <c r="AY711" s="8" t="s">
        <v>233</v>
      </c>
      <c r="AZ711" s="7" t="s">
        <v>233</v>
      </c>
      <c r="BA711" s="7" t="s">
        <v>233</v>
      </c>
      <c r="BB711" s="7"/>
      <c r="BC711" s="4" t="s">
        <v>233</v>
      </c>
      <c r="BD711" s="8" t="s">
        <v>233</v>
      </c>
      <c r="BE711" s="4" t="s">
        <v>233</v>
      </c>
      <c r="BF711" s="8" t="s">
        <v>233</v>
      </c>
      <c r="BG711" s="7" t="s">
        <v>233</v>
      </c>
      <c r="BH711" s="7" t="s">
        <v>233</v>
      </c>
      <c r="BI711" s="7"/>
      <c r="BJ711" s="4">
        <v>5</v>
      </c>
      <c r="BK711" s="8">
        <v>175.99</v>
      </c>
      <c r="BL711" s="2" t="s">
        <v>1658</v>
      </c>
      <c r="BM711" s="7"/>
      <c r="BN711" s="7"/>
      <c r="BO711" s="4"/>
      <c r="BP711" s="8"/>
      <c r="BQ711" s="4"/>
      <c r="BR711" s="8"/>
      <c r="BS711" s="7"/>
      <c r="BT711" s="7"/>
      <c r="BU711" s="2" t="s">
        <v>3948</v>
      </c>
      <c r="BV711" s="2" t="s">
        <v>233</v>
      </c>
      <c r="BW711" s="2" t="s">
        <v>233</v>
      </c>
      <c r="BX711" s="2" t="s">
        <v>293</v>
      </c>
      <c r="BY711" s="2" t="s">
        <v>242</v>
      </c>
      <c r="BZ711" s="2" t="s">
        <v>230</v>
      </c>
      <c r="CA711" s="2" t="s">
        <v>1937</v>
      </c>
      <c r="CB711" s="2" t="s">
        <v>1928</v>
      </c>
      <c r="CC711" s="2" t="s">
        <v>245</v>
      </c>
      <c r="CD711" s="2" t="s">
        <v>233</v>
      </c>
      <c r="CE711" s="4">
        <v>193</v>
      </c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>
        <v>303</v>
      </c>
      <c r="GD711" s="4">
        <v>299</v>
      </c>
      <c r="GE711" s="4">
        <v>295</v>
      </c>
      <c r="GF711" s="4">
        <v>291</v>
      </c>
      <c r="GG711" s="4">
        <v>287</v>
      </c>
      <c r="GH711" s="4">
        <v>283</v>
      </c>
      <c r="GI711" s="4">
        <v>279</v>
      </c>
      <c r="GJ711" s="4">
        <v>275</v>
      </c>
      <c r="GK711" s="4">
        <v>271</v>
      </c>
      <c r="GL711" s="4">
        <v>269</v>
      </c>
      <c r="GM711" s="4">
        <v>267</v>
      </c>
      <c r="GN711" s="4">
        <v>265</v>
      </c>
      <c r="GO711" s="4">
        <v>263</v>
      </c>
      <c r="GP711" s="4">
        <v>261</v>
      </c>
      <c r="GQ711" s="4">
        <v>259</v>
      </c>
      <c r="GR711" s="4">
        <v>257</v>
      </c>
      <c r="GS711" s="4">
        <v>255</v>
      </c>
      <c r="GT711" s="4">
        <v>253</v>
      </c>
      <c r="GU711" s="4">
        <v>251</v>
      </c>
      <c r="GV711" s="4">
        <v>249</v>
      </c>
      <c r="GW711" s="4">
        <v>247</v>
      </c>
      <c r="GX711" s="4">
        <v>245</v>
      </c>
      <c r="GY711" s="4">
        <v>243</v>
      </c>
      <c r="GZ711" s="4">
        <v>241</v>
      </c>
      <c r="HA711" s="4">
        <v>239</v>
      </c>
      <c r="HB711" s="4">
        <v>237</v>
      </c>
      <c r="HC711" s="19">
        <v>75.8</v>
      </c>
      <c r="HD711" s="19">
        <v>74.8</v>
      </c>
      <c r="HE711" s="19">
        <v>73.8</v>
      </c>
      <c r="HF711" s="19">
        <v>72.8</v>
      </c>
      <c r="HG711" s="19">
        <v>71.8</v>
      </c>
      <c r="HH711" s="19">
        <v>70.8</v>
      </c>
      <c r="HI711" s="19">
        <v>93</v>
      </c>
      <c r="HJ711" s="19">
        <v>137.5</v>
      </c>
      <c r="HK711" s="19">
        <v>135.5</v>
      </c>
      <c r="HL711" s="19">
        <v>134.5</v>
      </c>
      <c r="HM711" s="19">
        <v>133.5</v>
      </c>
      <c r="HN711" s="19">
        <v>132.5</v>
      </c>
      <c r="HO711" s="19">
        <v>131.5</v>
      </c>
      <c r="HP711" s="19">
        <v>130.5</v>
      </c>
      <c r="HQ711" s="19">
        <v>129.5</v>
      </c>
      <c r="HR711" s="19">
        <v>128.5</v>
      </c>
      <c r="HS711" s="19">
        <v>127.5</v>
      </c>
      <c r="HT711" s="19">
        <v>126.5</v>
      </c>
      <c r="HU711" s="19">
        <v>125.5</v>
      </c>
      <c r="HV711" s="19">
        <v>124.5</v>
      </c>
      <c r="HW711" s="19">
        <v>123.5</v>
      </c>
      <c r="HX711" s="19">
        <v>122.5</v>
      </c>
      <c r="HY711" s="19">
        <v>121.5</v>
      </c>
      <c r="HZ711" s="19">
        <v>120.5</v>
      </c>
      <c r="IA711" s="19">
        <v>119.5</v>
      </c>
      <c r="IB711" s="19">
        <v>118.5</v>
      </c>
    </row>
    <row r="712">
      <c r="A712" s="2" t="s">
        <v>3951</v>
      </c>
      <c r="B712" s="2" t="s">
        <v>825</v>
      </c>
      <c r="C712" s="2" t="s">
        <v>1411</v>
      </c>
      <c r="D712" s="2" t="s">
        <v>261</v>
      </c>
      <c r="E712" s="2" t="s">
        <v>895</v>
      </c>
      <c r="F712" s="2" t="s">
        <v>3939</v>
      </c>
      <c r="G712" s="2" t="s">
        <v>1932</v>
      </c>
      <c r="H712" s="2" t="s">
        <v>3940</v>
      </c>
      <c r="I712" s="2" t="s">
        <v>3941</v>
      </c>
      <c r="J712" s="2" t="s">
        <v>1052</v>
      </c>
      <c r="K712" s="2" t="s">
        <v>870</v>
      </c>
      <c r="L712" s="3">
        <v>33.33</v>
      </c>
      <c r="M712" s="3">
        <v>35</v>
      </c>
      <c r="N712" s="3">
        <v>69.99</v>
      </c>
      <c r="O712" s="2" t="s">
        <v>230</v>
      </c>
      <c r="P712" s="2" t="s">
        <v>231</v>
      </c>
      <c r="Q712" s="2" t="s">
        <v>232</v>
      </c>
      <c r="R712" s="2" t="s">
        <v>233</v>
      </c>
      <c r="S712" s="2" t="s">
        <v>3952</v>
      </c>
      <c r="T712" s="2" t="s">
        <v>1546</v>
      </c>
      <c r="U712" s="2" t="s">
        <v>711</v>
      </c>
      <c r="V712" s="2" t="s">
        <v>236</v>
      </c>
      <c r="W712" s="2" t="s">
        <v>620</v>
      </c>
      <c r="X712" s="2" t="s">
        <v>237</v>
      </c>
      <c r="Y712" s="2" t="s">
        <v>3570</v>
      </c>
      <c r="Z712" s="4">
        <v>480</v>
      </c>
      <c r="AA712" s="4">
        <f>=ROUNDDOWN(120,0)</f>
      </c>
      <c r="AB712" s="5">
        <v>4</v>
      </c>
      <c r="AC712" s="2" t="s">
        <v>233</v>
      </c>
      <c r="AD712" s="4"/>
      <c r="AE712" s="4"/>
      <c r="AF712" s="6">
        <v>66</v>
      </c>
      <c r="AG712" s="6"/>
      <c r="AH712" s="7">
        <v>1</v>
      </c>
      <c r="AI712" s="4"/>
      <c r="AJ712" s="4">
        <f>=ROUNDDOWN({0},0)</f>
      </c>
      <c r="AK712" s="5"/>
      <c r="AL712" s="2" t="s">
        <v>233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233</v>
      </c>
      <c r="AW712" s="8" t="s">
        <v>233</v>
      </c>
      <c r="AX712" s="4" t="s">
        <v>233</v>
      </c>
      <c r="AY712" s="8" t="s">
        <v>233</v>
      </c>
      <c r="AZ712" s="7" t="s">
        <v>233</v>
      </c>
      <c r="BA712" s="7" t="s">
        <v>233</v>
      </c>
      <c r="BB712" s="7" t="s">
        <v>233</v>
      </c>
      <c r="BC712" s="4" t="s">
        <v>233</v>
      </c>
      <c r="BD712" s="8" t="s">
        <v>233</v>
      </c>
      <c r="BE712" s="4" t="s">
        <v>233</v>
      </c>
      <c r="BF712" s="8" t="s">
        <v>233</v>
      </c>
      <c r="BG712" s="7" t="s">
        <v>233</v>
      </c>
      <c r="BH712" s="7" t="s">
        <v>233</v>
      </c>
      <c r="BI712" s="7"/>
      <c r="BJ712" s="4">
        <v>18</v>
      </c>
      <c r="BK712" s="8">
        <v>658</v>
      </c>
      <c r="BL712" s="2" t="s">
        <v>1813</v>
      </c>
      <c r="BM712" s="7"/>
      <c r="BN712" s="7"/>
      <c r="BO712" s="4"/>
      <c r="BP712" s="8"/>
      <c r="BQ712" s="4"/>
      <c r="BR712" s="8"/>
      <c r="BS712" s="7"/>
      <c r="BT712" s="7"/>
      <c r="BU712" s="2" t="s">
        <v>3944</v>
      </c>
      <c r="BV712" s="2" t="s">
        <v>233</v>
      </c>
      <c r="BW712" s="2" t="s">
        <v>233</v>
      </c>
      <c r="BX712" s="2" t="s">
        <v>624</v>
      </c>
      <c r="BY712" s="2" t="s">
        <v>242</v>
      </c>
      <c r="BZ712" s="2" t="s">
        <v>230</v>
      </c>
      <c r="CA712" s="2" t="s">
        <v>1937</v>
      </c>
      <c r="CB712" s="2" t="s">
        <v>1908</v>
      </c>
      <c r="CC712" s="2" t="s">
        <v>245</v>
      </c>
      <c r="CD712" s="2" t="s">
        <v>233</v>
      </c>
      <c r="CE712" s="4">
        <v>480</v>
      </c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>
        <v>482</v>
      </c>
      <c r="GD712" s="4">
        <v>474</v>
      </c>
      <c r="GE712" s="4">
        <v>468</v>
      </c>
      <c r="GF712" s="4">
        <v>462</v>
      </c>
      <c r="GG712" s="4">
        <v>456</v>
      </c>
      <c r="GH712" s="4">
        <v>450</v>
      </c>
      <c r="GI712" s="4">
        <v>444</v>
      </c>
      <c r="GJ712" s="4">
        <v>438</v>
      </c>
      <c r="GK712" s="4">
        <v>432</v>
      </c>
      <c r="GL712" s="4">
        <v>428</v>
      </c>
      <c r="GM712" s="4">
        <v>424</v>
      </c>
      <c r="GN712" s="4">
        <v>420</v>
      </c>
      <c r="GO712" s="4">
        <v>416</v>
      </c>
      <c r="GP712" s="4">
        <v>412</v>
      </c>
      <c r="GQ712" s="4">
        <v>408</v>
      </c>
      <c r="GR712" s="4">
        <v>404</v>
      </c>
      <c r="GS712" s="4">
        <v>400</v>
      </c>
      <c r="GT712" s="4">
        <v>396</v>
      </c>
      <c r="GU712" s="4">
        <v>392</v>
      </c>
      <c r="GV712" s="4">
        <v>388</v>
      </c>
      <c r="GW712" s="4">
        <v>384</v>
      </c>
      <c r="GX712" s="4">
        <v>380</v>
      </c>
      <c r="GY712" s="4">
        <v>376</v>
      </c>
      <c r="GZ712" s="4">
        <v>372</v>
      </c>
      <c r="HA712" s="4">
        <v>368</v>
      </c>
      <c r="HB712" s="4">
        <v>364</v>
      </c>
      <c r="HC712" s="19">
        <v>80.3</v>
      </c>
      <c r="HD712" s="19">
        <v>79</v>
      </c>
      <c r="HE712" s="19">
        <v>78</v>
      </c>
      <c r="HF712" s="19">
        <v>77</v>
      </c>
      <c r="HG712" s="19">
        <v>76</v>
      </c>
      <c r="HH712" s="19">
        <v>75</v>
      </c>
      <c r="HI712" s="19">
        <v>88.8</v>
      </c>
      <c r="HJ712" s="19">
        <v>109.5</v>
      </c>
      <c r="HK712" s="19">
        <v>108</v>
      </c>
      <c r="HL712" s="19">
        <v>107</v>
      </c>
      <c r="HM712" s="19">
        <v>106</v>
      </c>
      <c r="HN712" s="19">
        <v>105</v>
      </c>
      <c r="HO712" s="19">
        <v>104</v>
      </c>
      <c r="HP712" s="19">
        <v>103</v>
      </c>
      <c r="HQ712" s="19">
        <v>102</v>
      </c>
      <c r="HR712" s="19">
        <v>101</v>
      </c>
      <c r="HS712" s="19">
        <v>100</v>
      </c>
      <c r="HT712" s="19">
        <v>99</v>
      </c>
      <c r="HU712" s="19">
        <v>98</v>
      </c>
      <c r="HV712" s="19">
        <v>97</v>
      </c>
      <c r="HW712" s="19">
        <v>96</v>
      </c>
      <c r="HX712" s="19">
        <v>95</v>
      </c>
      <c r="HY712" s="19">
        <v>94</v>
      </c>
      <c r="HZ712" s="19">
        <v>93</v>
      </c>
      <c r="IA712" s="19">
        <v>92</v>
      </c>
      <c r="IB712" s="19">
        <v>91</v>
      </c>
    </row>
    <row r="713">
      <c r="A713" s="2" t="s">
        <v>3953</v>
      </c>
      <c r="B713" s="2" t="s">
        <v>825</v>
      </c>
      <c r="C713" s="2" t="s">
        <v>1411</v>
      </c>
      <c r="D713" s="2" t="s">
        <v>774</v>
      </c>
      <c r="E713" s="2" t="s">
        <v>775</v>
      </c>
      <c r="F713" s="2" t="s">
        <v>3939</v>
      </c>
      <c r="G713" s="2" t="s">
        <v>1932</v>
      </c>
      <c r="H713" s="2" t="s">
        <v>3940</v>
      </c>
      <c r="I713" s="2" t="s">
        <v>3946</v>
      </c>
      <c r="J713" s="2" t="s">
        <v>1052</v>
      </c>
      <c r="K713" s="2" t="s">
        <v>870</v>
      </c>
      <c r="L713" s="3">
        <v>26.19</v>
      </c>
      <c r="M713" s="3">
        <v>27.5</v>
      </c>
      <c r="N713" s="3">
        <v>54.99</v>
      </c>
      <c r="O713" s="2" t="s">
        <v>230</v>
      </c>
      <c r="P713" s="2" t="s">
        <v>231</v>
      </c>
      <c r="Q713" s="2" t="s">
        <v>232</v>
      </c>
      <c r="R713" s="2" t="s">
        <v>233</v>
      </c>
      <c r="S713" s="2" t="s">
        <v>3952</v>
      </c>
      <c r="T713" s="2" t="s">
        <v>1546</v>
      </c>
      <c r="U713" s="2" t="s">
        <v>711</v>
      </c>
      <c r="V713" s="2" t="s">
        <v>236</v>
      </c>
      <c r="W713" s="2" t="s">
        <v>620</v>
      </c>
      <c r="X713" s="2" t="s">
        <v>237</v>
      </c>
      <c r="Y713" s="2" t="s">
        <v>2716</v>
      </c>
      <c r="Z713" s="4">
        <v>266</v>
      </c>
      <c r="AA713" s="4">
        <f>=ROUNDDOWN(266,0)</f>
      </c>
      <c r="AB713" s="5">
        <v>1</v>
      </c>
      <c r="AC713" s="2" t="s">
        <v>233</v>
      </c>
      <c r="AD713" s="4"/>
      <c r="AE713" s="4"/>
      <c r="AF713" s="6">
        <v>66</v>
      </c>
      <c r="AG713" s="6"/>
      <c r="AH713" s="7">
        <v>1</v>
      </c>
      <c r="AI713" s="4"/>
      <c r="AJ713" s="4">
        <f>=ROUNDDOWN({0},0)</f>
      </c>
      <c r="AK713" s="5"/>
      <c r="AL713" s="2" t="s">
        <v>233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233</v>
      </c>
      <c r="AW713" s="8" t="s">
        <v>233</v>
      </c>
      <c r="AX713" s="4" t="s">
        <v>233</v>
      </c>
      <c r="AY713" s="8" t="s">
        <v>233</v>
      </c>
      <c r="AZ713" s="7" t="s">
        <v>233</v>
      </c>
      <c r="BA713" s="7" t="s">
        <v>233</v>
      </c>
      <c r="BB713" s="7" t="s">
        <v>233</v>
      </c>
      <c r="BC713" s="4" t="s">
        <v>233</v>
      </c>
      <c r="BD713" s="8" t="s">
        <v>233</v>
      </c>
      <c r="BE713" s="4" t="s">
        <v>233</v>
      </c>
      <c r="BF713" s="8" t="s">
        <v>233</v>
      </c>
      <c r="BG713" s="7" t="s">
        <v>233</v>
      </c>
      <c r="BH713" s="7" t="s">
        <v>233</v>
      </c>
      <c r="BI713" s="7"/>
      <c r="BJ713" s="4">
        <v>3</v>
      </c>
      <c r="BK713" s="8">
        <v>89.52</v>
      </c>
      <c r="BL713" s="2" t="s">
        <v>868</v>
      </c>
      <c r="BM713" s="7"/>
      <c r="BN713" s="7"/>
      <c r="BO713" s="4"/>
      <c r="BP713" s="8"/>
      <c r="BQ713" s="4"/>
      <c r="BR713" s="8"/>
      <c r="BS713" s="7"/>
      <c r="BT713" s="7"/>
      <c r="BU713" s="2" t="s">
        <v>3948</v>
      </c>
      <c r="BV713" s="2" t="s">
        <v>233</v>
      </c>
      <c r="BW713" s="2" t="s">
        <v>233</v>
      </c>
      <c r="BX713" s="2" t="s">
        <v>293</v>
      </c>
      <c r="BY713" s="2" t="s">
        <v>242</v>
      </c>
      <c r="BZ713" s="2" t="s">
        <v>230</v>
      </c>
      <c r="CA713" s="2" t="s">
        <v>1937</v>
      </c>
      <c r="CB713" s="2" t="s">
        <v>3954</v>
      </c>
      <c r="CC713" s="2" t="s">
        <v>245</v>
      </c>
      <c r="CD713" s="2" t="s">
        <v>233</v>
      </c>
      <c r="CE713" s="4">
        <v>266</v>
      </c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>
        <v>267</v>
      </c>
      <c r="GD713" s="4">
        <v>264</v>
      </c>
      <c r="GE713" s="4">
        <v>261</v>
      </c>
      <c r="GF713" s="4">
        <v>258</v>
      </c>
      <c r="GG713" s="4">
        <v>255</v>
      </c>
      <c r="GH713" s="4">
        <v>252</v>
      </c>
      <c r="GI713" s="4">
        <v>249</v>
      </c>
      <c r="GJ713" s="4">
        <v>246</v>
      </c>
      <c r="GK713" s="4">
        <v>243</v>
      </c>
      <c r="GL713" s="4">
        <v>242</v>
      </c>
      <c r="GM713" s="4">
        <v>241</v>
      </c>
      <c r="GN713" s="4">
        <v>240</v>
      </c>
      <c r="GO713" s="4">
        <v>239</v>
      </c>
      <c r="GP713" s="4">
        <v>238</v>
      </c>
      <c r="GQ713" s="4">
        <v>237</v>
      </c>
      <c r="GR713" s="4">
        <v>236</v>
      </c>
      <c r="GS713" s="4">
        <v>235</v>
      </c>
      <c r="GT713" s="4">
        <v>234</v>
      </c>
      <c r="GU713" s="4">
        <v>233</v>
      </c>
      <c r="GV713" s="4">
        <v>232</v>
      </c>
      <c r="GW713" s="4">
        <v>231</v>
      </c>
      <c r="GX713" s="4">
        <v>230</v>
      </c>
      <c r="GY713" s="4">
        <v>229</v>
      </c>
      <c r="GZ713" s="4">
        <v>228</v>
      </c>
      <c r="HA713" s="4">
        <v>227</v>
      </c>
      <c r="HB713" s="4">
        <v>226</v>
      </c>
      <c r="HC713" s="19">
        <v>89</v>
      </c>
      <c r="HD713" s="19">
        <v>88</v>
      </c>
      <c r="HE713" s="19">
        <v>87</v>
      </c>
      <c r="HF713" s="19">
        <v>86</v>
      </c>
      <c r="HG713" s="19">
        <v>85</v>
      </c>
      <c r="HH713" s="19">
        <v>126</v>
      </c>
      <c r="HI713" s="19">
        <v>124.5</v>
      </c>
      <c r="HJ713" s="19">
        <v>123</v>
      </c>
      <c r="HK713" s="19">
        <v>243</v>
      </c>
      <c r="HL713" s="19">
        <v>242</v>
      </c>
      <c r="HM713" s="19">
        <v>241</v>
      </c>
      <c r="HN713" s="19">
        <v>240</v>
      </c>
      <c r="HO713" s="19">
        <v>239</v>
      </c>
      <c r="HP713" s="19">
        <v>238</v>
      </c>
      <c r="HQ713" s="19">
        <v>237</v>
      </c>
      <c r="HR713" s="19">
        <v>236</v>
      </c>
      <c r="HS713" s="19">
        <v>235</v>
      </c>
      <c r="HT713" s="19">
        <v>234</v>
      </c>
      <c r="HU713" s="19">
        <v>233</v>
      </c>
      <c r="HV713" s="19">
        <v>232</v>
      </c>
      <c r="HW713" s="9"/>
      <c r="HX713" s="19">
        <v>230</v>
      </c>
      <c r="HY713" s="19">
        <v>229</v>
      </c>
      <c r="HZ713" s="19">
        <v>228</v>
      </c>
      <c r="IA713" s="19">
        <v>227</v>
      </c>
      <c r="IB713" s="19">
        <v>226</v>
      </c>
    </row>
    <row r="714">
      <c r="A714" s="2" t="s">
        <v>3955</v>
      </c>
      <c r="B714" s="2" t="s">
        <v>825</v>
      </c>
      <c r="C714" s="2" t="s">
        <v>1411</v>
      </c>
      <c r="D714" s="2" t="s">
        <v>774</v>
      </c>
      <c r="E714" s="2" t="s">
        <v>775</v>
      </c>
      <c r="F714" s="2" t="s">
        <v>3939</v>
      </c>
      <c r="G714" s="2" t="s">
        <v>1932</v>
      </c>
      <c r="H714" s="2" t="s">
        <v>3940</v>
      </c>
      <c r="I714" s="2" t="s">
        <v>3946</v>
      </c>
      <c r="J714" s="2" t="s">
        <v>1052</v>
      </c>
      <c r="K714" s="2" t="s">
        <v>1716</v>
      </c>
      <c r="L714" s="3">
        <v>26.19</v>
      </c>
      <c r="M714" s="3">
        <v>27.5</v>
      </c>
      <c r="N714" s="3">
        <v>54.99</v>
      </c>
      <c r="O714" s="2" t="s">
        <v>230</v>
      </c>
      <c r="P714" s="2" t="s">
        <v>231</v>
      </c>
      <c r="Q714" s="2" t="s">
        <v>232</v>
      </c>
      <c r="R714" s="2" t="s">
        <v>233</v>
      </c>
      <c r="S714" s="2" t="s">
        <v>3956</v>
      </c>
      <c r="T714" s="2" t="s">
        <v>1546</v>
      </c>
      <c r="U714" s="2" t="s">
        <v>711</v>
      </c>
      <c r="V714" s="2" t="s">
        <v>236</v>
      </c>
      <c r="W714" s="2" t="s">
        <v>620</v>
      </c>
      <c r="X714" s="2" t="s">
        <v>237</v>
      </c>
      <c r="Y714" s="2" t="s">
        <v>2716</v>
      </c>
      <c r="Z714" s="4">
        <v>244</v>
      </c>
      <c r="AA714" s="4">
        <f>=ROUNDDOWN(122,0)</f>
      </c>
      <c r="AB714" s="5">
        <v>2</v>
      </c>
      <c r="AC714" s="2" t="s">
        <v>233</v>
      </c>
      <c r="AD714" s="4"/>
      <c r="AE714" s="4"/>
      <c r="AF714" s="6">
        <v>66</v>
      </c>
      <c r="AG714" s="6"/>
      <c r="AH714" s="7">
        <v>1</v>
      </c>
      <c r="AI714" s="4"/>
      <c r="AJ714" s="4">
        <f>=ROUNDDOWN({0},0)</f>
      </c>
      <c r="AK714" s="5"/>
      <c r="AL714" s="2" t="s">
        <v>233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/>
      <c r="AW714" s="8"/>
      <c r="AX714" s="4"/>
      <c r="AY714" s="8"/>
      <c r="AZ714" s="7"/>
      <c r="BA714" s="7"/>
      <c r="BB714" s="7"/>
      <c r="BC714" s="4" t="s">
        <v>233</v>
      </c>
      <c r="BD714" s="8" t="s">
        <v>233</v>
      </c>
      <c r="BE714" s="4" t="s">
        <v>233</v>
      </c>
      <c r="BF714" s="8" t="s">
        <v>233</v>
      </c>
      <c r="BG714" s="7" t="s">
        <v>233</v>
      </c>
      <c r="BH714" s="7" t="s">
        <v>233</v>
      </c>
      <c r="BI714" s="7"/>
      <c r="BJ714" s="4">
        <v>3</v>
      </c>
      <c r="BK714" s="8">
        <v>89.1</v>
      </c>
      <c r="BL714" s="2" t="s">
        <v>1655</v>
      </c>
      <c r="BM714" s="7"/>
      <c r="BN714" s="7"/>
      <c r="BO714" s="4"/>
      <c r="BP714" s="8"/>
      <c r="BQ714" s="4"/>
      <c r="BR714" s="8"/>
      <c r="BS714" s="7"/>
      <c r="BT714" s="7"/>
      <c r="BU714" s="2" t="s">
        <v>3948</v>
      </c>
      <c r="BV714" s="2" t="s">
        <v>233</v>
      </c>
      <c r="BW714" s="2" t="s">
        <v>233</v>
      </c>
      <c r="BX714" s="2" t="s">
        <v>293</v>
      </c>
      <c r="BY714" s="2" t="s">
        <v>242</v>
      </c>
      <c r="BZ714" s="2" t="s">
        <v>230</v>
      </c>
      <c r="CA714" s="2" t="s">
        <v>1937</v>
      </c>
      <c r="CB714" s="2" t="s">
        <v>3957</v>
      </c>
      <c r="CC714" s="2" t="s">
        <v>245</v>
      </c>
      <c r="CD714" s="2" t="s">
        <v>233</v>
      </c>
      <c r="CE714" s="4">
        <v>244</v>
      </c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>
        <v>244</v>
      </c>
      <c r="GD714" s="4">
        <v>239</v>
      </c>
      <c r="GE714" s="4">
        <v>234</v>
      </c>
      <c r="GF714" s="4">
        <v>229</v>
      </c>
      <c r="GG714" s="4">
        <v>224</v>
      </c>
      <c r="GH714" s="4">
        <v>219</v>
      </c>
      <c r="GI714" s="4">
        <v>214</v>
      </c>
      <c r="GJ714" s="4">
        <v>209</v>
      </c>
      <c r="GK714" s="4">
        <v>204</v>
      </c>
      <c r="GL714" s="4">
        <v>202</v>
      </c>
      <c r="GM714" s="4">
        <v>200</v>
      </c>
      <c r="GN714" s="4">
        <v>198</v>
      </c>
      <c r="GO714" s="4">
        <v>196</v>
      </c>
      <c r="GP714" s="4">
        <v>194</v>
      </c>
      <c r="GQ714" s="4">
        <v>192</v>
      </c>
      <c r="GR714" s="4">
        <v>190</v>
      </c>
      <c r="GS714" s="4">
        <v>188</v>
      </c>
      <c r="GT714" s="4">
        <v>186</v>
      </c>
      <c r="GU714" s="4">
        <v>184</v>
      </c>
      <c r="GV714" s="4">
        <v>182</v>
      </c>
      <c r="GW714" s="4">
        <v>180</v>
      </c>
      <c r="GX714" s="4">
        <v>178</v>
      </c>
      <c r="GY714" s="4">
        <v>176</v>
      </c>
      <c r="GZ714" s="4">
        <v>174</v>
      </c>
      <c r="HA714" s="4">
        <v>172</v>
      </c>
      <c r="HB714" s="4">
        <v>170</v>
      </c>
      <c r="HC714" s="19">
        <v>48.8</v>
      </c>
      <c r="HD714" s="19">
        <v>47.8</v>
      </c>
      <c r="HE714" s="19">
        <v>46.8</v>
      </c>
      <c r="HF714" s="19">
        <v>45.8</v>
      </c>
      <c r="HG714" s="19">
        <v>44.8</v>
      </c>
      <c r="HH714" s="19">
        <v>54.8</v>
      </c>
      <c r="HI714" s="19">
        <v>53.5</v>
      </c>
      <c r="HJ714" s="19">
        <v>69.7</v>
      </c>
      <c r="HK714" s="19">
        <v>102</v>
      </c>
      <c r="HL714" s="19">
        <v>101</v>
      </c>
      <c r="HM714" s="19">
        <v>100</v>
      </c>
      <c r="HN714" s="19">
        <v>99</v>
      </c>
      <c r="HO714" s="19">
        <v>98</v>
      </c>
      <c r="HP714" s="19">
        <v>97</v>
      </c>
      <c r="HQ714" s="19">
        <v>96</v>
      </c>
      <c r="HR714" s="19">
        <v>95</v>
      </c>
      <c r="HS714" s="19">
        <v>94</v>
      </c>
      <c r="HT714" s="19">
        <v>93</v>
      </c>
      <c r="HU714" s="19">
        <v>92</v>
      </c>
      <c r="HV714" s="19">
        <v>91</v>
      </c>
      <c r="HW714" s="19">
        <v>90</v>
      </c>
      <c r="HX714" s="19">
        <v>89</v>
      </c>
      <c r="HY714" s="19">
        <v>88</v>
      </c>
      <c r="HZ714" s="19">
        <v>87</v>
      </c>
      <c r="IA714" s="19">
        <v>86</v>
      </c>
      <c r="IB714" s="19">
        <v>85</v>
      </c>
    </row>
    <row r="715">
      <c r="A715" s="2" t="s">
        <v>3958</v>
      </c>
      <c r="B715" s="2" t="s">
        <v>825</v>
      </c>
      <c r="C715" s="2" t="s">
        <v>1772</v>
      </c>
      <c r="D715" s="2" t="s">
        <v>261</v>
      </c>
      <c r="E715" s="2" t="s">
        <v>603</v>
      </c>
      <c r="F715" s="2" t="s">
        <v>3959</v>
      </c>
      <c r="G715" s="2" t="s">
        <v>3960</v>
      </c>
      <c r="H715" s="2" t="s">
        <v>3961</v>
      </c>
      <c r="I715" s="2" t="s">
        <v>3962</v>
      </c>
      <c r="J715" s="2" t="s">
        <v>228</v>
      </c>
      <c r="K715" s="2" t="s">
        <v>689</v>
      </c>
      <c r="L715" s="3">
        <v>35.71</v>
      </c>
      <c r="M715" s="3">
        <v>37.5</v>
      </c>
      <c r="N715" s="3">
        <v>74.99</v>
      </c>
      <c r="O715" s="2" t="s">
        <v>230</v>
      </c>
      <c r="P715" s="2" t="s">
        <v>231</v>
      </c>
      <c r="Q715" s="2" t="s">
        <v>232</v>
      </c>
      <c r="R715" s="2" t="s">
        <v>233</v>
      </c>
      <c r="S715" s="2" t="s">
        <v>3963</v>
      </c>
      <c r="T715" s="2" t="s">
        <v>348</v>
      </c>
      <c r="U715" s="2" t="s">
        <v>781</v>
      </c>
      <c r="V715" s="2" t="s">
        <v>834</v>
      </c>
      <c r="W715" s="2" t="s">
        <v>237</v>
      </c>
      <c r="X715" s="2" t="s">
        <v>233</v>
      </c>
      <c r="Y715" s="2" t="s">
        <v>3964</v>
      </c>
      <c r="Z715" s="4">
        <v>315</v>
      </c>
      <c r="AA715" s="4">
        <f>=ROUNDDOWN(28.6363636363636,0)</f>
      </c>
      <c r="AB715" s="5">
        <v>11</v>
      </c>
      <c r="AC715" s="2" t="s">
        <v>154</v>
      </c>
      <c r="AD715" s="4">
        <v>250</v>
      </c>
      <c r="AE715" s="4">
        <v>250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233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/>
      <c r="AW715" s="8"/>
      <c r="AX715" s="4"/>
      <c r="AY715" s="8"/>
      <c r="AZ715" s="7"/>
      <c r="BA715" s="7"/>
      <c r="BB715" s="7"/>
      <c r="BC715" s="4"/>
      <c r="BD715" s="8"/>
      <c r="BE715" s="4"/>
      <c r="BF715" s="8"/>
      <c r="BG715" s="7"/>
      <c r="BH715" s="7"/>
      <c r="BI715" s="7"/>
      <c r="BJ715" s="4">
        <v>33</v>
      </c>
      <c r="BK715" s="8">
        <v>1341.67</v>
      </c>
      <c r="BL715" s="2" t="s">
        <v>2313</v>
      </c>
      <c r="BM715" s="7"/>
      <c r="BN715" s="7"/>
      <c r="BO715" s="4"/>
      <c r="BP715" s="8"/>
      <c r="BQ715" s="4"/>
      <c r="BR715" s="8"/>
      <c r="BS715" s="7"/>
      <c r="BT715" s="7"/>
      <c r="BU715" s="2" t="s">
        <v>3965</v>
      </c>
      <c r="BV715" s="2" t="s">
        <v>233</v>
      </c>
      <c r="BW715" s="2" t="s">
        <v>233</v>
      </c>
      <c r="BX715" s="2" t="s">
        <v>241</v>
      </c>
      <c r="BY715" s="2" t="s">
        <v>242</v>
      </c>
      <c r="BZ715" s="2" t="s">
        <v>230</v>
      </c>
      <c r="CA715" s="2" t="s">
        <v>3964</v>
      </c>
      <c r="CB715" s="2" t="s">
        <v>2020</v>
      </c>
      <c r="CC715" s="2" t="s">
        <v>245</v>
      </c>
      <c r="CD715" s="2" t="s">
        <v>233</v>
      </c>
      <c r="CE715" s="4">
        <v>315</v>
      </c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>
        <v>250</v>
      </c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>
        <v>322</v>
      </c>
      <c r="GD715" s="4">
        <v>261</v>
      </c>
      <c r="GE715" s="4">
        <v>242</v>
      </c>
      <c r="GF715" s="4">
        <v>227</v>
      </c>
      <c r="GG715" s="4">
        <v>199</v>
      </c>
      <c r="GH715" s="4">
        <v>426</v>
      </c>
      <c r="GI715" s="4">
        <v>405</v>
      </c>
      <c r="GJ715" s="4">
        <v>391</v>
      </c>
      <c r="GK715" s="4">
        <v>381</v>
      </c>
      <c r="GL715" s="4">
        <v>369</v>
      </c>
      <c r="GM715" s="4">
        <v>357</v>
      </c>
      <c r="GN715" s="4">
        <v>346</v>
      </c>
      <c r="GO715" s="4">
        <v>335</v>
      </c>
      <c r="GP715" s="4">
        <v>324</v>
      </c>
      <c r="GQ715" s="4">
        <v>313</v>
      </c>
      <c r="GR715" s="4">
        <v>302</v>
      </c>
      <c r="GS715" s="4">
        <v>291</v>
      </c>
      <c r="GT715" s="4">
        <v>279</v>
      </c>
      <c r="GU715" s="4">
        <v>268</v>
      </c>
      <c r="GV715" s="4">
        <v>257</v>
      </c>
      <c r="GW715" s="4">
        <v>246</v>
      </c>
      <c r="GX715" s="4">
        <v>235</v>
      </c>
      <c r="GY715" s="4">
        <v>224</v>
      </c>
      <c r="GZ715" s="4">
        <v>213</v>
      </c>
      <c r="HA715" s="4">
        <v>201</v>
      </c>
      <c r="HB715" s="4">
        <v>190</v>
      </c>
      <c r="HC715" s="19">
        <v>10.4</v>
      </c>
      <c r="HD715" s="19">
        <v>12.4</v>
      </c>
      <c r="HE715" s="19">
        <v>11</v>
      </c>
      <c r="HF715" s="19">
        <v>10.3</v>
      </c>
      <c r="HG715" s="19">
        <v>11.7</v>
      </c>
      <c r="HH715" s="19">
        <v>30.4</v>
      </c>
      <c r="HI715" s="19">
        <v>33.8</v>
      </c>
      <c r="HJ715" s="19">
        <v>35.5</v>
      </c>
      <c r="HK715" s="19">
        <v>31.8</v>
      </c>
      <c r="HL715" s="19">
        <v>33.5</v>
      </c>
      <c r="HM715" s="19">
        <v>32.5</v>
      </c>
      <c r="HN715" s="19">
        <v>31.5</v>
      </c>
      <c r="HO715" s="19">
        <v>30.5</v>
      </c>
      <c r="HP715" s="19">
        <v>29.5</v>
      </c>
      <c r="HQ715" s="19">
        <v>28.5</v>
      </c>
      <c r="HR715" s="19">
        <v>27.5</v>
      </c>
      <c r="HS715" s="19">
        <v>26.5</v>
      </c>
      <c r="HT715" s="19">
        <v>25.4</v>
      </c>
      <c r="HU715" s="19">
        <v>24.4</v>
      </c>
      <c r="HV715" s="19">
        <v>23.4</v>
      </c>
      <c r="HW715" s="19">
        <v>22.4</v>
      </c>
      <c r="HX715" s="19">
        <v>21.4</v>
      </c>
      <c r="HY715" s="19">
        <v>20.4</v>
      </c>
      <c r="HZ715" s="19">
        <v>19.4</v>
      </c>
      <c r="IA715" s="19">
        <v>18.3</v>
      </c>
      <c r="IB715" s="19">
        <v>17.3</v>
      </c>
    </row>
    <row r="716">
      <c r="A716" s="2" t="s">
        <v>3966</v>
      </c>
      <c r="B716" s="2" t="s">
        <v>736</v>
      </c>
      <c r="C716" s="2" t="s">
        <v>280</v>
      </c>
      <c r="D716" s="2" t="s">
        <v>1197</v>
      </c>
      <c r="E716" s="2" t="s">
        <v>1198</v>
      </c>
      <c r="F716" s="2" t="s">
        <v>3967</v>
      </c>
      <c r="G716" s="2" t="s">
        <v>3967</v>
      </c>
      <c r="H716" s="2" t="s">
        <v>3967</v>
      </c>
      <c r="I716" s="2" t="s">
        <v>3968</v>
      </c>
      <c r="J716" s="2" t="s">
        <v>741</v>
      </c>
      <c r="K716" s="2" t="s">
        <v>229</v>
      </c>
      <c r="L716" s="3">
        <v>63.6</v>
      </c>
      <c r="M716" s="3">
        <v>66.78</v>
      </c>
      <c r="N716" s="3">
        <v>124.94</v>
      </c>
      <c r="O716" s="2" t="s">
        <v>230</v>
      </c>
      <c r="P716" s="2" t="s">
        <v>597</v>
      </c>
      <c r="Q716" s="2" t="s">
        <v>232</v>
      </c>
      <c r="R716" s="2" t="s">
        <v>233</v>
      </c>
      <c r="S716" s="2" t="s">
        <v>3969</v>
      </c>
      <c r="T716" s="2" t="s">
        <v>233</v>
      </c>
      <c r="U716" s="2" t="s">
        <v>781</v>
      </c>
      <c r="V716" s="2" t="s">
        <v>744</v>
      </c>
      <c r="W716" s="2" t="s">
        <v>288</v>
      </c>
      <c r="X716" s="2" t="s">
        <v>233</v>
      </c>
      <c r="Y716" s="2" t="s">
        <v>3970</v>
      </c>
      <c r="Z716" s="4">
        <v>142</v>
      </c>
      <c r="AA716" s="4">
        <f>=ROUNDDOWN(20.2857142857143,0)</f>
      </c>
      <c r="AB716" s="5">
        <v>7</v>
      </c>
      <c r="AC716" s="2" t="s">
        <v>474</v>
      </c>
      <c r="AD716" s="4">
        <v>100</v>
      </c>
      <c r="AE716" s="4">
        <v>100</v>
      </c>
      <c r="AF716" s="6">
        <v>63</v>
      </c>
      <c r="AG716" s="6"/>
      <c r="AH716" s="7">
        <v>0.3226</v>
      </c>
      <c r="AI716" s="4"/>
      <c r="AJ716" s="4">
        <f>=ROUNDDOWN({0},0)</f>
      </c>
      <c r="AK716" s="5"/>
      <c r="AL716" s="2" t="s">
        <v>233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/>
      <c r="BD716" s="8"/>
      <c r="BE716" s="4"/>
      <c r="BF716" s="8"/>
      <c r="BG716" s="7"/>
      <c r="BH716" s="7"/>
      <c r="BI716" s="7"/>
      <c r="BJ716" s="4">
        <v>5</v>
      </c>
      <c r="BK716" s="8">
        <v>364.68</v>
      </c>
      <c r="BL716" s="2" t="s">
        <v>3971</v>
      </c>
      <c r="BM716" s="7"/>
      <c r="BN716" s="7"/>
      <c r="BO716" s="4"/>
      <c r="BP716" s="8"/>
      <c r="BQ716" s="4"/>
      <c r="BR716" s="8"/>
      <c r="BS716" s="7"/>
      <c r="BT716" s="7"/>
      <c r="BU716" s="2" t="s">
        <v>3972</v>
      </c>
      <c r="BV716" s="2" t="s">
        <v>233</v>
      </c>
      <c r="BW716" s="2" t="s">
        <v>233</v>
      </c>
      <c r="BX716" s="2" t="s">
        <v>241</v>
      </c>
      <c r="BY716" s="2" t="s">
        <v>242</v>
      </c>
      <c r="BZ716" s="2" t="s">
        <v>230</v>
      </c>
      <c r="CA716" s="2" t="s">
        <v>2587</v>
      </c>
      <c r="CB716" s="2" t="s">
        <v>2590</v>
      </c>
      <c r="CC716" s="2" t="s">
        <v>245</v>
      </c>
      <c r="CD716" s="2" t="s">
        <v>233</v>
      </c>
      <c r="CE716" s="4"/>
      <c r="CF716" s="4">
        <v>142</v>
      </c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>
        <v>100</v>
      </c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>
        <v>147</v>
      </c>
      <c r="GD716" s="4">
        <v>104</v>
      </c>
      <c r="GE716" s="4">
        <v>96</v>
      </c>
      <c r="GF716" s="4">
        <v>88</v>
      </c>
      <c r="GG716" s="4">
        <v>79</v>
      </c>
      <c r="GH716" s="4">
        <v>71</v>
      </c>
      <c r="GI716" s="4">
        <v>62</v>
      </c>
      <c r="GJ716" s="4">
        <v>55</v>
      </c>
      <c r="GK716" s="4">
        <v>48</v>
      </c>
      <c r="GL716" s="4">
        <v>41</v>
      </c>
      <c r="GM716" s="4">
        <v>33</v>
      </c>
      <c r="GN716" s="4">
        <v>26</v>
      </c>
      <c r="GO716" s="4">
        <v>119</v>
      </c>
      <c r="GP716" s="4">
        <v>112</v>
      </c>
      <c r="GQ716" s="4">
        <v>105</v>
      </c>
      <c r="GR716" s="4">
        <v>98</v>
      </c>
      <c r="GS716" s="4">
        <v>91</v>
      </c>
      <c r="GT716" s="4">
        <v>83</v>
      </c>
      <c r="GU716" s="4">
        <v>76</v>
      </c>
      <c r="GV716" s="4">
        <v>69</v>
      </c>
      <c r="GW716" s="4">
        <v>62</v>
      </c>
      <c r="GX716" s="4">
        <v>55</v>
      </c>
      <c r="GY716" s="4">
        <v>48</v>
      </c>
      <c r="GZ716" s="4">
        <v>41</v>
      </c>
      <c r="HA716" s="4">
        <v>93</v>
      </c>
      <c r="HB716" s="4">
        <v>86</v>
      </c>
      <c r="HC716" s="19">
        <v>8.6</v>
      </c>
      <c r="HD716" s="19">
        <v>13</v>
      </c>
      <c r="HE716" s="19">
        <v>12</v>
      </c>
      <c r="HF716" s="19">
        <v>11</v>
      </c>
      <c r="HG716" s="19">
        <v>9.9</v>
      </c>
      <c r="HH716" s="19">
        <v>8.9</v>
      </c>
      <c r="HI716" s="19">
        <v>8.9</v>
      </c>
      <c r="HJ716" s="19">
        <v>7.9</v>
      </c>
      <c r="HK716" s="19">
        <v>6.9</v>
      </c>
      <c r="HL716" s="19">
        <v>5.9</v>
      </c>
      <c r="HM716" s="19">
        <v>4.7</v>
      </c>
      <c r="HN716" s="19">
        <v>3.7</v>
      </c>
      <c r="HO716" s="19">
        <v>17</v>
      </c>
      <c r="HP716" s="19">
        <v>16</v>
      </c>
      <c r="HQ716" s="19">
        <v>15</v>
      </c>
      <c r="HR716" s="19">
        <v>14</v>
      </c>
      <c r="HS716" s="19">
        <v>13</v>
      </c>
      <c r="HT716" s="19">
        <v>11.9</v>
      </c>
      <c r="HU716" s="19">
        <v>10.9</v>
      </c>
      <c r="HV716" s="19">
        <v>9.9</v>
      </c>
      <c r="HW716" s="19">
        <v>8.9</v>
      </c>
      <c r="HX716" s="19">
        <v>7.9</v>
      </c>
      <c r="HY716" s="19">
        <v>6.9</v>
      </c>
      <c r="HZ716" s="19">
        <v>5.9</v>
      </c>
      <c r="IA716" s="19">
        <v>13.3</v>
      </c>
      <c r="IB716" s="19">
        <v>12.3</v>
      </c>
    </row>
    <row r="717">
      <c r="A717" s="2" t="s">
        <v>3973</v>
      </c>
      <c r="B717" s="2" t="s">
        <v>847</v>
      </c>
      <c r="C717" s="2" t="s">
        <v>848</v>
      </c>
      <c r="D717" s="2" t="s">
        <v>849</v>
      </c>
      <c r="E717" s="2" t="s">
        <v>850</v>
      </c>
      <c r="F717" s="2" t="s">
        <v>3974</v>
      </c>
      <c r="G717" s="2" t="s">
        <v>3974</v>
      </c>
      <c r="H717" s="2" t="s">
        <v>3974</v>
      </c>
      <c r="I717" s="2" t="s">
        <v>3975</v>
      </c>
      <c r="J717" s="2" t="s">
        <v>2058</v>
      </c>
      <c r="K717" s="2" t="s">
        <v>300</v>
      </c>
      <c r="L717" s="3">
        <v>18</v>
      </c>
      <c r="M717" s="3">
        <v>18.9</v>
      </c>
      <c r="N717" s="3">
        <v>37.99</v>
      </c>
      <c r="O717" s="2" t="s">
        <v>230</v>
      </c>
      <c r="P717" s="2" t="s">
        <v>597</v>
      </c>
      <c r="Q717" s="2" t="s">
        <v>232</v>
      </c>
      <c r="R717" s="2" t="s">
        <v>233</v>
      </c>
      <c r="S717" s="2" t="s">
        <v>233</v>
      </c>
      <c r="T717" s="2" t="s">
        <v>233</v>
      </c>
      <c r="U717" s="2" t="s">
        <v>329</v>
      </c>
      <c r="V717" s="2" t="s">
        <v>609</v>
      </c>
      <c r="W717" s="2" t="s">
        <v>233</v>
      </c>
      <c r="X717" s="2" t="s">
        <v>233</v>
      </c>
      <c r="Y717" s="2" t="s">
        <v>3976</v>
      </c>
      <c r="Z717" s="4">
        <v>998</v>
      </c>
      <c r="AA717" s="4">
        <f>=ROUNDDOWN(45.3636363636364,0)</f>
      </c>
      <c r="AB717" s="5">
        <v>22</v>
      </c>
      <c r="AC717" s="2" t="s">
        <v>233</v>
      </c>
      <c r="AD717" s="4"/>
      <c r="AE717" s="4"/>
      <c r="AF717" s="6">
        <v>64</v>
      </c>
      <c r="AG717" s="6"/>
      <c r="AH717" s="7">
        <v>1</v>
      </c>
      <c r="AI717" s="4"/>
      <c r="AJ717" s="4">
        <f>=ROUNDDOWN({0},0)</f>
      </c>
      <c r="AK717" s="5"/>
      <c r="AL717" s="2" t="s">
        <v>233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/>
      <c r="AW717" s="8"/>
      <c r="AX717" s="4"/>
      <c r="AY717" s="8"/>
      <c r="AZ717" s="7"/>
      <c r="BA717" s="7"/>
      <c r="BB717" s="7"/>
      <c r="BC717" s="4" t="s">
        <v>233</v>
      </c>
      <c r="BD717" s="8" t="s">
        <v>233</v>
      </c>
      <c r="BE717" s="4" t="s">
        <v>233</v>
      </c>
      <c r="BF717" s="8" t="s">
        <v>233</v>
      </c>
      <c r="BG717" s="7" t="s">
        <v>233</v>
      </c>
      <c r="BH717" s="7" t="s">
        <v>233</v>
      </c>
      <c r="BI717" s="7"/>
      <c r="BJ717" s="4">
        <v>100</v>
      </c>
      <c r="BK717" s="8">
        <v>1648.18</v>
      </c>
      <c r="BL717" s="2" t="s">
        <v>3201</v>
      </c>
      <c r="BM717" s="7"/>
      <c r="BN717" s="7"/>
      <c r="BO717" s="4"/>
      <c r="BP717" s="8"/>
      <c r="BQ717" s="4"/>
      <c r="BR717" s="8"/>
      <c r="BS717" s="7"/>
      <c r="BT717" s="7"/>
      <c r="BU717" s="2" t="s">
        <v>3977</v>
      </c>
      <c r="BV717" s="2" t="s">
        <v>233</v>
      </c>
      <c r="BW717" s="2" t="s">
        <v>233</v>
      </c>
      <c r="BX717" s="2" t="s">
        <v>241</v>
      </c>
      <c r="BY717" s="2" t="s">
        <v>242</v>
      </c>
      <c r="BZ717" s="2" t="s">
        <v>230</v>
      </c>
      <c r="CA717" s="2" t="s">
        <v>3197</v>
      </c>
      <c r="CB717" s="2" t="s">
        <v>3978</v>
      </c>
      <c r="CC717" s="2" t="s">
        <v>245</v>
      </c>
      <c r="CD717" s="2" t="s">
        <v>233</v>
      </c>
      <c r="CE717" s="4"/>
      <c r="CF717" s="4">
        <v>998</v>
      </c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>
        <v>1023</v>
      </c>
      <c r="GD717" s="4">
        <v>963</v>
      </c>
      <c r="GE717" s="4">
        <v>933</v>
      </c>
      <c r="GF717" s="4">
        <v>905</v>
      </c>
      <c r="GG717" s="4">
        <v>867</v>
      </c>
      <c r="GH717" s="4">
        <v>831</v>
      </c>
      <c r="GI717" s="4">
        <v>787</v>
      </c>
      <c r="GJ717" s="4">
        <v>751</v>
      </c>
      <c r="GK717" s="4">
        <v>731</v>
      </c>
      <c r="GL717" s="4">
        <v>707</v>
      </c>
      <c r="GM717" s="4">
        <v>681</v>
      </c>
      <c r="GN717" s="4">
        <v>655</v>
      </c>
      <c r="GO717" s="4">
        <v>629</v>
      </c>
      <c r="GP717" s="4">
        <v>603</v>
      </c>
      <c r="GQ717" s="4">
        <v>577</v>
      </c>
      <c r="GR717" s="4">
        <v>553</v>
      </c>
      <c r="GS717" s="4">
        <v>529</v>
      </c>
      <c r="GT717" s="4">
        <v>505</v>
      </c>
      <c r="GU717" s="4">
        <v>481</v>
      </c>
      <c r="GV717" s="4">
        <v>459</v>
      </c>
      <c r="GW717" s="4">
        <v>437</v>
      </c>
      <c r="GX717" s="4">
        <v>415</v>
      </c>
      <c r="GY717" s="4">
        <v>393</v>
      </c>
      <c r="GZ717" s="4">
        <v>371</v>
      </c>
      <c r="HA717" s="4">
        <v>349</v>
      </c>
      <c r="HB717" s="4">
        <v>327</v>
      </c>
      <c r="HC717" s="19">
        <v>26.2</v>
      </c>
      <c r="HD717" s="19">
        <v>29.2</v>
      </c>
      <c r="HE717" s="19">
        <v>25.9</v>
      </c>
      <c r="HF717" s="19">
        <v>23.8</v>
      </c>
      <c r="HG717" s="19">
        <v>25.5</v>
      </c>
      <c r="HH717" s="19">
        <v>26.8</v>
      </c>
      <c r="HI717" s="19">
        <v>30.3</v>
      </c>
      <c r="HJ717" s="19">
        <v>31.3</v>
      </c>
      <c r="HK717" s="19">
        <v>28.1</v>
      </c>
      <c r="HL717" s="19">
        <v>27.2</v>
      </c>
      <c r="HM717" s="19">
        <v>26.2</v>
      </c>
      <c r="HN717" s="19">
        <v>25.2</v>
      </c>
      <c r="HO717" s="19">
        <v>25.2</v>
      </c>
      <c r="HP717" s="19">
        <v>25.1</v>
      </c>
      <c r="HQ717" s="19">
        <v>24</v>
      </c>
      <c r="HR717" s="19">
        <v>23</v>
      </c>
      <c r="HS717" s="19">
        <v>23</v>
      </c>
      <c r="HT717" s="19">
        <v>23</v>
      </c>
      <c r="HU717" s="19">
        <v>21.9</v>
      </c>
      <c r="HV717" s="19">
        <v>20.9</v>
      </c>
      <c r="HW717" s="19">
        <v>19.9</v>
      </c>
      <c r="HX717" s="19">
        <v>18.9</v>
      </c>
      <c r="HY717" s="19">
        <v>17.9</v>
      </c>
      <c r="HZ717" s="19">
        <v>16.9</v>
      </c>
      <c r="IA717" s="19">
        <v>15.9</v>
      </c>
      <c r="IB717" s="19">
        <v>14.9</v>
      </c>
    </row>
    <row r="718">
      <c r="A718" s="2" t="s">
        <v>3979</v>
      </c>
      <c r="B718" s="2" t="s">
        <v>847</v>
      </c>
      <c r="C718" s="2" t="s">
        <v>848</v>
      </c>
      <c r="D718" s="2" t="s">
        <v>849</v>
      </c>
      <c r="E718" s="2" t="s">
        <v>850</v>
      </c>
      <c r="F718" s="2" t="s">
        <v>3974</v>
      </c>
      <c r="G718" s="2" t="s">
        <v>3974</v>
      </c>
      <c r="H718" s="2" t="s">
        <v>3974</v>
      </c>
      <c r="I718" s="2" t="s">
        <v>3975</v>
      </c>
      <c r="J718" s="2" t="s">
        <v>2058</v>
      </c>
      <c r="K718" s="2" t="s">
        <v>1014</v>
      </c>
      <c r="L718" s="3">
        <v>18</v>
      </c>
      <c r="M718" s="3">
        <v>18.9</v>
      </c>
      <c r="N718" s="3">
        <v>37.99</v>
      </c>
      <c r="O718" s="2" t="s">
        <v>230</v>
      </c>
      <c r="P718" s="2" t="s">
        <v>597</v>
      </c>
      <c r="Q718" s="2" t="s">
        <v>232</v>
      </c>
      <c r="R718" s="2" t="s">
        <v>233</v>
      </c>
      <c r="S718" s="2" t="s">
        <v>233</v>
      </c>
      <c r="T718" s="2" t="s">
        <v>233</v>
      </c>
      <c r="U718" s="2" t="s">
        <v>329</v>
      </c>
      <c r="V718" s="2" t="s">
        <v>609</v>
      </c>
      <c r="W718" s="2" t="s">
        <v>233</v>
      </c>
      <c r="X718" s="2" t="s">
        <v>233</v>
      </c>
      <c r="Y718" s="2" t="s">
        <v>3980</v>
      </c>
      <c r="Z718" s="4">
        <v>140</v>
      </c>
      <c r="AA718" s="4">
        <f>=ROUNDDOWN(10,0)</f>
      </c>
      <c r="AB718" s="5">
        <v>14</v>
      </c>
      <c r="AC718" s="2" t="s">
        <v>233</v>
      </c>
      <c r="AD718" s="4"/>
      <c r="AE718" s="4"/>
      <c r="AF718" s="6">
        <v>64</v>
      </c>
      <c r="AG718" s="6"/>
      <c r="AH718" s="7">
        <v>1</v>
      </c>
      <c r="AI718" s="4"/>
      <c r="AJ718" s="4">
        <f>=ROUNDDOWN({0},0)</f>
      </c>
      <c r="AK718" s="5"/>
      <c r="AL718" s="2" t="s">
        <v>233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 t="s">
        <v>233</v>
      </c>
      <c r="BD718" s="8" t="s">
        <v>233</v>
      </c>
      <c r="BE718" s="4" t="s">
        <v>233</v>
      </c>
      <c r="BF718" s="8" t="s">
        <v>233</v>
      </c>
      <c r="BG718" s="7" t="s">
        <v>233</v>
      </c>
      <c r="BH718" s="7" t="s">
        <v>233</v>
      </c>
      <c r="BI718" s="7"/>
      <c r="BJ718" s="4">
        <v>106</v>
      </c>
      <c r="BK718" s="8">
        <v>1735.21</v>
      </c>
      <c r="BL718" s="2" t="s">
        <v>3981</v>
      </c>
      <c r="BM718" s="7"/>
      <c r="BN718" s="7"/>
      <c r="BO718" s="4"/>
      <c r="BP718" s="8"/>
      <c r="BQ718" s="4"/>
      <c r="BR718" s="8"/>
      <c r="BS718" s="7"/>
      <c r="BT718" s="7"/>
      <c r="BU718" s="2" t="s">
        <v>3977</v>
      </c>
      <c r="BV718" s="2" t="s">
        <v>233</v>
      </c>
      <c r="BW718" s="2" t="s">
        <v>233</v>
      </c>
      <c r="BX718" s="2" t="s">
        <v>241</v>
      </c>
      <c r="BY718" s="2" t="s">
        <v>242</v>
      </c>
      <c r="BZ718" s="2" t="s">
        <v>230</v>
      </c>
      <c r="CA718" s="2" t="s">
        <v>3197</v>
      </c>
      <c r="CB718" s="2" t="s">
        <v>3982</v>
      </c>
      <c r="CC718" s="2" t="s">
        <v>245</v>
      </c>
      <c r="CD718" s="2" t="s">
        <v>233</v>
      </c>
      <c r="CE718" s="4"/>
      <c r="CF718" s="4">
        <v>140</v>
      </c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>
        <v>163</v>
      </c>
      <c r="GD718" s="4">
        <v>137</v>
      </c>
      <c r="GE718" s="4">
        <v>123</v>
      </c>
      <c r="GF718" s="4">
        <v>110</v>
      </c>
      <c r="GG718" s="4">
        <v>92</v>
      </c>
      <c r="GH718" s="4">
        <v>75</v>
      </c>
      <c r="GI718" s="4">
        <v>54</v>
      </c>
      <c r="GJ718" s="4">
        <v>37</v>
      </c>
      <c r="GK718" s="4">
        <v>28</v>
      </c>
      <c r="GL718" s="4">
        <v>17</v>
      </c>
      <c r="GM718" s="4">
        <v>5</v>
      </c>
      <c r="GN718" s="4"/>
      <c r="GO718" s="4"/>
      <c r="GP718" s="4"/>
      <c r="GQ718" s="4"/>
      <c r="GR718" s="4"/>
      <c r="GS718" s="4"/>
      <c r="GT718" s="4"/>
      <c r="GU718" s="4">
        <v>777</v>
      </c>
      <c r="GV718" s="4">
        <v>735</v>
      </c>
      <c r="GW718" s="4">
        <v>721</v>
      </c>
      <c r="GX718" s="4">
        <v>707</v>
      </c>
      <c r="GY718" s="4">
        <v>693</v>
      </c>
      <c r="GZ718" s="4">
        <v>679</v>
      </c>
      <c r="HA718" s="4">
        <v>665</v>
      </c>
      <c r="HB718" s="4">
        <v>651</v>
      </c>
      <c r="HC718" s="19">
        <v>9.1</v>
      </c>
      <c r="HD718" s="19">
        <v>8.6</v>
      </c>
      <c r="HE718" s="19">
        <v>7.2</v>
      </c>
      <c r="HF718" s="19">
        <v>6.1</v>
      </c>
      <c r="HG718" s="19">
        <v>5.8</v>
      </c>
      <c r="HH718" s="19">
        <v>5.4</v>
      </c>
      <c r="HI718" s="19">
        <v>4.5</v>
      </c>
      <c r="HJ718" s="19">
        <v>3.4</v>
      </c>
      <c r="HK718" s="19">
        <v>2.3</v>
      </c>
      <c r="HL718" s="19">
        <v>1.4</v>
      </c>
      <c r="HM718" s="19">
        <v>0.4</v>
      </c>
      <c r="HN718" s="20">
        <v>0</v>
      </c>
      <c r="HO718" s="20">
        <v>0</v>
      </c>
      <c r="HP718" s="20">
        <v>0</v>
      </c>
      <c r="HQ718" s="20">
        <v>0</v>
      </c>
      <c r="HR718" s="20">
        <v>0</v>
      </c>
      <c r="HS718" s="20">
        <v>0</v>
      </c>
      <c r="HT718" s="20">
        <v>0</v>
      </c>
      <c r="HU718" s="19">
        <v>37</v>
      </c>
      <c r="HV718" s="19">
        <v>52.5</v>
      </c>
      <c r="HW718" s="19">
        <v>51.5</v>
      </c>
      <c r="HX718" s="19">
        <v>50.5</v>
      </c>
      <c r="HY718" s="19">
        <v>49.5</v>
      </c>
      <c r="HZ718" s="19">
        <v>48.5</v>
      </c>
      <c r="IA718" s="19">
        <v>47.5</v>
      </c>
      <c r="IB718" s="19">
        <v>46.5</v>
      </c>
    </row>
    <row r="719">
      <c r="A719" s="2" t="s">
        <v>3983</v>
      </c>
      <c r="B719" s="2" t="s">
        <v>811</v>
      </c>
      <c r="C719" s="2" t="s">
        <v>789</v>
      </c>
      <c r="D719" s="2" t="s">
        <v>813</v>
      </c>
      <c r="E719" s="2" t="s">
        <v>814</v>
      </c>
      <c r="F719" s="2" t="s">
        <v>3984</v>
      </c>
      <c r="G719" s="2" t="s">
        <v>3984</v>
      </c>
      <c r="H719" s="2" t="s">
        <v>3984</v>
      </c>
      <c r="I719" s="2" t="s">
        <v>3985</v>
      </c>
      <c r="J719" s="2" t="s">
        <v>741</v>
      </c>
      <c r="K719" s="2" t="s">
        <v>3986</v>
      </c>
      <c r="L719" s="3">
        <v>62</v>
      </c>
      <c r="M719" s="3">
        <v>65.1</v>
      </c>
      <c r="N719" s="3">
        <v>129.99</v>
      </c>
      <c r="O719" s="2" t="s">
        <v>230</v>
      </c>
      <c r="P719" s="2" t="s">
        <v>721</v>
      </c>
      <c r="Q719" s="2" t="s">
        <v>232</v>
      </c>
      <c r="R719" s="2" t="s">
        <v>233</v>
      </c>
      <c r="S719" s="2" t="s">
        <v>233</v>
      </c>
      <c r="T719" s="2" t="s">
        <v>233</v>
      </c>
      <c r="U719" s="2" t="s">
        <v>329</v>
      </c>
      <c r="V719" s="2" t="s">
        <v>609</v>
      </c>
      <c r="W719" s="2" t="s">
        <v>237</v>
      </c>
      <c r="X719" s="2" t="s">
        <v>818</v>
      </c>
      <c r="Y719" s="2" t="s">
        <v>3987</v>
      </c>
      <c r="Z719" s="4">
        <v>81</v>
      </c>
      <c r="AA719" s="4">
        <f>=ROUNDDOWN(162,0)</f>
      </c>
      <c r="AB719" s="5">
        <v>0.5</v>
      </c>
      <c r="AC719" s="2" t="s">
        <v>233</v>
      </c>
      <c r="AD719" s="4"/>
      <c r="AE719" s="4"/>
      <c r="AF719" s="6">
        <v>63</v>
      </c>
      <c r="AG719" s="6"/>
      <c r="AH719" s="7">
        <v>1</v>
      </c>
      <c r="AI719" s="4"/>
      <c r="AJ719" s="4">
        <f>=ROUNDDOWN({0},0)</f>
      </c>
      <c r="AK719" s="5"/>
      <c r="AL719" s="2" t="s">
        <v>233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/>
      <c r="BD719" s="8"/>
      <c r="BE719" s="4"/>
      <c r="BF719" s="8"/>
      <c r="BG719" s="7"/>
      <c r="BH719" s="7"/>
      <c r="BI719" s="7"/>
      <c r="BJ719" s="4">
        <v>2</v>
      </c>
      <c r="BK719" s="8">
        <v>136.72</v>
      </c>
      <c r="BL719" s="2" t="s">
        <v>2981</v>
      </c>
      <c r="BM719" s="7"/>
      <c r="BN719" s="7"/>
      <c r="BO719" s="4"/>
      <c r="BP719" s="8"/>
      <c r="BQ719" s="4"/>
      <c r="BR719" s="8"/>
      <c r="BS719" s="7"/>
      <c r="BT719" s="7"/>
      <c r="BU719" s="2" t="s">
        <v>3988</v>
      </c>
      <c r="BV719" s="2" t="s">
        <v>233</v>
      </c>
      <c r="BW719" s="2" t="s">
        <v>233</v>
      </c>
      <c r="BX719" s="2" t="s">
        <v>241</v>
      </c>
      <c r="BY719" s="2" t="s">
        <v>242</v>
      </c>
      <c r="BZ719" s="2" t="s">
        <v>230</v>
      </c>
      <c r="CA719" s="2" t="s">
        <v>3592</v>
      </c>
      <c r="CB719" s="2" t="s">
        <v>3989</v>
      </c>
      <c r="CC719" s="2" t="s">
        <v>245</v>
      </c>
      <c r="CD719" s="2" t="s">
        <v>233</v>
      </c>
      <c r="CE719" s="4"/>
      <c r="CF719" s="4">
        <v>81</v>
      </c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>
        <v>85</v>
      </c>
      <c r="GD719" s="4">
        <v>80</v>
      </c>
      <c r="GE719" s="4">
        <v>79</v>
      </c>
      <c r="GF719" s="4">
        <v>78</v>
      </c>
      <c r="GG719" s="4">
        <v>77</v>
      </c>
      <c r="GH719" s="4">
        <v>76</v>
      </c>
      <c r="GI719" s="4">
        <v>75</v>
      </c>
      <c r="GJ719" s="4">
        <v>74</v>
      </c>
      <c r="GK719" s="4">
        <v>73</v>
      </c>
      <c r="GL719" s="4">
        <v>72</v>
      </c>
      <c r="GM719" s="4">
        <v>71</v>
      </c>
      <c r="GN719" s="4">
        <v>70</v>
      </c>
      <c r="GO719" s="4">
        <v>69</v>
      </c>
      <c r="GP719" s="4">
        <v>68</v>
      </c>
      <c r="GQ719" s="4">
        <v>67</v>
      </c>
      <c r="GR719" s="4">
        <v>66</v>
      </c>
      <c r="GS719" s="4">
        <v>65</v>
      </c>
      <c r="GT719" s="4">
        <v>64</v>
      </c>
      <c r="GU719" s="4">
        <v>63</v>
      </c>
      <c r="GV719" s="4">
        <v>62</v>
      </c>
      <c r="GW719" s="4">
        <v>61</v>
      </c>
      <c r="GX719" s="4">
        <v>60</v>
      </c>
      <c r="GY719" s="4">
        <v>59</v>
      </c>
      <c r="GZ719" s="4">
        <v>58</v>
      </c>
      <c r="HA719" s="4">
        <v>57</v>
      </c>
      <c r="HB719" s="4">
        <v>56</v>
      </c>
      <c r="HC719" s="19">
        <v>42.5</v>
      </c>
      <c r="HD719" s="19">
        <v>80</v>
      </c>
      <c r="HE719" s="19">
        <v>79</v>
      </c>
      <c r="HF719" s="19">
        <v>78</v>
      </c>
      <c r="HG719" s="19">
        <v>77</v>
      </c>
      <c r="HH719" s="19">
        <v>76</v>
      </c>
      <c r="HI719" s="19">
        <v>75</v>
      </c>
      <c r="HJ719" s="19">
        <v>74</v>
      </c>
      <c r="HK719" s="19">
        <v>73</v>
      </c>
      <c r="HL719" s="19">
        <v>72</v>
      </c>
      <c r="HM719" s="19">
        <v>71</v>
      </c>
      <c r="HN719" s="19">
        <v>70</v>
      </c>
      <c r="HO719" s="19">
        <v>69</v>
      </c>
      <c r="HP719" s="19">
        <v>68</v>
      </c>
      <c r="HQ719" s="19">
        <v>67</v>
      </c>
      <c r="HR719" s="19">
        <v>66</v>
      </c>
      <c r="HS719" s="19">
        <v>65</v>
      </c>
      <c r="HT719" s="19">
        <v>64</v>
      </c>
      <c r="HU719" s="19">
        <v>63</v>
      </c>
      <c r="HV719" s="19">
        <v>62</v>
      </c>
      <c r="HW719" s="19">
        <v>61</v>
      </c>
      <c r="HX719" s="19">
        <v>60</v>
      </c>
      <c r="HY719" s="19">
        <v>59</v>
      </c>
      <c r="HZ719" s="19">
        <v>58</v>
      </c>
      <c r="IA719" s="19">
        <v>57</v>
      </c>
      <c r="IB719" s="19">
        <v>56</v>
      </c>
    </row>
    <row r="720">
      <c r="A720" s="2" t="s">
        <v>3990</v>
      </c>
      <c r="B720" s="2" t="s">
        <v>279</v>
      </c>
      <c r="C720" s="2" t="s">
        <v>3991</v>
      </c>
      <c r="D720" s="2" t="s">
        <v>281</v>
      </c>
      <c r="E720" s="2" t="s">
        <v>282</v>
      </c>
      <c r="F720" s="2" t="s">
        <v>3992</v>
      </c>
      <c r="G720" s="2" t="s">
        <v>3992</v>
      </c>
      <c r="H720" s="2" t="s">
        <v>3992</v>
      </c>
      <c r="I720" s="2" t="s">
        <v>3993</v>
      </c>
      <c r="J720" s="2" t="s">
        <v>256</v>
      </c>
      <c r="K720" s="2" t="s">
        <v>300</v>
      </c>
      <c r="L720" s="3">
        <v>22.28</v>
      </c>
      <c r="M720" s="3">
        <v>23.39</v>
      </c>
      <c r="N720" s="3">
        <v>59.99</v>
      </c>
      <c r="O720" s="2" t="s">
        <v>230</v>
      </c>
      <c r="P720" s="2" t="s">
        <v>231</v>
      </c>
      <c r="Q720" s="2" t="s">
        <v>232</v>
      </c>
      <c r="R720" s="2" t="s">
        <v>233</v>
      </c>
      <c r="S720" s="2" t="s">
        <v>233</v>
      </c>
      <c r="T720" s="2" t="s">
        <v>348</v>
      </c>
      <c r="U720" s="2" t="s">
        <v>233</v>
      </c>
      <c r="V720" s="2" t="s">
        <v>236</v>
      </c>
      <c r="W720" s="2" t="s">
        <v>288</v>
      </c>
      <c r="X720" s="2" t="s">
        <v>233</v>
      </c>
      <c r="Y720" s="2" t="s">
        <v>2087</v>
      </c>
      <c r="Z720" s="4">
        <v>2</v>
      </c>
      <c r="AA720" s="4">
        <f>=ROUNDDOWN(0.666666666666667,0)</f>
      </c>
      <c r="AB720" s="5">
        <v>3</v>
      </c>
      <c r="AC720" s="2" t="s">
        <v>169</v>
      </c>
      <c r="AD720" s="4">
        <v>32</v>
      </c>
      <c r="AE720" s="4">
        <v>52</v>
      </c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233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233</v>
      </c>
      <c r="AW720" s="8" t="s">
        <v>233</v>
      </c>
      <c r="AX720" s="4" t="s">
        <v>233</v>
      </c>
      <c r="AY720" s="8" t="s">
        <v>233</v>
      </c>
      <c r="AZ720" s="7" t="s">
        <v>233</v>
      </c>
      <c r="BA720" s="7" t="s">
        <v>233</v>
      </c>
      <c r="BB720" s="7"/>
      <c r="BC720" s="4" t="s">
        <v>233</v>
      </c>
      <c r="BD720" s="8" t="s">
        <v>233</v>
      </c>
      <c r="BE720" s="4" t="s">
        <v>233</v>
      </c>
      <c r="BF720" s="8" t="s">
        <v>233</v>
      </c>
      <c r="BG720" s="7" t="s">
        <v>233</v>
      </c>
      <c r="BH720" s="7" t="s">
        <v>233</v>
      </c>
      <c r="BI720" s="7"/>
      <c r="BJ720" s="4">
        <v>8</v>
      </c>
      <c r="BK720" s="8">
        <v>204.96</v>
      </c>
      <c r="BL720" s="2" t="s">
        <v>351</v>
      </c>
      <c r="BM720" s="7"/>
      <c r="BN720" s="7"/>
      <c r="BO720" s="4"/>
      <c r="BP720" s="8"/>
      <c r="BQ720" s="4"/>
      <c r="BR720" s="8"/>
      <c r="BS720" s="7"/>
      <c r="BT720" s="7"/>
      <c r="BU720" s="2" t="s">
        <v>3994</v>
      </c>
      <c r="BV720" s="2" t="s">
        <v>233</v>
      </c>
      <c r="BW720" s="2" t="s">
        <v>233</v>
      </c>
      <c r="BX720" s="2" t="s">
        <v>293</v>
      </c>
      <c r="BY720" s="2" t="s">
        <v>242</v>
      </c>
      <c r="BZ720" s="2" t="s">
        <v>230</v>
      </c>
      <c r="CA720" s="2" t="s">
        <v>3995</v>
      </c>
      <c r="CB720" s="2" t="s">
        <v>1504</v>
      </c>
      <c r="CC720" s="2" t="s">
        <v>245</v>
      </c>
      <c r="CD720" s="2" t="s">
        <v>233</v>
      </c>
      <c r="CE720" s="4">
        <v>2</v>
      </c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>
        <v>32</v>
      </c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>
        <v>20</v>
      </c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>
        <v>2</v>
      </c>
      <c r="GD720" s="4"/>
      <c r="GE720" s="4"/>
      <c r="GF720" s="4"/>
      <c r="GG720" s="4"/>
      <c r="GH720" s="4"/>
      <c r="GI720" s="4"/>
      <c r="GJ720" s="4">
        <v>32</v>
      </c>
      <c r="GK720" s="4">
        <v>27</v>
      </c>
      <c r="GL720" s="4">
        <v>24</v>
      </c>
      <c r="GM720" s="4">
        <v>21</v>
      </c>
      <c r="GN720" s="4">
        <v>38</v>
      </c>
      <c r="GO720" s="4">
        <v>35</v>
      </c>
      <c r="GP720" s="4">
        <v>32</v>
      </c>
      <c r="GQ720" s="4">
        <v>29</v>
      </c>
      <c r="GR720" s="4">
        <v>26</v>
      </c>
      <c r="GS720" s="4">
        <v>23</v>
      </c>
      <c r="GT720" s="4">
        <v>20</v>
      </c>
      <c r="GU720" s="4">
        <v>17</v>
      </c>
      <c r="GV720" s="4">
        <v>14</v>
      </c>
      <c r="GW720" s="4">
        <v>11</v>
      </c>
      <c r="GX720" s="4">
        <v>8</v>
      </c>
      <c r="GY720" s="4">
        <v>5</v>
      </c>
      <c r="GZ720" s="4">
        <v>2</v>
      </c>
      <c r="HA720" s="4"/>
      <c r="HB720" s="4"/>
      <c r="HC720" s="19">
        <v>0.5</v>
      </c>
      <c r="HD720" s="20">
        <v>0</v>
      </c>
      <c r="HE720" s="20">
        <v>0</v>
      </c>
      <c r="HF720" s="20">
        <v>0</v>
      </c>
      <c r="HG720" s="20">
        <v>0</v>
      </c>
      <c r="HH720" s="20">
        <v>0</v>
      </c>
      <c r="HI720" s="20">
        <v>0</v>
      </c>
      <c r="HJ720" s="19">
        <v>8</v>
      </c>
      <c r="HK720" s="19">
        <v>9</v>
      </c>
      <c r="HL720" s="19">
        <v>8</v>
      </c>
      <c r="HM720" s="19">
        <v>7</v>
      </c>
      <c r="HN720" s="19">
        <v>12.7</v>
      </c>
      <c r="HO720" s="19">
        <v>11.7</v>
      </c>
      <c r="HP720" s="19">
        <v>10.7</v>
      </c>
      <c r="HQ720" s="19">
        <v>9.7</v>
      </c>
      <c r="HR720" s="19">
        <v>8.7</v>
      </c>
      <c r="HS720" s="19">
        <v>7.7</v>
      </c>
      <c r="HT720" s="19">
        <v>6.7</v>
      </c>
      <c r="HU720" s="19">
        <v>5.7</v>
      </c>
      <c r="HV720" s="19">
        <v>4.7</v>
      </c>
      <c r="HW720" s="19">
        <v>3.7</v>
      </c>
      <c r="HX720" s="19">
        <v>2.7</v>
      </c>
      <c r="HY720" s="19">
        <v>1.7</v>
      </c>
      <c r="HZ720" s="19">
        <v>0.7</v>
      </c>
      <c r="IA720" s="20">
        <v>0</v>
      </c>
      <c r="IB720" s="20">
        <v>0</v>
      </c>
    </row>
    <row r="721">
      <c r="A721" s="2" t="s">
        <v>3996</v>
      </c>
      <c r="B721" s="2" t="s">
        <v>279</v>
      </c>
      <c r="C721" s="2" t="s">
        <v>3991</v>
      </c>
      <c r="D721" s="2" t="s">
        <v>281</v>
      </c>
      <c r="E721" s="2" t="s">
        <v>282</v>
      </c>
      <c r="F721" s="2" t="s">
        <v>3992</v>
      </c>
      <c r="G721" s="2" t="s">
        <v>3992</v>
      </c>
      <c r="H721" s="2" t="s">
        <v>3992</v>
      </c>
      <c r="I721" s="2" t="s">
        <v>3997</v>
      </c>
      <c r="J721" s="2" t="s">
        <v>285</v>
      </c>
      <c r="K721" s="2" t="s">
        <v>300</v>
      </c>
      <c r="L721" s="3">
        <v>74.28</v>
      </c>
      <c r="M721" s="3">
        <v>77.99</v>
      </c>
      <c r="N721" s="3">
        <v>199.99</v>
      </c>
      <c r="O721" s="2" t="s">
        <v>230</v>
      </c>
      <c r="P721" s="2" t="s">
        <v>231</v>
      </c>
      <c r="Q721" s="2" t="s">
        <v>232</v>
      </c>
      <c r="R721" s="2" t="s">
        <v>233</v>
      </c>
      <c r="S721" s="2" t="s">
        <v>233</v>
      </c>
      <c r="T721" s="2" t="s">
        <v>348</v>
      </c>
      <c r="U721" s="2" t="s">
        <v>233</v>
      </c>
      <c r="V721" s="2" t="s">
        <v>236</v>
      </c>
      <c r="W721" s="2" t="s">
        <v>288</v>
      </c>
      <c r="X721" s="2" t="s">
        <v>233</v>
      </c>
      <c r="Y721" s="2" t="s">
        <v>2087</v>
      </c>
      <c r="Z721" s="4">
        <v>87</v>
      </c>
      <c r="AA721" s="4">
        <f>=ROUNDDOWN(43.5,0)</f>
      </c>
      <c r="AB721" s="5">
        <v>2</v>
      </c>
      <c r="AC721" s="2" t="s">
        <v>2192</v>
      </c>
      <c r="AD721" s="4">
        <v>30</v>
      </c>
      <c r="AE721" s="4">
        <v>30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233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233</v>
      </c>
      <c r="AW721" s="8" t="s">
        <v>233</v>
      </c>
      <c r="AX721" s="4" t="s">
        <v>233</v>
      </c>
      <c r="AY721" s="8" t="s">
        <v>233</v>
      </c>
      <c r="AZ721" s="7" t="s">
        <v>233</v>
      </c>
      <c r="BA721" s="7" t="s">
        <v>233</v>
      </c>
      <c r="BB721" s="7"/>
      <c r="BC721" s="4" t="s">
        <v>233</v>
      </c>
      <c r="BD721" s="8" t="s">
        <v>233</v>
      </c>
      <c r="BE721" s="4" t="s">
        <v>233</v>
      </c>
      <c r="BF721" s="8" t="s">
        <v>233</v>
      </c>
      <c r="BG721" s="7" t="s">
        <v>233</v>
      </c>
      <c r="BH721" s="7" t="s">
        <v>233</v>
      </c>
      <c r="BI721" s="7"/>
      <c r="BJ721" s="4">
        <v>7</v>
      </c>
      <c r="BK721" s="8">
        <v>580.25</v>
      </c>
      <c r="BL721" s="2" t="s">
        <v>3998</v>
      </c>
      <c r="BM721" s="7"/>
      <c r="BN721" s="7"/>
      <c r="BO721" s="4"/>
      <c r="BP721" s="8"/>
      <c r="BQ721" s="4"/>
      <c r="BR721" s="8"/>
      <c r="BS721" s="7"/>
      <c r="BT721" s="7"/>
      <c r="BU721" s="2" t="s">
        <v>3999</v>
      </c>
      <c r="BV721" s="2" t="s">
        <v>233</v>
      </c>
      <c r="BW721" s="2" t="s">
        <v>233</v>
      </c>
      <c r="BX721" s="2" t="s">
        <v>293</v>
      </c>
      <c r="BY721" s="2" t="s">
        <v>242</v>
      </c>
      <c r="BZ721" s="2" t="s">
        <v>230</v>
      </c>
      <c r="CA721" s="2" t="s">
        <v>1182</v>
      </c>
      <c r="CB721" s="2" t="s">
        <v>1183</v>
      </c>
      <c r="CC721" s="2" t="s">
        <v>245</v>
      </c>
      <c r="CD721" s="2" t="s">
        <v>233</v>
      </c>
      <c r="CE721" s="4">
        <v>87</v>
      </c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>
        <v>30</v>
      </c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>
        <v>87</v>
      </c>
      <c r="GD721" s="4">
        <v>85</v>
      </c>
      <c r="GE721" s="4">
        <v>82</v>
      </c>
      <c r="GF721" s="4">
        <v>79</v>
      </c>
      <c r="GG721" s="4">
        <v>73</v>
      </c>
      <c r="GH721" s="4">
        <v>70</v>
      </c>
      <c r="GI721" s="4">
        <v>67</v>
      </c>
      <c r="GJ721" s="4">
        <v>65</v>
      </c>
      <c r="GK721" s="4">
        <v>64</v>
      </c>
      <c r="GL721" s="4">
        <v>62</v>
      </c>
      <c r="GM721" s="4">
        <v>60</v>
      </c>
      <c r="GN721" s="4">
        <v>88</v>
      </c>
      <c r="GO721" s="4">
        <v>86</v>
      </c>
      <c r="GP721" s="4">
        <v>84</v>
      </c>
      <c r="GQ721" s="4">
        <v>82</v>
      </c>
      <c r="GR721" s="4">
        <v>80</v>
      </c>
      <c r="GS721" s="4">
        <v>78</v>
      </c>
      <c r="GT721" s="4">
        <v>76</v>
      </c>
      <c r="GU721" s="4">
        <v>74</v>
      </c>
      <c r="GV721" s="4">
        <v>72</v>
      </c>
      <c r="GW721" s="4">
        <v>70</v>
      </c>
      <c r="GX721" s="4">
        <v>68</v>
      </c>
      <c r="GY721" s="4">
        <v>66</v>
      </c>
      <c r="GZ721" s="4">
        <v>64</v>
      </c>
      <c r="HA721" s="4">
        <v>62</v>
      </c>
      <c r="HB721" s="4">
        <v>60</v>
      </c>
      <c r="HC721" s="19">
        <v>21.8</v>
      </c>
      <c r="HD721" s="19">
        <v>21.3</v>
      </c>
      <c r="HE721" s="19">
        <v>20.5</v>
      </c>
      <c r="HF721" s="19">
        <v>19.8</v>
      </c>
      <c r="HG721" s="19">
        <v>36.5</v>
      </c>
      <c r="HH721" s="19">
        <v>35</v>
      </c>
      <c r="HI721" s="19">
        <v>33.5</v>
      </c>
      <c r="HJ721" s="19">
        <v>32.5</v>
      </c>
      <c r="HK721" s="19">
        <v>32</v>
      </c>
      <c r="HL721" s="19">
        <v>31</v>
      </c>
      <c r="HM721" s="19">
        <v>30</v>
      </c>
      <c r="HN721" s="19">
        <v>44</v>
      </c>
      <c r="HO721" s="19">
        <v>43</v>
      </c>
      <c r="HP721" s="19">
        <v>42</v>
      </c>
      <c r="HQ721" s="19">
        <v>41</v>
      </c>
      <c r="HR721" s="19">
        <v>40</v>
      </c>
      <c r="HS721" s="19">
        <v>39</v>
      </c>
      <c r="HT721" s="19">
        <v>38</v>
      </c>
      <c r="HU721" s="19">
        <v>37</v>
      </c>
      <c r="HV721" s="19">
        <v>36</v>
      </c>
      <c r="HW721" s="19">
        <v>35</v>
      </c>
      <c r="HX721" s="19">
        <v>34</v>
      </c>
      <c r="HY721" s="19">
        <v>33</v>
      </c>
      <c r="HZ721" s="19">
        <v>32</v>
      </c>
      <c r="IA721" s="19">
        <v>31</v>
      </c>
      <c r="IB721" s="19">
        <v>30</v>
      </c>
    </row>
    <row r="722">
      <c r="A722" s="2" t="s">
        <v>4000</v>
      </c>
      <c r="B722" s="2" t="s">
        <v>279</v>
      </c>
      <c r="C722" s="2" t="s">
        <v>3991</v>
      </c>
      <c r="D722" s="2" t="s">
        <v>281</v>
      </c>
      <c r="E722" s="2" t="s">
        <v>282</v>
      </c>
      <c r="F722" s="2" t="s">
        <v>3992</v>
      </c>
      <c r="G722" s="2" t="s">
        <v>3992</v>
      </c>
      <c r="H722" s="2" t="s">
        <v>3992</v>
      </c>
      <c r="I722" s="2" t="s">
        <v>3993</v>
      </c>
      <c r="J722" s="2" t="s">
        <v>308</v>
      </c>
      <c r="K722" s="2" t="s">
        <v>300</v>
      </c>
      <c r="L722" s="3">
        <v>18.57</v>
      </c>
      <c r="M722" s="3">
        <v>19.5</v>
      </c>
      <c r="N722" s="3">
        <v>49.99</v>
      </c>
      <c r="O722" s="2" t="s">
        <v>230</v>
      </c>
      <c r="P722" s="2" t="s">
        <v>231</v>
      </c>
      <c r="Q722" s="2" t="s">
        <v>232</v>
      </c>
      <c r="R722" s="2" t="s">
        <v>233</v>
      </c>
      <c r="S722" s="2" t="s">
        <v>233</v>
      </c>
      <c r="T722" s="2" t="s">
        <v>348</v>
      </c>
      <c r="U722" s="2" t="s">
        <v>233</v>
      </c>
      <c r="V722" s="2" t="s">
        <v>236</v>
      </c>
      <c r="W722" s="2" t="s">
        <v>288</v>
      </c>
      <c r="X722" s="2" t="s">
        <v>233</v>
      </c>
      <c r="Y722" s="2" t="s">
        <v>2087</v>
      </c>
      <c r="Z722" s="4">
        <v>21</v>
      </c>
      <c r="AA722" s="4">
        <f>=ROUNDDOWN(7,0)</f>
      </c>
      <c r="AB722" s="5">
        <v>3</v>
      </c>
      <c r="AC722" s="2" t="s">
        <v>169</v>
      </c>
      <c r="AD722" s="4">
        <v>32</v>
      </c>
      <c r="AE722" s="4">
        <v>72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233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233</v>
      </c>
      <c r="AW722" s="8" t="s">
        <v>233</v>
      </c>
      <c r="AX722" s="4" t="s">
        <v>233</v>
      </c>
      <c r="AY722" s="8" t="s">
        <v>233</v>
      </c>
      <c r="AZ722" s="7" t="s">
        <v>233</v>
      </c>
      <c r="BA722" s="7" t="s">
        <v>233</v>
      </c>
      <c r="BB722" s="7"/>
      <c r="BC722" s="4" t="s">
        <v>233</v>
      </c>
      <c r="BD722" s="8" t="s">
        <v>233</v>
      </c>
      <c r="BE722" s="4" t="s">
        <v>233</v>
      </c>
      <c r="BF722" s="8" t="s">
        <v>233</v>
      </c>
      <c r="BG722" s="7" t="s">
        <v>233</v>
      </c>
      <c r="BH722" s="7" t="s">
        <v>233</v>
      </c>
      <c r="BI722" s="7"/>
      <c r="BJ722" s="4">
        <v>10</v>
      </c>
      <c r="BK722" s="8">
        <v>208.85</v>
      </c>
      <c r="BL722" s="2" t="s">
        <v>1923</v>
      </c>
      <c r="BM722" s="7"/>
      <c r="BN722" s="7"/>
      <c r="BO722" s="4"/>
      <c r="BP722" s="8"/>
      <c r="BQ722" s="4"/>
      <c r="BR722" s="8"/>
      <c r="BS722" s="7"/>
      <c r="BT722" s="7"/>
      <c r="BU722" s="2" t="s">
        <v>3994</v>
      </c>
      <c r="BV722" s="2" t="s">
        <v>233</v>
      </c>
      <c r="BW722" s="2" t="s">
        <v>233</v>
      </c>
      <c r="BX722" s="2" t="s">
        <v>293</v>
      </c>
      <c r="BY722" s="2" t="s">
        <v>242</v>
      </c>
      <c r="BZ722" s="2" t="s">
        <v>230</v>
      </c>
      <c r="CA722" s="2" t="s">
        <v>3995</v>
      </c>
      <c r="CB722" s="2" t="s">
        <v>1516</v>
      </c>
      <c r="CC722" s="2" t="s">
        <v>245</v>
      </c>
      <c r="CD722" s="2" t="s">
        <v>233</v>
      </c>
      <c r="CE722" s="4">
        <v>21</v>
      </c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>
        <v>32</v>
      </c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>
        <v>40</v>
      </c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>
        <v>21</v>
      </c>
      <c r="GD722" s="4">
        <v>15</v>
      </c>
      <c r="GE722" s="4">
        <v>11</v>
      </c>
      <c r="GF722" s="4">
        <v>7</v>
      </c>
      <c r="GG722" s="4"/>
      <c r="GH722" s="4"/>
      <c r="GI722" s="4"/>
      <c r="GJ722" s="4">
        <v>32</v>
      </c>
      <c r="GK722" s="4">
        <v>27</v>
      </c>
      <c r="GL722" s="4">
        <v>24</v>
      </c>
      <c r="GM722" s="4">
        <v>21</v>
      </c>
      <c r="GN722" s="4">
        <v>58</v>
      </c>
      <c r="GO722" s="4">
        <v>55</v>
      </c>
      <c r="GP722" s="4">
        <v>52</v>
      </c>
      <c r="GQ722" s="4">
        <v>49</v>
      </c>
      <c r="GR722" s="4">
        <v>46</v>
      </c>
      <c r="GS722" s="4">
        <v>43</v>
      </c>
      <c r="GT722" s="4">
        <v>40</v>
      </c>
      <c r="GU722" s="4">
        <v>37</v>
      </c>
      <c r="GV722" s="4">
        <v>34</v>
      </c>
      <c r="GW722" s="4">
        <v>31</v>
      </c>
      <c r="GX722" s="4">
        <v>28</v>
      </c>
      <c r="GY722" s="4">
        <v>25</v>
      </c>
      <c r="GZ722" s="4">
        <v>22</v>
      </c>
      <c r="HA722" s="4">
        <v>19</v>
      </c>
      <c r="HB722" s="4">
        <v>16</v>
      </c>
      <c r="HC722" s="19">
        <v>4.2</v>
      </c>
      <c r="HD722" s="19">
        <v>3.8</v>
      </c>
      <c r="HE722" s="19">
        <v>2.8</v>
      </c>
      <c r="HF722" s="19">
        <v>1.8</v>
      </c>
      <c r="HG722" s="20">
        <v>0</v>
      </c>
      <c r="HH722" s="20">
        <v>0</v>
      </c>
      <c r="HI722" s="20">
        <v>0</v>
      </c>
      <c r="HJ722" s="19">
        <v>8</v>
      </c>
      <c r="HK722" s="19">
        <v>9</v>
      </c>
      <c r="HL722" s="19">
        <v>8</v>
      </c>
      <c r="HM722" s="19">
        <v>7</v>
      </c>
      <c r="HN722" s="19">
        <v>19.3</v>
      </c>
      <c r="HO722" s="19">
        <v>18.3</v>
      </c>
      <c r="HP722" s="19">
        <v>17.3</v>
      </c>
      <c r="HQ722" s="19">
        <v>16.3</v>
      </c>
      <c r="HR722" s="19">
        <v>15.3</v>
      </c>
      <c r="HS722" s="19">
        <v>14.3</v>
      </c>
      <c r="HT722" s="19">
        <v>13.3</v>
      </c>
      <c r="HU722" s="19">
        <v>12.3</v>
      </c>
      <c r="HV722" s="19">
        <v>11.3</v>
      </c>
      <c r="HW722" s="19">
        <v>10.3</v>
      </c>
      <c r="HX722" s="19">
        <v>9.3</v>
      </c>
      <c r="HY722" s="19">
        <v>8.3</v>
      </c>
      <c r="HZ722" s="19">
        <v>7.3</v>
      </c>
      <c r="IA722" s="19">
        <v>6.3</v>
      </c>
      <c r="IB722" s="19">
        <v>5.3</v>
      </c>
    </row>
    <row r="723">
      <c r="A723" s="2" t="s">
        <v>4001</v>
      </c>
      <c r="B723" s="2" t="s">
        <v>279</v>
      </c>
      <c r="C723" s="2" t="s">
        <v>3991</v>
      </c>
      <c r="D723" s="2" t="s">
        <v>281</v>
      </c>
      <c r="E723" s="2" t="s">
        <v>282</v>
      </c>
      <c r="F723" s="2" t="s">
        <v>3992</v>
      </c>
      <c r="G723" s="2" t="s">
        <v>3992</v>
      </c>
      <c r="H723" s="2" t="s">
        <v>3992</v>
      </c>
      <c r="I723" s="2" t="s">
        <v>3993</v>
      </c>
      <c r="J723" s="2" t="s">
        <v>256</v>
      </c>
      <c r="K723" s="2" t="s">
        <v>452</v>
      </c>
      <c r="L723" s="3">
        <v>22.28</v>
      </c>
      <c r="M723" s="3">
        <v>23.39</v>
      </c>
      <c r="N723" s="3">
        <v>59.99</v>
      </c>
      <c r="O723" s="2" t="s">
        <v>230</v>
      </c>
      <c r="P723" s="2" t="s">
        <v>231</v>
      </c>
      <c r="Q723" s="2" t="s">
        <v>232</v>
      </c>
      <c r="R723" s="2" t="s">
        <v>233</v>
      </c>
      <c r="S723" s="2" t="s">
        <v>233</v>
      </c>
      <c r="T723" s="2" t="s">
        <v>348</v>
      </c>
      <c r="U723" s="2" t="s">
        <v>233</v>
      </c>
      <c r="V723" s="2" t="s">
        <v>236</v>
      </c>
      <c r="W723" s="2" t="s">
        <v>288</v>
      </c>
      <c r="X723" s="2" t="s">
        <v>233</v>
      </c>
      <c r="Y723" s="2" t="s">
        <v>2087</v>
      </c>
      <c r="Z723" s="4">
        <v>10</v>
      </c>
      <c r="AA723" s="4">
        <f>=ROUNDDOWN(5,0)</f>
      </c>
      <c r="AB723" s="5">
        <v>2</v>
      </c>
      <c r="AC723" s="2" t="s">
        <v>1975</v>
      </c>
      <c r="AD723" s="4">
        <v>80</v>
      </c>
      <c r="AE723" s="4">
        <v>80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233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233</v>
      </c>
      <c r="AW723" s="8" t="s">
        <v>233</v>
      </c>
      <c r="AX723" s="4" t="s">
        <v>233</v>
      </c>
      <c r="AY723" s="8" t="s">
        <v>233</v>
      </c>
      <c r="AZ723" s="7" t="s">
        <v>233</v>
      </c>
      <c r="BA723" s="7" t="s">
        <v>233</v>
      </c>
      <c r="BB723" s="7"/>
      <c r="BC723" s="4" t="s">
        <v>233</v>
      </c>
      <c r="BD723" s="8" t="s">
        <v>233</v>
      </c>
      <c r="BE723" s="4" t="s">
        <v>233</v>
      </c>
      <c r="BF723" s="8" t="s">
        <v>233</v>
      </c>
      <c r="BG723" s="7" t="s">
        <v>233</v>
      </c>
      <c r="BH723" s="7" t="s">
        <v>233</v>
      </c>
      <c r="BI723" s="7"/>
      <c r="BJ723" s="4">
        <v>6</v>
      </c>
      <c r="BK723" s="8">
        <v>151.6</v>
      </c>
      <c r="BL723" s="2" t="s">
        <v>4002</v>
      </c>
      <c r="BM723" s="7"/>
      <c r="BN723" s="7"/>
      <c r="BO723" s="4"/>
      <c r="BP723" s="8"/>
      <c r="BQ723" s="4"/>
      <c r="BR723" s="8"/>
      <c r="BS723" s="7"/>
      <c r="BT723" s="7"/>
      <c r="BU723" s="2" t="s">
        <v>3994</v>
      </c>
      <c r="BV723" s="2" t="s">
        <v>233</v>
      </c>
      <c r="BW723" s="2" t="s">
        <v>233</v>
      </c>
      <c r="BX723" s="2" t="s">
        <v>293</v>
      </c>
      <c r="BY723" s="2" t="s">
        <v>242</v>
      </c>
      <c r="BZ723" s="2" t="s">
        <v>230</v>
      </c>
      <c r="CA723" s="2" t="s">
        <v>3995</v>
      </c>
      <c r="CB723" s="2" t="s">
        <v>600</v>
      </c>
      <c r="CC723" s="2" t="s">
        <v>245</v>
      </c>
      <c r="CD723" s="2" t="s">
        <v>233</v>
      </c>
      <c r="CE723" s="4">
        <v>10</v>
      </c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>
        <v>80</v>
      </c>
      <c r="FT723" s="4"/>
      <c r="FU723" s="4"/>
      <c r="FV723" s="4"/>
      <c r="FW723" s="4"/>
      <c r="FX723" s="4"/>
      <c r="FY723" s="4"/>
      <c r="FZ723" s="4"/>
      <c r="GA723" s="4"/>
      <c r="GB723" s="4"/>
      <c r="GC723" s="4">
        <v>10</v>
      </c>
      <c r="GD723" s="4">
        <v>8</v>
      </c>
      <c r="GE723" s="4">
        <v>5</v>
      </c>
      <c r="GF723" s="4">
        <v>2</v>
      </c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>
        <v>80</v>
      </c>
      <c r="GU723" s="4">
        <v>78</v>
      </c>
      <c r="GV723" s="4">
        <v>76</v>
      </c>
      <c r="GW723" s="4">
        <v>74</v>
      </c>
      <c r="GX723" s="4">
        <v>72</v>
      </c>
      <c r="GY723" s="4">
        <v>70</v>
      </c>
      <c r="GZ723" s="4">
        <v>68</v>
      </c>
      <c r="HA723" s="4">
        <v>66</v>
      </c>
      <c r="HB723" s="4">
        <v>64</v>
      </c>
      <c r="HC723" s="19">
        <v>2.5</v>
      </c>
      <c r="HD723" s="19">
        <v>2</v>
      </c>
      <c r="HE723" s="19">
        <v>1.3</v>
      </c>
      <c r="HF723" s="19">
        <v>0.5</v>
      </c>
      <c r="HG723" s="20">
        <v>0</v>
      </c>
      <c r="HH723" s="20">
        <v>0</v>
      </c>
      <c r="HI723" s="20">
        <v>0</v>
      </c>
      <c r="HJ723" s="20">
        <v>0</v>
      </c>
      <c r="HK723" s="20">
        <v>0</v>
      </c>
      <c r="HL723" s="20">
        <v>0</v>
      </c>
      <c r="HM723" s="20">
        <v>0</v>
      </c>
      <c r="HN723" s="20">
        <v>0</v>
      </c>
      <c r="HO723" s="20">
        <v>0</v>
      </c>
      <c r="HP723" s="20">
        <v>0</v>
      </c>
      <c r="HQ723" s="20">
        <v>0</v>
      </c>
      <c r="HR723" s="20">
        <v>0</v>
      </c>
      <c r="HS723" s="20">
        <v>0</v>
      </c>
      <c r="HT723" s="19">
        <v>40</v>
      </c>
      <c r="HU723" s="19">
        <v>39</v>
      </c>
      <c r="HV723" s="19">
        <v>38</v>
      </c>
      <c r="HW723" s="19">
        <v>37</v>
      </c>
      <c r="HX723" s="19">
        <v>36</v>
      </c>
      <c r="HY723" s="19">
        <v>35</v>
      </c>
      <c r="HZ723" s="19">
        <v>34</v>
      </c>
      <c r="IA723" s="19">
        <v>33</v>
      </c>
      <c r="IB723" s="19">
        <v>32</v>
      </c>
    </row>
    <row r="724">
      <c r="A724" s="2" t="s">
        <v>4003</v>
      </c>
      <c r="B724" s="2" t="s">
        <v>279</v>
      </c>
      <c r="C724" s="2" t="s">
        <v>3991</v>
      </c>
      <c r="D724" s="2" t="s">
        <v>281</v>
      </c>
      <c r="E724" s="2" t="s">
        <v>282</v>
      </c>
      <c r="F724" s="2" t="s">
        <v>3992</v>
      </c>
      <c r="G724" s="2" t="s">
        <v>3992</v>
      </c>
      <c r="H724" s="2" t="s">
        <v>3992</v>
      </c>
      <c r="I724" s="2" t="s">
        <v>3993</v>
      </c>
      <c r="J724" s="2" t="s">
        <v>308</v>
      </c>
      <c r="K724" s="2" t="s">
        <v>452</v>
      </c>
      <c r="L724" s="3">
        <v>18.57</v>
      </c>
      <c r="M724" s="3">
        <v>19.5</v>
      </c>
      <c r="N724" s="3">
        <v>49.99</v>
      </c>
      <c r="O724" s="2" t="s">
        <v>230</v>
      </c>
      <c r="P724" s="2" t="s">
        <v>231</v>
      </c>
      <c r="Q724" s="2" t="s">
        <v>232</v>
      </c>
      <c r="R724" s="2" t="s">
        <v>233</v>
      </c>
      <c r="S724" s="2" t="s">
        <v>233</v>
      </c>
      <c r="T724" s="2" t="s">
        <v>348</v>
      </c>
      <c r="U724" s="2" t="s">
        <v>233</v>
      </c>
      <c r="V724" s="2" t="s">
        <v>236</v>
      </c>
      <c r="W724" s="2" t="s">
        <v>288</v>
      </c>
      <c r="X724" s="2" t="s">
        <v>233</v>
      </c>
      <c r="Y724" s="2" t="s">
        <v>2087</v>
      </c>
      <c r="Z724" s="4"/>
      <c r="AA724" s="4">
        <f>=ROUNDDOWN({0},0)</f>
      </c>
      <c r="AB724" s="5">
        <v>4</v>
      </c>
      <c r="AC724" s="2" t="s">
        <v>1975</v>
      </c>
      <c r="AD724" s="4">
        <v>112</v>
      </c>
      <c r="AE724" s="4">
        <v>112</v>
      </c>
      <c r="AF724" s="6">
        <v>65</v>
      </c>
      <c r="AG724" s="6"/>
      <c r="AH724" s="7">
        <v>0.3226</v>
      </c>
      <c r="AI724" s="4"/>
      <c r="AJ724" s="4">
        <f>=ROUNDDOWN({0},0)</f>
      </c>
      <c r="AK724" s="5"/>
      <c r="AL724" s="2" t="s">
        <v>233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233</v>
      </c>
      <c r="AW724" s="8" t="s">
        <v>233</v>
      </c>
      <c r="AX724" s="4" t="s">
        <v>233</v>
      </c>
      <c r="AY724" s="8" t="s">
        <v>233</v>
      </c>
      <c r="AZ724" s="7" t="s">
        <v>233</v>
      </c>
      <c r="BA724" s="7" t="s">
        <v>233</v>
      </c>
      <c r="BB724" s="7"/>
      <c r="BC724" s="4" t="s">
        <v>233</v>
      </c>
      <c r="BD724" s="8" t="s">
        <v>233</v>
      </c>
      <c r="BE724" s="4" t="s">
        <v>233</v>
      </c>
      <c r="BF724" s="8" t="s">
        <v>233</v>
      </c>
      <c r="BG724" s="7" t="s">
        <v>233</v>
      </c>
      <c r="BH724" s="7" t="s">
        <v>233</v>
      </c>
      <c r="BI724" s="7"/>
      <c r="BJ724" s="4">
        <v>11</v>
      </c>
      <c r="BK724" s="8">
        <v>230.36</v>
      </c>
      <c r="BL724" s="2" t="s">
        <v>4004</v>
      </c>
      <c r="BM724" s="7"/>
      <c r="BN724" s="7"/>
      <c r="BO724" s="4"/>
      <c r="BP724" s="8"/>
      <c r="BQ724" s="4"/>
      <c r="BR724" s="8"/>
      <c r="BS724" s="7"/>
      <c r="BT724" s="7"/>
      <c r="BU724" s="2" t="s">
        <v>3994</v>
      </c>
      <c r="BV724" s="2" t="s">
        <v>233</v>
      </c>
      <c r="BW724" s="2" t="s">
        <v>233</v>
      </c>
      <c r="BX724" s="2" t="s">
        <v>293</v>
      </c>
      <c r="BY724" s="2" t="s">
        <v>242</v>
      </c>
      <c r="BZ724" s="2" t="s">
        <v>230</v>
      </c>
      <c r="CA724" s="2" t="s">
        <v>3995</v>
      </c>
      <c r="CB724" s="2" t="s">
        <v>4005</v>
      </c>
      <c r="CC724" s="2" t="s">
        <v>245</v>
      </c>
      <c r="CD724" s="2" t="s">
        <v>233</v>
      </c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>
        <v>112</v>
      </c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>
        <v>112</v>
      </c>
      <c r="GU724" s="4">
        <v>101</v>
      </c>
      <c r="GV724" s="4">
        <v>97</v>
      </c>
      <c r="GW724" s="4">
        <v>93</v>
      </c>
      <c r="GX724" s="4">
        <v>89</v>
      </c>
      <c r="GY724" s="4">
        <v>85</v>
      </c>
      <c r="GZ724" s="4">
        <v>81</v>
      </c>
      <c r="HA724" s="4">
        <v>77</v>
      </c>
      <c r="HB724" s="4">
        <v>73</v>
      </c>
      <c r="HC724" s="20">
        <v>0</v>
      </c>
      <c r="HD724" s="20">
        <v>0</v>
      </c>
      <c r="HE724" s="20">
        <v>0</v>
      </c>
      <c r="HF724" s="20">
        <v>0</v>
      </c>
      <c r="HG724" s="20">
        <v>0</v>
      </c>
      <c r="HH724" s="20">
        <v>0</v>
      </c>
      <c r="HI724" s="20">
        <v>0</v>
      </c>
      <c r="HJ724" s="20">
        <v>0</v>
      </c>
      <c r="HK724" s="20">
        <v>0</v>
      </c>
      <c r="HL724" s="20">
        <v>0</v>
      </c>
      <c r="HM724" s="20">
        <v>0</v>
      </c>
      <c r="HN724" s="20">
        <v>0</v>
      </c>
      <c r="HO724" s="20">
        <v>0</v>
      </c>
      <c r="HP724" s="20">
        <v>0</v>
      </c>
      <c r="HQ724" s="20">
        <v>0</v>
      </c>
      <c r="HR724" s="20">
        <v>0</v>
      </c>
      <c r="HS724" s="20">
        <v>0</v>
      </c>
      <c r="HT724" s="19">
        <v>18.7</v>
      </c>
      <c r="HU724" s="19">
        <v>25.3</v>
      </c>
      <c r="HV724" s="19">
        <v>24.3</v>
      </c>
      <c r="HW724" s="19">
        <v>23.3</v>
      </c>
      <c r="HX724" s="19">
        <v>22.3</v>
      </c>
      <c r="HY724" s="19">
        <v>21.3</v>
      </c>
      <c r="HZ724" s="19">
        <v>20.3</v>
      </c>
      <c r="IA724" s="19">
        <v>19.3</v>
      </c>
      <c r="IB724" s="19">
        <v>18.3</v>
      </c>
    </row>
    <row r="725">
      <c r="A725" s="2" t="s">
        <v>4006</v>
      </c>
      <c r="B725" s="2" t="s">
        <v>279</v>
      </c>
      <c r="C725" s="2" t="s">
        <v>3991</v>
      </c>
      <c r="D725" s="2" t="s">
        <v>281</v>
      </c>
      <c r="E725" s="2" t="s">
        <v>282</v>
      </c>
      <c r="F725" s="2" t="s">
        <v>3992</v>
      </c>
      <c r="G725" s="2" t="s">
        <v>3992</v>
      </c>
      <c r="H725" s="2" t="s">
        <v>3992</v>
      </c>
      <c r="I725" s="2" t="s">
        <v>3993</v>
      </c>
      <c r="J725" s="2" t="s">
        <v>256</v>
      </c>
      <c r="K725" s="2" t="s">
        <v>266</v>
      </c>
      <c r="L725" s="3">
        <v>22.28</v>
      </c>
      <c r="M725" s="3">
        <v>23.39</v>
      </c>
      <c r="N725" s="3">
        <v>59.99</v>
      </c>
      <c r="O725" s="2" t="s">
        <v>230</v>
      </c>
      <c r="P725" s="2" t="s">
        <v>231</v>
      </c>
      <c r="Q725" s="2" t="s">
        <v>232</v>
      </c>
      <c r="R725" s="2" t="s">
        <v>233</v>
      </c>
      <c r="S725" s="2" t="s">
        <v>233</v>
      </c>
      <c r="T725" s="2" t="s">
        <v>348</v>
      </c>
      <c r="U725" s="2" t="s">
        <v>233</v>
      </c>
      <c r="V725" s="2" t="s">
        <v>236</v>
      </c>
      <c r="W725" s="2" t="s">
        <v>288</v>
      </c>
      <c r="X725" s="2" t="s">
        <v>233</v>
      </c>
      <c r="Y725" s="2" t="s">
        <v>2087</v>
      </c>
      <c r="Z725" s="4"/>
      <c r="AA725" s="4">
        <f>=ROUNDDOWN({0},0)</f>
      </c>
      <c r="AB725" s="5">
        <v>2.7</v>
      </c>
      <c r="AC725" s="2" t="s">
        <v>169</v>
      </c>
      <c r="AD725" s="4">
        <v>32</v>
      </c>
      <c r="AE725" s="4">
        <v>72</v>
      </c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233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233</v>
      </c>
      <c r="AW725" s="8" t="s">
        <v>233</v>
      </c>
      <c r="AX725" s="4" t="s">
        <v>233</v>
      </c>
      <c r="AY725" s="8" t="s">
        <v>233</v>
      </c>
      <c r="AZ725" s="7" t="s">
        <v>233</v>
      </c>
      <c r="BA725" s="7" t="s">
        <v>233</v>
      </c>
      <c r="BB725" s="7"/>
      <c r="BC725" s="4" t="s">
        <v>233</v>
      </c>
      <c r="BD725" s="8" t="s">
        <v>233</v>
      </c>
      <c r="BE725" s="4" t="s">
        <v>233</v>
      </c>
      <c r="BF725" s="8" t="s">
        <v>233</v>
      </c>
      <c r="BG725" s="7" t="s">
        <v>233</v>
      </c>
      <c r="BH725" s="7" t="s">
        <v>233</v>
      </c>
      <c r="BI725" s="7"/>
      <c r="BJ725" s="4"/>
      <c r="BK725" s="8"/>
      <c r="BL725" s="2" t="s">
        <v>233</v>
      </c>
      <c r="BM725" s="7"/>
      <c r="BN725" s="7"/>
      <c r="BO725" s="4"/>
      <c r="BP725" s="8"/>
      <c r="BQ725" s="4"/>
      <c r="BR725" s="8"/>
      <c r="BS725" s="7"/>
      <c r="BT725" s="7"/>
      <c r="BU725" s="2" t="s">
        <v>3994</v>
      </c>
      <c r="BV725" s="2" t="s">
        <v>233</v>
      </c>
      <c r="BW725" s="2" t="s">
        <v>233</v>
      </c>
      <c r="BX725" s="2" t="s">
        <v>293</v>
      </c>
      <c r="BY725" s="2" t="s">
        <v>242</v>
      </c>
      <c r="BZ725" s="2" t="s">
        <v>230</v>
      </c>
      <c r="CA725" s="2" t="s">
        <v>3995</v>
      </c>
      <c r="CB725" s="2" t="s">
        <v>4007</v>
      </c>
      <c r="CC725" s="2" t="s">
        <v>245</v>
      </c>
      <c r="CD725" s="2" t="s">
        <v>233</v>
      </c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>
        <v>32</v>
      </c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>
        <v>40</v>
      </c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>
        <v>32</v>
      </c>
      <c r="GK725" s="4">
        <v>30</v>
      </c>
      <c r="GL725" s="4">
        <v>27</v>
      </c>
      <c r="GM725" s="4">
        <v>24</v>
      </c>
      <c r="GN725" s="4">
        <v>61</v>
      </c>
      <c r="GO725" s="4">
        <v>58</v>
      </c>
      <c r="GP725" s="4">
        <v>55</v>
      </c>
      <c r="GQ725" s="4">
        <v>52</v>
      </c>
      <c r="GR725" s="4">
        <v>49</v>
      </c>
      <c r="GS725" s="4">
        <v>46</v>
      </c>
      <c r="GT725" s="4">
        <v>43</v>
      </c>
      <c r="GU725" s="4">
        <v>40</v>
      </c>
      <c r="GV725" s="4">
        <v>37</v>
      </c>
      <c r="GW725" s="4">
        <v>34</v>
      </c>
      <c r="GX725" s="4">
        <v>31</v>
      </c>
      <c r="GY725" s="4">
        <v>28</v>
      </c>
      <c r="GZ725" s="4">
        <v>25</v>
      </c>
      <c r="HA725" s="4">
        <v>22</v>
      </c>
      <c r="HB725" s="4">
        <v>19</v>
      </c>
      <c r="HC725" s="20">
        <v>0</v>
      </c>
      <c r="HD725" s="20">
        <v>0</v>
      </c>
      <c r="HE725" s="20">
        <v>0</v>
      </c>
      <c r="HF725" s="20">
        <v>0</v>
      </c>
      <c r="HG725" s="20">
        <v>0</v>
      </c>
      <c r="HH725" s="20">
        <v>0</v>
      </c>
      <c r="HI725" s="20">
        <v>0</v>
      </c>
      <c r="HJ725" s="19">
        <v>10.7</v>
      </c>
      <c r="HK725" s="19">
        <v>10</v>
      </c>
      <c r="HL725" s="19">
        <v>9</v>
      </c>
      <c r="HM725" s="19">
        <v>8</v>
      </c>
      <c r="HN725" s="19">
        <v>20.3</v>
      </c>
      <c r="HO725" s="19">
        <v>19.3</v>
      </c>
      <c r="HP725" s="19">
        <v>18.3</v>
      </c>
      <c r="HQ725" s="19">
        <v>17.3</v>
      </c>
      <c r="HR725" s="19">
        <v>16.3</v>
      </c>
      <c r="HS725" s="19">
        <v>15.3</v>
      </c>
      <c r="HT725" s="19">
        <v>14.3</v>
      </c>
      <c r="HU725" s="19">
        <v>13.3</v>
      </c>
      <c r="HV725" s="19">
        <v>12.3</v>
      </c>
      <c r="HW725" s="19">
        <v>11.3</v>
      </c>
      <c r="HX725" s="19">
        <v>10.3</v>
      </c>
      <c r="HY725" s="19">
        <v>9.3</v>
      </c>
      <c r="HZ725" s="19">
        <v>8.3</v>
      </c>
      <c r="IA725" s="19">
        <v>7.3</v>
      </c>
      <c r="IB725" s="19">
        <v>6.3</v>
      </c>
    </row>
    <row r="726">
      <c r="A726" s="2" t="s">
        <v>4008</v>
      </c>
      <c r="B726" s="2" t="s">
        <v>279</v>
      </c>
      <c r="C726" s="2" t="s">
        <v>3991</v>
      </c>
      <c r="D726" s="2" t="s">
        <v>281</v>
      </c>
      <c r="E726" s="2" t="s">
        <v>282</v>
      </c>
      <c r="F726" s="2" t="s">
        <v>3992</v>
      </c>
      <c r="G726" s="2" t="s">
        <v>3992</v>
      </c>
      <c r="H726" s="2" t="s">
        <v>3992</v>
      </c>
      <c r="I726" s="2" t="s">
        <v>3993</v>
      </c>
      <c r="J726" s="2" t="s">
        <v>308</v>
      </c>
      <c r="K726" s="2" t="s">
        <v>266</v>
      </c>
      <c r="L726" s="3">
        <v>18.57</v>
      </c>
      <c r="M726" s="3">
        <v>19.5</v>
      </c>
      <c r="N726" s="3">
        <v>49.99</v>
      </c>
      <c r="O726" s="2" t="s">
        <v>230</v>
      </c>
      <c r="P726" s="2" t="s">
        <v>231</v>
      </c>
      <c r="Q726" s="2" t="s">
        <v>232</v>
      </c>
      <c r="R726" s="2" t="s">
        <v>233</v>
      </c>
      <c r="S726" s="2" t="s">
        <v>233</v>
      </c>
      <c r="T726" s="2" t="s">
        <v>348</v>
      </c>
      <c r="U726" s="2" t="s">
        <v>233</v>
      </c>
      <c r="V726" s="2" t="s">
        <v>236</v>
      </c>
      <c r="W726" s="2" t="s">
        <v>288</v>
      </c>
      <c r="X726" s="2" t="s">
        <v>233</v>
      </c>
      <c r="Y726" s="2" t="s">
        <v>2087</v>
      </c>
      <c r="Z726" s="4">
        <v>1</v>
      </c>
      <c r="AA726" s="4">
        <f>=ROUNDDOWN(0.25,0)</f>
      </c>
      <c r="AB726" s="5">
        <v>4</v>
      </c>
      <c r="AC726" s="2" t="s">
        <v>169</v>
      </c>
      <c r="AD726" s="4">
        <v>52</v>
      </c>
      <c r="AE726" s="4">
        <v>124</v>
      </c>
      <c r="AF726" s="6">
        <v>65</v>
      </c>
      <c r="AG726" s="6"/>
      <c r="AH726" s="7">
        <v>0.1935</v>
      </c>
      <c r="AI726" s="4"/>
      <c r="AJ726" s="4">
        <f>=ROUNDDOWN({0},0)</f>
      </c>
      <c r="AK726" s="5"/>
      <c r="AL726" s="2" t="s">
        <v>233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233</v>
      </c>
      <c r="AW726" s="8" t="s">
        <v>233</v>
      </c>
      <c r="AX726" s="4" t="s">
        <v>233</v>
      </c>
      <c r="AY726" s="8" t="s">
        <v>233</v>
      </c>
      <c r="AZ726" s="7" t="s">
        <v>233</v>
      </c>
      <c r="BA726" s="7" t="s">
        <v>233</v>
      </c>
      <c r="BB726" s="7"/>
      <c r="BC726" s="4" t="s">
        <v>233</v>
      </c>
      <c r="BD726" s="8" t="s">
        <v>233</v>
      </c>
      <c r="BE726" s="4" t="s">
        <v>233</v>
      </c>
      <c r="BF726" s="8" t="s">
        <v>233</v>
      </c>
      <c r="BG726" s="7" t="s">
        <v>233</v>
      </c>
      <c r="BH726" s="7" t="s">
        <v>233</v>
      </c>
      <c r="BI726" s="7"/>
      <c r="BJ726" s="4">
        <v>11</v>
      </c>
      <c r="BK726" s="8">
        <v>228.29</v>
      </c>
      <c r="BL726" s="2" t="s">
        <v>4009</v>
      </c>
      <c r="BM726" s="7"/>
      <c r="BN726" s="7"/>
      <c r="BO726" s="4"/>
      <c r="BP726" s="8"/>
      <c r="BQ726" s="4"/>
      <c r="BR726" s="8"/>
      <c r="BS726" s="7"/>
      <c r="BT726" s="7"/>
      <c r="BU726" s="2" t="s">
        <v>3994</v>
      </c>
      <c r="BV726" s="2" t="s">
        <v>233</v>
      </c>
      <c r="BW726" s="2" t="s">
        <v>233</v>
      </c>
      <c r="BX726" s="2" t="s">
        <v>293</v>
      </c>
      <c r="BY726" s="2" t="s">
        <v>242</v>
      </c>
      <c r="BZ726" s="2" t="s">
        <v>230</v>
      </c>
      <c r="CA726" s="2" t="s">
        <v>3995</v>
      </c>
      <c r="CB726" s="2" t="s">
        <v>2672</v>
      </c>
      <c r="CC726" s="2" t="s">
        <v>245</v>
      </c>
      <c r="CD726" s="2" t="s">
        <v>233</v>
      </c>
      <c r="CE726" s="4">
        <v>1</v>
      </c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>
        <v>52</v>
      </c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>
        <v>72</v>
      </c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>
        <v>1</v>
      </c>
      <c r="GD726" s="4"/>
      <c r="GE726" s="4"/>
      <c r="GF726" s="4"/>
      <c r="GG726" s="4"/>
      <c r="GH726" s="4"/>
      <c r="GI726" s="4"/>
      <c r="GJ726" s="4">
        <v>52</v>
      </c>
      <c r="GK726" s="4">
        <v>49</v>
      </c>
      <c r="GL726" s="4">
        <v>45</v>
      </c>
      <c r="GM726" s="4">
        <v>41</v>
      </c>
      <c r="GN726" s="4">
        <v>109</v>
      </c>
      <c r="GO726" s="4">
        <v>105</v>
      </c>
      <c r="GP726" s="4">
        <v>101</v>
      </c>
      <c r="GQ726" s="4">
        <v>97</v>
      </c>
      <c r="GR726" s="4">
        <v>93</v>
      </c>
      <c r="GS726" s="4">
        <v>89</v>
      </c>
      <c r="GT726" s="4">
        <v>85</v>
      </c>
      <c r="GU726" s="4">
        <v>81</v>
      </c>
      <c r="GV726" s="4">
        <v>77</v>
      </c>
      <c r="GW726" s="4">
        <v>73</v>
      </c>
      <c r="GX726" s="4">
        <v>69</v>
      </c>
      <c r="GY726" s="4">
        <v>65</v>
      </c>
      <c r="GZ726" s="4">
        <v>61</v>
      </c>
      <c r="HA726" s="4">
        <v>57</v>
      </c>
      <c r="HB726" s="4">
        <v>53</v>
      </c>
      <c r="HC726" s="19">
        <v>0.1</v>
      </c>
      <c r="HD726" s="20">
        <v>0</v>
      </c>
      <c r="HE726" s="20">
        <v>0</v>
      </c>
      <c r="HF726" s="20">
        <v>0</v>
      </c>
      <c r="HG726" s="20">
        <v>0</v>
      </c>
      <c r="HH726" s="20">
        <v>0</v>
      </c>
      <c r="HI726" s="20">
        <v>0</v>
      </c>
      <c r="HJ726" s="19">
        <v>13</v>
      </c>
      <c r="HK726" s="19">
        <v>12.3</v>
      </c>
      <c r="HL726" s="19">
        <v>11.3</v>
      </c>
      <c r="HM726" s="19">
        <v>10.3</v>
      </c>
      <c r="HN726" s="19">
        <v>27.3</v>
      </c>
      <c r="HO726" s="19">
        <v>26.3</v>
      </c>
      <c r="HP726" s="19">
        <v>25.3</v>
      </c>
      <c r="HQ726" s="19">
        <v>24.3</v>
      </c>
      <c r="HR726" s="19">
        <v>23.3</v>
      </c>
      <c r="HS726" s="19">
        <v>22.3</v>
      </c>
      <c r="HT726" s="19">
        <v>21.3</v>
      </c>
      <c r="HU726" s="19">
        <v>20.3</v>
      </c>
      <c r="HV726" s="19">
        <v>19.3</v>
      </c>
      <c r="HW726" s="19">
        <v>18.3</v>
      </c>
      <c r="HX726" s="19">
        <v>17.3</v>
      </c>
      <c r="HY726" s="19">
        <v>16.3</v>
      </c>
      <c r="HZ726" s="19">
        <v>15.3</v>
      </c>
      <c r="IA726" s="19">
        <v>14.3</v>
      </c>
      <c r="IB726" s="19">
        <v>13.3</v>
      </c>
    </row>
    <row r="727">
      <c r="A727" s="2" t="s">
        <v>4010</v>
      </c>
      <c r="B727" s="2" t="s">
        <v>811</v>
      </c>
      <c r="C727" s="2" t="s">
        <v>762</v>
      </c>
      <c r="D727" s="2" t="s">
        <v>813</v>
      </c>
      <c r="E727" s="2" t="s">
        <v>814</v>
      </c>
      <c r="F727" s="2" t="s">
        <v>4011</v>
      </c>
      <c r="G727" s="2" t="s">
        <v>4011</v>
      </c>
      <c r="H727" s="2" t="s">
        <v>4011</v>
      </c>
      <c r="I727" s="2" t="s">
        <v>4012</v>
      </c>
      <c r="J727" s="2" t="s">
        <v>741</v>
      </c>
      <c r="K727" s="2" t="s">
        <v>4013</v>
      </c>
      <c r="L727" s="3">
        <v>78.14</v>
      </c>
      <c r="M727" s="3">
        <v>82.05</v>
      </c>
      <c r="N727" s="3">
        <v>179.99</v>
      </c>
      <c r="O727" s="2" t="s">
        <v>230</v>
      </c>
      <c r="P727" s="2" t="s">
        <v>231</v>
      </c>
      <c r="Q727" s="2" t="s">
        <v>232</v>
      </c>
      <c r="R727" s="2" t="s">
        <v>233</v>
      </c>
      <c r="S727" s="2" t="s">
        <v>233</v>
      </c>
      <c r="T727" s="2" t="s">
        <v>233</v>
      </c>
      <c r="U727" s="2" t="s">
        <v>329</v>
      </c>
      <c r="V727" s="2" t="s">
        <v>609</v>
      </c>
      <c r="W727" s="2" t="s">
        <v>233</v>
      </c>
      <c r="X727" s="2" t="s">
        <v>233</v>
      </c>
      <c r="Y727" s="2" t="s">
        <v>4014</v>
      </c>
      <c r="Z727" s="4">
        <v>32</v>
      </c>
      <c r="AA727" s="4">
        <f>=ROUNDDOWN(16,0)</f>
      </c>
      <c r="AB727" s="5">
        <v>2</v>
      </c>
      <c r="AC727" s="2" t="s">
        <v>174</v>
      </c>
      <c r="AD727" s="4">
        <v>50</v>
      </c>
      <c r="AE727" s="4">
        <v>100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233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/>
      <c r="BD727" s="8"/>
      <c r="BE727" s="4"/>
      <c r="BF727" s="8"/>
      <c r="BG727" s="7"/>
      <c r="BH727" s="7"/>
      <c r="BI727" s="7"/>
      <c r="BJ727" s="4">
        <v>7</v>
      </c>
      <c r="BK727" s="8">
        <v>615.75</v>
      </c>
      <c r="BL727" s="2" t="s">
        <v>4015</v>
      </c>
      <c r="BM727" s="7"/>
      <c r="BN727" s="7"/>
      <c r="BO727" s="4"/>
      <c r="BP727" s="8"/>
      <c r="BQ727" s="4"/>
      <c r="BR727" s="8"/>
      <c r="BS727" s="7"/>
      <c r="BT727" s="7"/>
      <c r="BU727" s="2" t="s">
        <v>4016</v>
      </c>
      <c r="BV727" s="2" t="s">
        <v>233</v>
      </c>
      <c r="BW727" s="2" t="s">
        <v>233</v>
      </c>
      <c r="BX727" s="2" t="s">
        <v>241</v>
      </c>
      <c r="BY727" s="2" t="s">
        <v>242</v>
      </c>
      <c r="BZ727" s="2" t="s">
        <v>230</v>
      </c>
      <c r="CA727" s="2" t="s">
        <v>4017</v>
      </c>
      <c r="CB727" s="2" t="s">
        <v>2357</v>
      </c>
      <c r="CC727" s="2" t="s">
        <v>245</v>
      </c>
      <c r="CD727" s="2" t="s">
        <v>233</v>
      </c>
      <c r="CE727" s="4"/>
      <c r="CF727" s="4">
        <v>32</v>
      </c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>
        <v>50</v>
      </c>
      <c r="EK727" s="4"/>
      <c r="EL727" s="4"/>
      <c r="EM727" s="4"/>
      <c r="EN727" s="4"/>
      <c r="EO727" s="4"/>
      <c r="EP727" s="4"/>
      <c r="EQ727" s="4"/>
      <c r="ER727" s="4"/>
      <c r="ES727" s="4"/>
      <c r="ET727" s="4">
        <v>50</v>
      </c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>
        <v>32</v>
      </c>
      <c r="GD727" s="4">
        <v>30</v>
      </c>
      <c r="GE727" s="4">
        <v>28</v>
      </c>
      <c r="GF727" s="4">
        <v>25</v>
      </c>
      <c r="GG727" s="4">
        <v>23</v>
      </c>
      <c r="GH727" s="4">
        <v>21</v>
      </c>
      <c r="GI727" s="4">
        <v>18</v>
      </c>
      <c r="GJ727" s="4">
        <v>16</v>
      </c>
      <c r="GK727" s="4">
        <v>64</v>
      </c>
      <c r="GL727" s="4">
        <v>62</v>
      </c>
      <c r="GM727" s="4">
        <v>110</v>
      </c>
      <c r="GN727" s="4">
        <v>108</v>
      </c>
      <c r="GO727" s="4">
        <v>106</v>
      </c>
      <c r="GP727" s="4">
        <v>104</v>
      </c>
      <c r="GQ727" s="4">
        <v>102</v>
      </c>
      <c r="GR727" s="4">
        <v>100</v>
      </c>
      <c r="GS727" s="4">
        <v>98</v>
      </c>
      <c r="GT727" s="4">
        <v>96</v>
      </c>
      <c r="GU727" s="4">
        <v>94</v>
      </c>
      <c r="GV727" s="4">
        <v>92</v>
      </c>
      <c r="GW727" s="4">
        <v>90</v>
      </c>
      <c r="GX727" s="4">
        <v>88</v>
      </c>
      <c r="GY727" s="4">
        <v>86</v>
      </c>
      <c r="GZ727" s="4">
        <v>84</v>
      </c>
      <c r="HA727" s="4">
        <v>82</v>
      </c>
      <c r="HB727" s="4">
        <v>80</v>
      </c>
      <c r="HC727" s="19">
        <v>16</v>
      </c>
      <c r="HD727" s="19">
        <v>15</v>
      </c>
      <c r="HE727" s="19">
        <v>14</v>
      </c>
      <c r="HF727" s="19">
        <v>12.5</v>
      </c>
      <c r="HG727" s="19">
        <v>11.5</v>
      </c>
      <c r="HH727" s="19">
        <v>10.5</v>
      </c>
      <c r="HI727" s="19">
        <v>9</v>
      </c>
      <c r="HJ727" s="19">
        <v>8</v>
      </c>
      <c r="HK727" s="19">
        <v>32</v>
      </c>
      <c r="HL727" s="19">
        <v>31</v>
      </c>
      <c r="HM727" s="19">
        <v>55</v>
      </c>
      <c r="HN727" s="19">
        <v>54</v>
      </c>
      <c r="HO727" s="19">
        <v>53</v>
      </c>
      <c r="HP727" s="19">
        <v>52</v>
      </c>
      <c r="HQ727" s="19">
        <v>51</v>
      </c>
      <c r="HR727" s="19">
        <v>50</v>
      </c>
      <c r="HS727" s="19">
        <v>49</v>
      </c>
      <c r="HT727" s="19">
        <v>48</v>
      </c>
      <c r="HU727" s="19">
        <v>47</v>
      </c>
      <c r="HV727" s="19">
        <v>46</v>
      </c>
      <c r="HW727" s="19">
        <v>45</v>
      </c>
      <c r="HX727" s="19">
        <v>44</v>
      </c>
      <c r="HY727" s="19">
        <v>43</v>
      </c>
      <c r="HZ727" s="19">
        <v>42</v>
      </c>
      <c r="IA727" s="19">
        <v>41</v>
      </c>
      <c r="IB727" s="19">
        <v>40</v>
      </c>
    </row>
    <row r="728">
      <c r="A728" s="2" t="s">
        <v>4018</v>
      </c>
      <c r="B728" s="2" t="s">
        <v>761</v>
      </c>
      <c r="C728" s="2" t="s">
        <v>280</v>
      </c>
      <c r="D728" s="2" t="s">
        <v>763</v>
      </c>
      <c r="E728" s="2" t="s">
        <v>2109</v>
      </c>
      <c r="F728" s="2" t="s">
        <v>4019</v>
      </c>
      <c r="G728" s="2" t="s">
        <v>4020</v>
      </c>
      <c r="H728" s="2" t="s">
        <v>4021</v>
      </c>
      <c r="I728" s="2" t="s">
        <v>2109</v>
      </c>
      <c r="J728" s="2" t="s">
        <v>741</v>
      </c>
      <c r="K728" s="2" t="s">
        <v>4022</v>
      </c>
      <c r="L728" s="3">
        <v>80</v>
      </c>
      <c r="M728" s="3">
        <v>84</v>
      </c>
      <c r="N728" s="3">
        <v>169</v>
      </c>
      <c r="O728" s="2" t="s">
        <v>230</v>
      </c>
      <c r="P728" s="2" t="s">
        <v>721</v>
      </c>
      <c r="Q728" s="2" t="s">
        <v>232</v>
      </c>
      <c r="R728" s="2" t="s">
        <v>233</v>
      </c>
      <c r="S728" s="2" t="s">
        <v>233</v>
      </c>
      <c r="T728" s="2" t="s">
        <v>233</v>
      </c>
      <c r="U728" s="2" t="s">
        <v>329</v>
      </c>
      <c r="V728" s="2" t="s">
        <v>236</v>
      </c>
      <c r="W728" s="2" t="s">
        <v>620</v>
      </c>
      <c r="X728" s="2" t="s">
        <v>877</v>
      </c>
      <c r="Y728" s="2" t="s">
        <v>4023</v>
      </c>
      <c r="Z728" s="4">
        <v>450</v>
      </c>
      <c r="AA728" s="4">
        <f>=ROUNDDOWN(45,0)</f>
      </c>
      <c r="AB728" s="5">
        <v>10</v>
      </c>
      <c r="AC728" s="2" t="s">
        <v>233</v>
      </c>
      <c r="AD728" s="4"/>
      <c r="AE728" s="4"/>
      <c r="AF728" s="6">
        <v>66</v>
      </c>
      <c r="AG728" s="6"/>
      <c r="AH728" s="7">
        <v>1</v>
      </c>
      <c r="AI728" s="4"/>
      <c r="AJ728" s="4">
        <f>=ROUNDDOWN({0},0)</f>
      </c>
      <c r="AK728" s="5"/>
      <c r="AL728" s="2" t="s">
        <v>233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/>
      <c r="BD728" s="8"/>
      <c r="BE728" s="4"/>
      <c r="BF728" s="8"/>
      <c r="BG728" s="7"/>
      <c r="BH728" s="7"/>
      <c r="BI728" s="7"/>
      <c r="BJ728" s="4">
        <v>42</v>
      </c>
      <c r="BK728" s="8">
        <v>3605.36</v>
      </c>
      <c r="BL728" s="2" t="s">
        <v>4024</v>
      </c>
      <c r="BM728" s="7"/>
      <c r="BN728" s="7"/>
      <c r="BO728" s="4"/>
      <c r="BP728" s="8"/>
      <c r="BQ728" s="4"/>
      <c r="BR728" s="8"/>
      <c r="BS728" s="7"/>
      <c r="BT728" s="7"/>
      <c r="BU728" s="2" t="s">
        <v>4025</v>
      </c>
      <c r="BV728" s="2" t="s">
        <v>233</v>
      </c>
      <c r="BW728" s="2" t="s">
        <v>233</v>
      </c>
      <c r="BX728" s="2" t="s">
        <v>241</v>
      </c>
      <c r="BY728" s="2" t="s">
        <v>242</v>
      </c>
      <c r="BZ728" s="2" t="s">
        <v>230</v>
      </c>
      <c r="CA728" s="2" t="s">
        <v>4023</v>
      </c>
      <c r="CB728" s="2" t="s">
        <v>1583</v>
      </c>
      <c r="CC728" s="2" t="s">
        <v>245</v>
      </c>
      <c r="CD728" s="2" t="s">
        <v>233</v>
      </c>
      <c r="CE728" s="4"/>
      <c r="CF728" s="4">
        <v>450</v>
      </c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>
        <v>108</v>
      </c>
      <c r="GX728" s="4">
        <v>99</v>
      </c>
      <c r="GY728" s="4">
        <v>90</v>
      </c>
      <c r="GZ728" s="4">
        <v>80</v>
      </c>
      <c r="HA728" s="4">
        <v>70</v>
      </c>
      <c r="HB728" s="4">
        <v>60</v>
      </c>
      <c r="HC728" s="20">
        <v>0</v>
      </c>
      <c r="HD728" s="20">
        <v>0</v>
      </c>
      <c r="HE728" s="20">
        <v>0</v>
      </c>
      <c r="HF728" s="20">
        <v>0</v>
      </c>
      <c r="HG728" s="20">
        <v>0</v>
      </c>
      <c r="HH728" s="20">
        <v>0</v>
      </c>
      <c r="HI728" s="20">
        <v>0</v>
      </c>
      <c r="HJ728" s="20">
        <v>0</v>
      </c>
      <c r="HK728" s="20">
        <v>0</v>
      </c>
      <c r="HL728" s="20">
        <v>0</v>
      </c>
      <c r="HM728" s="20">
        <v>0</v>
      </c>
      <c r="HN728" s="20">
        <v>0</v>
      </c>
      <c r="HO728" s="20">
        <v>0</v>
      </c>
      <c r="HP728" s="20">
        <v>0</v>
      </c>
      <c r="HQ728" s="20">
        <v>0</v>
      </c>
      <c r="HR728" s="20">
        <v>0</v>
      </c>
      <c r="HS728" s="20">
        <v>0</v>
      </c>
      <c r="HT728" s="20">
        <v>0</v>
      </c>
      <c r="HU728" s="20">
        <v>0</v>
      </c>
      <c r="HV728" s="20">
        <v>0</v>
      </c>
      <c r="HW728" s="19">
        <v>10.8</v>
      </c>
      <c r="HX728" s="19">
        <v>9.9</v>
      </c>
      <c r="HY728" s="19">
        <v>9</v>
      </c>
      <c r="HZ728" s="19">
        <v>8</v>
      </c>
      <c r="IA728" s="19">
        <v>7</v>
      </c>
      <c r="IB728" s="19">
        <v>6</v>
      </c>
    </row>
    <row r="729">
      <c r="A729" s="2" t="s">
        <v>4026</v>
      </c>
      <c r="B729" s="2" t="s">
        <v>761</v>
      </c>
      <c r="C729" s="2" t="s">
        <v>280</v>
      </c>
      <c r="D729" s="2" t="s">
        <v>1531</v>
      </c>
      <c r="E729" s="2" t="s">
        <v>1532</v>
      </c>
      <c r="F729" s="2" t="s">
        <v>4027</v>
      </c>
      <c r="G729" s="2" t="s">
        <v>4028</v>
      </c>
      <c r="H729" s="2" t="s">
        <v>4029</v>
      </c>
      <c r="I729" s="2" t="s">
        <v>1536</v>
      </c>
      <c r="J729" s="2" t="s">
        <v>741</v>
      </c>
      <c r="K729" s="2" t="s">
        <v>1157</v>
      </c>
      <c r="L729" s="3">
        <v>178.2</v>
      </c>
      <c r="M729" s="3">
        <v>187.11</v>
      </c>
      <c r="N729" s="3">
        <v>379</v>
      </c>
      <c r="O729" s="2" t="s">
        <v>230</v>
      </c>
      <c r="P729" s="2" t="s">
        <v>721</v>
      </c>
      <c r="Q729" s="2" t="s">
        <v>232</v>
      </c>
      <c r="R729" s="2" t="s">
        <v>233</v>
      </c>
      <c r="S729" s="2" t="s">
        <v>4030</v>
      </c>
      <c r="T729" s="2" t="s">
        <v>233</v>
      </c>
      <c r="U729" s="2" t="s">
        <v>329</v>
      </c>
      <c r="V729" s="2" t="s">
        <v>236</v>
      </c>
      <c r="W729" s="2" t="s">
        <v>712</v>
      </c>
      <c r="X729" s="2" t="s">
        <v>233</v>
      </c>
      <c r="Y729" s="2" t="s">
        <v>4031</v>
      </c>
      <c r="Z729" s="4">
        <v>168</v>
      </c>
      <c r="AA729" s="4">
        <f>=ROUNDDOWN(42,0)</f>
      </c>
      <c r="AB729" s="5">
        <v>4</v>
      </c>
      <c r="AC729" s="2" t="s">
        <v>233</v>
      </c>
      <c r="AD729" s="4"/>
      <c r="AE729" s="4"/>
      <c r="AF729" s="6">
        <v>66</v>
      </c>
      <c r="AG729" s="6">
        <v>49</v>
      </c>
      <c r="AH729" s="7">
        <v>1</v>
      </c>
      <c r="AI729" s="4"/>
      <c r="AJ729" s="4">
        <f>=ROUNDDOWN({0},0)</f>
      </c>
      <c r="AK729" s="5"/>
      <c r="AL729" s="2" t="s">
        <v>233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/>
      <c r="BD729" s="8"/>
      <c r="BE729" s="4"/>
      <c r="BF729" s="8"/>
      <c r="BG729" s="7"/>
      <c r="BH729" s="7"/>
      <c r="BI729" s="7"/>
      <c r="BJ729" s="4">
        <v>18</v>
      </c>
      <c r="BK729" s="8">
        <v>2925.85</v>
      </c>
      <c r="BL729" s="2" t="s">
        <v>2608</v>
      </c>
      <c r="BM729" s="7"/>
      <c r="BN729" s="7"/>
      <c r="BO729" s="4"/>
      <c r="BP729" s="8"/>
      <c r="BQ729" s="4"/>
      <c r="BR729" s="8"/>
      <c r="BS729" s="7"/>
      <c r="BT729" s="7"/>
      <c r="BU729" s="2" t="s">
        <v>4032</v>
      </c>
      <c r="BV729" s="2" t="s">
        <v>233</v>
      </c>
      <c r="BW729" s="2" t="s">
        <v>233</v>
      </c>
      <c r="BX729" s="2" t="s">
        <v>241</v>
      </c>
      <c r="BY729" s="2" t="s">
        <v>242</v>
      </c>
      <c r="BZ729" s="2" t="s">
        <v>230</v>
      </c>
      <c r="CA729" s="2" t="s">
        <v>668</v>
      </c>
      <c r="CB729" s="2" t="s">
        <v>687</v>
      </c>
      <c r="CC729" s="2" t="s">
        <v>245</v>
      </c>
      <c r="CD729" s="2" t="s">
        <v>233</v>
      </c>
      <c r="CE729" s="4"/>
      <c r="CF729" s="4">
        <v>168</v>
      </c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>
        <v>170</v>
      </c>
      <c r="GD729" s="4">
        <v>165</v>
      </c>
      <c r="GE729" s="4">
        <v>159</v>
      </c>
      <c r="GF729" s="4">
        <v>154</v>
      </c>
      <c r="GG729" s="4">
        <v>146</v>
      </c>
      <c r="GH729" s="4">
        <v>128</v>
      </c>
      <c r="GI729" s="4">
        <v>124</v>
      </c>
      <c r="GJ729" s="4">
        <v>122</v>
      </c>
      <c r="GK729" s="4">
        <v>120</v>
      </c>
      <c r="GL729" s="4">
        <v>116</v>
      </c>
      <c r="GM729" s="4">
        <v>113</v>
      </c>
      <c r="GN729" s="4">
        <v>109</v>
      </c>
      <c r="GO729" s="4">
        <v>106</v>
      </c>
      <c r="GP729" s="4">
        <v>103</v>
      </c>
      <c r="GQ729" s="4">
        <v>99</v>
      </c>
      <c r="GR729" s="4">
        <v>95</v>
      </c>
      <c r="GS729" s="4">
        <v>91</v>
      </c>
      <c r="GT729" s="4">
        <v>86</v>
      </c>
      <c r="GU729" s="4">
        <v>83</v>
      </c>
      <c r="GV729" s="4">
        <v>79</v>
      </c>
      <c r="GW729" s="4">
        <v>75</v>
      </c>
      <c r="GX729" s="4">
        <v>71</v>
      </c>
      <c r="GY729" s="4">
        <v>67</v>
      </c>
      <c r="GZ729" s="4">
        <v>63</v>
      </c>
      <c r="HA729" s="4">
        <v>59</v>
      </c>
      <c r="HB729" s="4">
        <v>55</v>
      </c>
      <c r="HC729" s="19">
        <v>14.2</v>
      </c>
      <c r="HD729" s="19">
        <v>9.2</v>
      </c>
      <c r="HE729" s="19">
        <v>8.9</v>
      </c>
      <c r="HF729" s="19">
        <v>9.7</v>
      </c>
      <c r="HG729" s="19">
        <v>12.2</v>
      </c>
      <c r="HH729" s="19">
        <v>21.4</v>
      </c>
      <c r="HI729" s="19">
        <v>20.7</v>
      </c>
      <c r="HJ729" s="19">
        <v>20.4</v>
      </c>
      <c r="HK729" s="19">
        <v>15</v>
      </c>
      <c r="HL729" s="19">
        <v>19.4</v>
      </c>
      <c r="HM729" s="19">
        <v>14.2</v>
      </c>
      <c r="HN729" s="19">
        <v>13.7</v>
      </c>
      <c r="HO729" s="19">
        <v>13.3</v>
      </c>
      <c r="HP729" s="19">
        <v>12.9</v>
      </c>
      <c r="HQ729" s="19">
        <v>12.4</v>
      </c>
      <c r="HR729" s="19">
        <v>11.9</v>
      </c>
      <c r="HS729" s="19">
        <v>11.4</v>
      </c>
      <c r="HT729" s="19">
        <v>10.8</v>
      </c>
      <c r="HU729" s="19">
        <v>10.4</v>
      </c>
      <c r="HV729" s="19">
        <v>9.9</v>
      </c>
      <c r="HW729" s="19">
        <v>9.4</v>
      </c>
      <c r="HX729" s="19">
        <v>8.9</v>
      </c>
      <c r="HY729" s="19">
        <v>8.4</v>
      </c>
      <c r="HZ729" s="19">
        <v>7.9</v>
      </c>
      <c r="IA729" s="19">
        <v>7.4</v>
      </c>
      <c r="IB729" s="19">
        <v>6.9</v>
      </c>
    </row>
    <row r="730">
      <c r="A730" s="2" t="s">
        <v>4033</v>
      </c>
      <c r="B730" s="2" t="s">
        <v>773</v>
      </c>
      <c r="C730" s="2" t="s">
        <v>1411</v>
      </c>
      <c r="D730" s="2" t="s">
        <v>261</v>
      </c>
      <c r="E730" s="2" t="s">
        <v>895</v>
      </c>
      <c r="F730" s="2" t="s">
        <v>4034</v>
      </c>
      <c r="G730" s="2" t="s">
        <v>4035</v>
      </c>
      <c r="H730" s="2" t="s">
        <v>4035</v>
      </c>
      <c r="I730" s="2" t="s">
        <v>4036</v>
      </c>
      <c r="J730" s="2" t="s">
        <v>1052</v>
      </c>
      <c r="K730" s="2" t="s">
        <v>434</v>
      </c>
      <c r="L730" s="3">
        <v>28.47</v>
      </c>
      <c r="M730" s="3">
        <v>29.89</v>
      </c>
      <c r="N730" s="3">
        <v>59.99</v>
      </c>
      <c r="O730" s="2" t="s">
        <v>230</v>
      </c>
      <c r="P730" s="2" t="s">
        <v>231</v>
      </c>
      <c r="Q730" s="2" t="s">
        <v>232</v>
      </c>
      <c r="R730" s="2" t="s">
        <v>233</v>
      </c>
      <c r="S730" s="2" t="s">
        <v>4037</v>
      </c>
      <c r="T730" s="2" t="s">
        <v>780</v>
      </c>
      <c r="U730" s="2" t="s">
        <v>711</v>
      </c>
      <c r="V730" s="2" t="s">
        <v>236</v>
      </c>
      <c r="W730" s="2" t="s">
        <v>288</v>
      </c>
      <c r="X730" s="2" t="s">
        <v>620</v>
      </c>
      <c r="Y730" s="2" t="s">
        <v>4038</v>
      </c>
      <c r="Z730" s="4">
        <v>434</v>
      </c>
      <c r="AA730" s="4">
        <f>=ROUNDDOWN(62,0)</f>
      </c>
      <c r="AB730" s="5">
        <v>7</v>
      </c>
      <c r="AC730" s="2" t="s">
        <v>139</v>
      </c>
      <c r="AD730" s="4">
        <v>60</v>
      </c>
      <c r="AE730" s="4">
        <v>350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233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233</v>
      </c>
      <c r="AW730" s="8" t="s">
        <v>233</v>
      </c>
      <c r="AX730" s="4" t="s">
        <v>233</v>
      </c>
      <c r="AY730" s="8" t="s">
        <v>233</v>
      </c>
      <c r="AZ730" s="7" t="s">
        <v>233</v>
      </c>
      <c r="BA730" s="7" t="s">
        <v>233</v>
      </c>
      <c r="BB730" s="7"/>
      <c r="BC730" s="4" t="s">
        <v>233</v>
      </c>
      <c r="BD730" s="8" t="s">
        <v>233</v>
      </c>
      <c r="BE730" s="4" t="s">
        <v>233</v>
      </c>
      <c r="BF730" s="8" t="s">
        <v>233</v>
      </c>
      <c r="BG730" s="7" t="s">
        <v>233</v>
      </c>
      <c r="BH730" s="7" t="s">
        <v>233</v>
      </c>
      <c r="BI730" s="7"/>
      <c r="BJ730" s="4">
        <v>55</v>
      </c>
      <c r="BK730" s="8">
        <v>1628.09</v>
      </c>
      <c r="BL730" s="2" t="s">
        <v>4039</v>
      </c>
      <c r="BM730" s="7"/>
      <c r="BN730" s="7"/>
      <c r="BO730" s="4"/>
      <c r="BP730" s="8"/>
      <c r="BQ730" s="4"/>
      <c r="BR730" s="8"/>
      <c r="BS730" s="7"/>
      <c r="BT730" s="7"/>
      <c r="BU730" s="2" t="s">
        <v>4040</v>
      </c>
      <c r="BV730" s="2" t="s">
        <v>233</v>
      </c>
      <c r="BW730" s="2" t="s">
        <v>233</v>
      </c>
      <c r="BX730" s="2" t="s">
        <v>624</v>
      </c>
      <c r="BY730" s="2" t="s">
        <v>242</v>
      </c>
      <c r="BZ730" s="2" t="s">
        <v>230</v>
      </c>
      <c r="CA730" s="2" t="s">
        <v>2726</v>
      </c>
      <c r="CB730" s="2" t="s">
        <v>4041</v>
      </c>
      <c r="CC730" s="2" t="s">
        <v>245</v>
      </c>
      <c r="CD730" s="2" t="s">
        <v>233</v>
      </c>
      <c r="CE730" s="4">
        <v>434</v>
      </c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>
        <v>60</v>
      </c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>
        <v>60</v>
      </c>
      <c r="DO730" s="4"/>
      <c r="DP730" s="4"/>
      <c r="DQ730" s="4"/>
      <c r="DR730" s="4"/>
      <c r="DS730" s="4"/>
      <c r="DT730" s="4"/>
      <c r="DU730" s="4">
        <v>150</v>
      </c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>
        <v>80</v>
      </c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>
        <v>442</v>
      </c>
      <c r="GD730" s="4">
        <v>338</v>
      </c>
      <c r="GE730" s="4">
        <v>373</v>
      </c>
      <c r="GF730" s="4">
        <v>346</v>
      </c>
      <c r="GG730" s="4">
        <v>351</v>
      </c>
      <c r="GH730" s="4">
        <v>468</v>
      </c>
      <c r="GI730" s="4">
        <v>434</v>
      </c>
      <c r="GJ730" s="4">
        <v>413</v>
      </c>
      <c r="GK730" s="4">
        <v>399</v>
      </c>
      <c r="GL730" s="4">
        <v>388</v>
      </c>
      <c r="GM730" s="4">
        <v>376</v>
      </c>
      <c r="GN730" s="4">
        <v>365</v>
      </c>
      <c r="GO730" s="4">
        <v>357</v>
      </c>
      <c r="GP730" s="4">
        <v>349</v>
      </c>
      <c r="GQ730" s="4">
        <v>341</v>
      </c>
      <c r="GR730" s="4">
        <v>413</v>
      </c>
      <c r="GS730" s="4">
        <v>405</v>
      </c>
      <c r="GT730" s="4">
        <v>396</v>
      </c>
      <c r="GU730" s="4">
        <v>388</v>
      </c>
      <c r="GV730" s="4">
        <v>382</v>
      </c>
      <c r="GW730" s="4">
        <v>376</v>
      </c>
      <c r="GX730" s="4">
        <v>371</v>
      </c>
      <c r="GY730" s="4">
        <v>366</v>
      </c>
      <c r="GZ730" s="4">
        <v>361</v>
      </c>
      <c r="HA730" s="4">
        <v>356</v>
      </c>
      <c r="HB730" s="4">
        <v>350</v>
      </c>
      <c r="HC730" s="19">
        <v>8.3</v>
      </c>
      <c r="HD730" s="19">
        <v>9.7</v>
      </c>
      <c r="HE730" s="19">
        <v>10.1</v>
      </c>
      <c r="HF730" s="19">
        <v>9.6</v>
      </c>
      <c r="HG730" s="19">
        <v>13.5</v>
      </c>
      <c r="HH730" s="19">
        <v>23.4</v>
      </c>
      <c r="HI730" s="19">
        <v>31</v>
      </c>
      <c r="HJ730" s="19">
        <v>34.4</v>
      </c>
      <c r="HK730" s="19">
        <v>39.9</v>
      </c>
      <c r="HL730" s="19">
        <v>38.8</v>
      </c>
      <c r="HM730" s="19">
        <v>41.8</v>
      </c>
      <c r="HN730" s="19">
        <v>45.6</v>
      </c>
      <c r="HO730" s="19">
        <v>44.6</v>
      </c>
      <c r="HP730" s="19">
        <v>43.6</v>
      </c>
      <c r="HQ730" s="19">
        <v>42.6</v>
      </c>
      <c r="HR730" s="19">
        <v>51.6</v>
      </c>
      <c r="HS730" s="19">
        <v>57.9</v>
      </c>
      <c r="HT730" s="19">
        <v>66</v>
      </c>
      <c r="HU730" s="19">
        <v>64.7</v>
      </c>
      <c r="HV730" s="19">
        <v>76.4</v>
      </c>
      <c r="HW730" s="19">
        <v>75.2</v>
      </c>
      <c r="HX730" s="19">
        <v>74.2</v>
      </c>
      <c r="HY730" s="19">
        <v>61</v>
      </c>
      <c r="HZ730" s="19">
        <v>60.2</v>
      </c>
      <c r="IA730" s="19">
        <v>59.3</v>
      </c>
      <c r="IB730" s="19">
        <v>58.3</v>
      </c>
    </row>
    <row r="731">
      <c r="A731" s="2" t="s">
        <v>4042</v>
      </c>
      <c r="B731" s="2" t="s">
        <v>773</v>
      </c>
      <c r="C731" s="2" t="s">
        <v>1411</v>
      </c>
      <c r="D731" s="2" t="s">
        <v>261</v>
      </c>
      <c r="E731" s="2" t="s">
        <v>895</v>
      </c>
      <c r="F731" s="2" t="s">
        <v>4034</v>
      </c>
      <c r="G731" s="2" t="s">
        <v>4035</v>
      </c>
      <c r="H731" s="2" t="s">
        <v>4035</v>
      </c>
      <c r="I731" s="2" t="s">
        <v>4036</v>
      </c>
      <c r="J731" s="2" t="s">
        <v>265</v>
      </c>
      <c r="K731" s="2" t="s">
        <v>434</v>
      </c>
      <c r="L731" s="3">
        <v>37.23</v>
      </c>
      <c r="M731" s="3">
        <v>39.09</v>
      </c>
      <c r="N731" s="3">
        <v>79.99</v>
      </c>
      <c r="O731" s="2" t="s">
        <v>230</v>
      </c>
      <c r="P731" s="2" t="s">
        <v>231</v>
      </c>
      <c r="Q731" s="2" t="s">
        <v>232</v>
      </c>
      <c r="R731" s="2" t="s">
        <v>233</v>
      </c>
      <c r="S731" s="2" t="s">
        <v>4037</v>
      </c>
      <c r="T731" s="2" t="s">
        <v>780</v>
      </c>
      <c r="U731" s="2" t="s">
        <v>781</v>
      </c>
      <c r="V731" s="2" t="s">
        <v>236</v>
      </c>
      <c r="W731" s="2" t="s">
        <v>288</v>
      </c>
      <c r="X731" s="2" t="s">
        <v>620</v>
      </c>
      <c r="Y731" s="2" t="s">
        <v>4038</v>
      </c>
      <c r="Z731" s="4">
        <v>403</v>
      </c>
      <c r="AA731" s="4">
        <f>=ROUNDDOWN(33.5833333333333,0)</f>
      </c>
      <c r="AB731" s="5">
        <v>12</v>
      </c>
      <c r="AC731" s="2" t="s">
        <v>139</v>
      </c>
      <c r="AD731" s="4">
        <v>350</v>
      </c>
      <c r="AE731" s="4">
        <v>690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233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233</v>
      </c>
      <c r="AW731" s="8" t="s">
        <v>233</v>
      </c>
      <c r="AX731" s="4" t="s">
        <v>233</v>
      </c>
      <c r="AY731" s="8" t="s">
        <v>233</v>
      </c>
      <c r="AZ731" s="7" t="s">
        <v>233</v>
      </c>
      <c r="BA731" s="7" t="s">
        <v>233</v>
      </c>
      <c r="BB731" s="7"/>
      <c r="BC731" s="4" t="s">
        <v>233</v>
      </c>
      <c r="BD731" s="8" t="s">
        <v>233</v>
      </c>
      <c r="BE731" s="4" t="s">
        <v>233</v>
      </c>
      <c r="BF731" s="8" t="s">
        <v>233</v>
      </c>
      <c r="BG731" s="7" t="s">
        <v>233</v>
      </c>
      <c r="BH731" s="7" t="s">
        <v>233</v>
      </c>
      <c r="BI731" s="7"/>
      <c r="BJ731" s="4">
        <v>79</v>
      </c>
      <c r="BK731" s="8">
        <v>3104.42</v>
      </c>
      <c r="BL731" s="2" t="s">
        <v>4043</v>
      </c>
      <c r="BM731" s="7"/>
      <c r="BN731" s="7"/>
      <c r="BO731" s="4"/>
      <c r="BP731" s="8"/>
      <c r="BQ731" s="4"/>
      <c r="BR731" s="8"/>
      <c r="BS731" s="7"/>
      <c r="BT731" s="7"/>
      <c r="BU731" s="2" t="s">
        <v>4040</v>
      </c>
      <c r="BV731" s="2" t="s">
        <v>233</v>
      </c>
      <c r="BW731" s="2" t="s">
        <v>233</v>
      </c>
      <c r="BX731" s="2" t="s">
        <v>624</v>
      </c>
      <c r="BY731" s="2" t="s">
        <v>242</v>
      </c>
      <c r="BZ731" s="2" t="s">
        <v>230</v>
      </c>
      <c r="CA731" s="2" t="s">
        <v>2726</v>
      </c>
      <c r="CB731" s="2" t="s">
        <v>3976</v>
      </c>
      <c r="CC731" s="2" t="s">
        <v>245</v>
      </c>
      <c r="CD731" s="2" t="s">
        <v>233</v>
      </c>
      <c r="CE731" s="4">
        <v>403</v>
      </c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>
        <v>350</v>
      </c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>
        <v>240</v>
      </c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>
        <v>100</v>
      </c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>
        <v>413</v>
      </c>
      <c r="GD731" s="4">
        <v>295</v>
      </c>
      <c r="GE731" s="4">
        <v>595</v>
      </c>
      <c r="GF731" s="4">
        <v>541</v>
      </c>
      <c r="GG731" s="4">
        <v>429</v>
      </c>
      <c r="GH731" s="4">
        <v>603</v>
      </c>
      <c r="GI731" s="4">
        <v>535</v>
      </c>
      <c r="GJ731" s="4">
        <v>494</v>
      </c>
      <c r="GK731" s="4">
        <v>468</v>
      </c>
      <c r="GL731" s="4">
        <v>448</v>
      </c>
      <c r="GM731" s="4">
        <v>427</v>
      </c>
      <c r="GN731" s="4">
        <v>407</v>
      </c>
      <c r="GO731" s="4">
        <v>392</v>
      </c>
      <c r="GP731" s="4">
        <v>377</v>
      </c>
      <c r="GQ731" s="4">
        <v>362</v>
      </c>
      <c r="GR731" s="4">
        <v>448</v>
      </c>
      <c r="GS731" s="4">
        <v>434</v>
      </c>
      <c r="GT731" s="4">
        <v>419</v>
      </c>
      <c r="GU731" s="4">
        <v>405</v>
      </c>
      <c r="GV731" s="4">
        <v>394</v>
      </c>
      <c r="GW731" s="4">
        <v>383</v>
      </c>
      <c r="GX731" s="4">
        <v>373</v>
      </c>
      <c r="GY731" s="4">
        <v>363</v>
      </c>
      <c r="GZ731" s="4">
        <v>353</v>
      </c>
      <c r="HA731" s="4">
        <v>343</v>
      </c>
      <c r="HB731" s="4">
        <v>333</v>
      </c>
      <c r="HC731" s="19">
        <v>4.9</v>
      </c>
      <c r="HD731" s="19">
        <v>4.2</v>
      </c>
      <c r="HE731" s="19">
        <v>7.9</v>
      </c>
      <c r="HF731" s="19">
        <v>7.5</v>
      </c>
      <c r="HG731" s="19">
        <v>8.6</v>
      </c>
      <c r="HH731" s="19">
        <v>15.5</v>
      </c>
      <c r="HI731" s="19">
        <v>19.8</v>
      </c>
      <c r="HJ731" s="19">
        <v>22.5</v>
      </c>
      <c r="HK731" s="19">
        <v>24.6</v>
      </c>
      <c r="HL731" s="19">
        <v>24.9</v>
      </c>
      <c r="HM731" s="19">
        <v>26.7</v>
      </c>
      <c r="HN731" s="19">
        <v>27.1</v>
      </c>
      <c r="HO731" s="19">
        <v>28</v>
      </c>
      <c r="HP731" s="19">
        <v>26.9</v>
      </c>
      <c r="HQ731" s="19">
        <v>25.9</v>
      </c>
      <c r="HR731" s="19">
        <v>32</v>
      </c>
      <c r="HS731" s="19">
        <v>33.4</v>
      </c>
      <c r="HT731" s="19">
        <v>34.9</v>
      </c>
      <c r="HU731" s="19">
        <v>40.5</v>
      </c>
      <c r="HV731" s="19">
        <v>39.4</v>
      </c>
      <c r="HW731" s="19">
        <v>38.3</v>
      </c>
      <c r="HX731" s="19">
        <v>37.3</v>
      </c>
      <c r="HY731" s="19">
        <v>36.3</v>
      </c>
      <c r="HZ731" s="19">
        <v>35.3</v>
      </c>
      <c r="IA731" s="19">
        <v>38.1</v>
      </c>
      <c r="IB731" s="19">
        <v>37</v>
      </c>
    </row>
    <row r="732">
      <c r="A732" s="2" t="s">
        <v>4044</v>
      </c>
      <c r="B732" s="2" t="s">
        <v>773</v>
      </c>
      <c r="C732" s="2" t="s">
        <v>1411</v>
      </c>
      <c r="D732" s="2" t="s">
        <v>261</v>
      </c>
      <c r="E732" s="2" t="s">
        <v>895</v>
      </c>
      <c r="F732" s="2" t="s">
        <v>4034</v>
      </c>
      <c r="G732" s="2" t="s">
        <v>4035</v>
      </c>
      <c r="H732" s="2" t="s">
        <v>4035</v>
      </c>
      <c r="I732" s="2" t="s">
        <v>4036</v>
      </c>
      <c r="J732" s="2" t="s">
        <v>1052</v>
      </c>
      <c r="K732" s="2" t="s">
        <v>2678</v>
      </c>
      <c r="L732" s="3">
        <v>28.47</v>
      </c>
      <c r="M732" s="3">
        <v>29.89</v>
      </c>
      <c r="N732" s="3">
        <v>59.99</v>
      </c>
      <c r="O732" s="2" t="s">
        <v>230</v>
      </c>
      <c r="P732" s="2" t="s">
        <v>231</v>
      </c>
      <c r="Q732" s="2" t="s">
        <v>232</v>
      </c>
      <c r="R732" s="2" t="s">
        <v>233</v>
      </c>
      <c r="S732" s="2" t="s">
        <v>4045</v>
      </c>
      <c r="T732" s="2" t="s">
        <v>780</v>
      </c>
      <c r="U732" s="2" t="s">
        <v>711</v>
      </c>
      <c r="V732" s="2" t="s">
        <v>236</v>
      </c>
      <c r="W732" s="2" t="s">
        <v>288</v>
      </c>
      <c r="X732" s="2" t="s">
        <v>620</v>
      </c>
      <c r="Y732" s="2" t="s">
        <v>4046</v>
      </c>
      <c r="Z732" s="4">
        <v>330</v>
      </c>
      <c r="AA732" s="4">
        <f>=ROUNDDOWN(47.1428571428571,0)</f>
      </c>
      <c r="AB732" s="5">
        <v>7</v>
      </c>
      <c r="AC732" s="2" t="s">
        <v>4047</v>
      </c>
      <c r="AD732" s="4">
        <v>100</v>
      </c>
      <c r="AE732" s="4">
        <v>320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233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233</v>
      </c>
      <c r="AW732" s="8" t="s">
        <v>233</v>
      </c>
      <c r="AX732" s="4" t="s">
        <v>233</v>
      </c>
      <c r="AY732" s="8" t="s">
        <v>233</v>
      </c>
      <c r="AZ732" s="7" t="s">
        <v>233</v>
      </c>
      <c r="BA732" s="7" t="s">
        <v>233</v>
      </c>
      <c r="BB732" s="7"/>
      <c r="BC732" s="4" t="s">
        <v>233</v>
      </c>
      <c r="BD732" s="8" t="s">
        <v>233</v>
      </c>
      <c r="BE732" s="4" t="s">
        <v>233</v>
      </c>
      <c r="BF732" s="8" t="s">
        <v>233</v>
      </c>
      <c r="BG732" s="7" t="s">
        <v>233</v>
      </c>
      <c r="BH732" s="7" t="s">
        <v>233</v>
      </c>
      <c r="BI732" s="7"/>
      <c r="BJ732" s="4">
        <v>61</v>
      </c>
      <c r="BK732" s="8">
        <v>1761.3</v>
      </c>
      <c r="BL732" s="2" t="s">
        <v>1870</v>
      </c>
      <c r="BM732" s="7"/>
      <c r="BN732" s="7"/>
      <c r="BO732" s="4"/>
      <c r="BP732" s="8"/>
      <c r="BQ732" s="4"/>
      <c r="BR732" s="8"/>
      <c r="BS732" s="7"/>
      <c r="BT732" s="7"/>
      <c r="BU732" s="2" t="s">
        <v>4040</v>
      </c>
      <c r="BV732" s="2" t="s">
        <v>233</v>
      </c>
      <c r="BW732" s="2" t="s">
        <v>233</v>
      </c>
      <c r="BX732" s="2" t="s">
        <v>624</v>
      </c>
      <c r="BY732" s="2" t="s">
        <v>242</v>
      </c>
      <c r="BZ732" s="2" t="s">
        <v>230</v>
      </c>
      <c r="CA732" s="2" t="s">
        <v>1749</v>
      </c>
      <c r="CB732" s="2" t="s">
        <v>3378</v>
      </c>
      <c r="CC732" s="2" t="s">
        <v>245</v>
      </c>
      <c r="CD732" s="2" t="s">
        <v>233</v>
      </c>
      <c r="CE732" s="4">
        <v>330</v>
      </c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>
        <v>100</v>
      </c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>
        <v>220</v>
      </c>
      <c r="FV732" s="4"/>
      <c r="FW732" s="4"/>
      <c r="FX732" s="4"/>
      <c r="FY732" s="4"/>
      <c r="FZ732" s="4"/>
      <c r="GA732" s="4"/>
      <c r="GB732" s="4"/>
      <c r="GC732" s="4">
        <v>341</v>
      </c>
      <c r="GD732" s="4">
        <v>306</v>
      </c>
      <c r="GE732" s="4">
        <v>278</v>
      </c>
      <c r="GF732" s="4">
        <v>247</v>
      </c>
      <c r="GG732" s="4">
        <v>183</v>
      </c>
      <c r="GH732" s="4">
        <v>145</v>
      </c>
      <c r="GI732" s="4">
        <v>106</v>
      </c>
      <c r="GJ732" s="4">
        <v>82</v>
      </c>
      <c r="GK732" s="4">
        <v>67</v>
      </c>
      <c r="GL732" s="4">
        <v>56</v>
      </c>
      <c r="GM732" s="4">
        <v>145</v>
      </c>
      <c r="GN732" s="4">
        <v>134</v>
      </c>
      <c r="GO732" s="4">
        <v>126</v>
      </c>
      <c r="GP732" s="4">
        <v>118</v>
      </c>
      <c r="GQ732" s="4">
        <v>110</v>
      </c>
      <c r="GR732" s="4">
        <v>102</v>
      </c>
      <c r="GS732" s="4">
        <v>94</v>
      </c>
      <c r="GT732" s="4">
        <v>305</v>
      </c>
      <c r="GU732" s="4">
        <v>297</v>
      </c>
      <c r="GV732" s="4">
        <v>291</v>
      </c>
      <c r="GW732" s="4">
        <v>285</v>
      </c>
      <c r="GX732" s="4">
        <v>279</v>
      </c>
      <c r="GY732" s="4">
        <v>273</v>
      </c>
      <c r="GZ732" s="4">
        <v>267</v>
      </c>
      <c r="HA732" s="4">
        <v>261</v>
      </c>
      <c r="HB732" s="4">
        <v>255</v>
      </c>
      <c r="HC732" s="19">
        <v>8.5</v>
      </c>
      <c r="HD732" s="19">
        <v>7.7</v>
      </c>
      <c r="HE732" s="19">
        <v>6.5</v>
      </c>
      <c r="HF732" s="19">
        <v>6</v>
      </c>
      <c r="HG732" s="19">
        <v>6.3</v>
      </c>
      <c r="HH732" s="19">
        <v>6.6</v>
      </c>
      <c r="HI732" s="19">
        <v>7.1</v>
      </c>
      <c r="HJ732" s="19">
        <v>6.8</v>
      </c>
      <c r="HK732" s="19">
        <v>6.7</v>
      </c>
      <c r="HL732" s="19">
        <v>5.6</v>
      </c>
      <c r="HM732" s="19">
        <v>16.1</v>
      </c>
      <c r="HN732" s="19">
        <v>16.8</v>
      </c>
      <c r="HO732" s="19">
        <v>15.8</v>
      </c>
      <c r="HP732" s="19">
        <v>14.8</v>
      </c>
      <c r="HQ732" s="19">
        <v>13.8</v>
      </c>
      <c r="HR732" s="19">
        <v>12.8</v>
      </c>
      <c r="HS732" s="19">
        <v>13.4</v>
      </c>
      <c r="HT732" s="19">
        <v>50.8</v>
      </c>
      <c r="HU732" s="19">
        <v>49.5</v>
      </c>
      <c r="HV732" s="19">
        <v>48.5</v>
      </c>
      <c r="HW732" s="19">
        <v>47.5</v>
      </c>
      <c r="HX732" s="19">
        <v>46.5</v>
      </c>
      <c r="HY732" s="19">
        <v>45.5</v>
      </c>
      <c r="HZ732" s="19">
        <v>44.5</v>
      </c>
      <c r="IA732" s="19">
        <v>43.5</v>
      </c>
      <c r="IB732" s="19">
        <v>42.5</v>
      </c>
    </row>
    <row r="733">
      <c r="A733" s="2" t="s">
        <v>4048</v>
      </c>
      <c r="B733" s="2" t="s">
        <v>773</v>
      </c>
      <c r="C733" s="2" t="s">
        <v>1411</v>
      </c>
      <c r="D733" s="2" t="s">
        <v>261</v>
      </c>
      <c r="E733" s="2" t="s">
        <v>895</v>
      </c>
      <c r="F733" s="2" t="s">
        <v>4034</v>
      </c>
      <c r="G733" s="2" t="s">
        <v>4035</v>
      </c>
      <c r="H733" s="2" t="s">
        <v>4035</v>
      </c>
      <c r="I733" s="2" t="s">
        <v>4036</v>
      </c>
      <c r="J733" s="2" t="s">
        <v>265</v>
      </c>
      <c r="K733" s="2" t="s">
        <v>2678</v>
      </c>
      <c r="L733" s="3">
        <v>37.23</v>
      </c>
      <c r="M733" s="3">
        <v>39.09</v>
      </c>
      <c r="N733" s="3">
        <v>79.99</v>
      </c>
      <c r="O733" s="2" t="s">
        <v>230</v>
      </c>
      <c r="P733" s="2" t="s">
        <v>231</v>
      </c>
      <c r="Q733" s="2" t="s">
        <v>232</v>
      </c>
      <c r="R733" s="2" t="s">
        <v>233</v>
      </c>
      <c r="S733" s="2" t="s">
        <v>4045</v>
      </c>
      <c r="T733" s="2" t="s">
        <v>780</v>
      </c>
      <c r="U733" s="2" t="s">
        <v>781</v>
      </c>
      <c r="V733" s="2" t="s">
        <v>236</v>
      </c>
      <c r="W733" s="2" t="s">
        <v>288</v>
      </c>
      <c r="X733" s="2" t="s">
        <v>620</v>
      </c>
      <c r="Y733" s="2" t="s">
        <v>4046</v>
      </c>
      <c r="Z733" s="4">
        <v>355</v>
      </c>
      <c r="AA733" s="4">
        <f>=ROUNDDOWN(47.3333333333333,0)</f>
      </c>
      <c r="AB733" s="5">
        <v>7.5</v>
      </c>
      <c r="AC733" s="2" t="s">
        <v>140</v>
      </c>
      <c r="AD733" s="4">
        <v>230</v>
      </c>
      <c r="AE733" s="4">
        <v>700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233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233</v>
      </c>
      <c r="AW733" s="8" t="s">
        <v>233</v>
      </c>
      <c r="AX733" s="4" t="s">
        <v>233</v>
      </c>
      <c r="AY733" s="8" t="s">
        <v>233</v>
      </c>
      <c r="AZ733" s="7" t="s">
        <v>233</v>
      </c>
      <c r="BA733" s="7" t="s">
        <v>233</v>
      </c>
      <c r="BB733" s="7"/>
      <c r="BC733" s="4" t="s">
        <v>233</v>
      </c>
      <c r="BD733" s="8" t="s">
        <v>233</v>
      </c>
      <c r="BE733" s="4" t="s">
        <v>233</v>
      </c>
      <c r="BF733" s="8" t="s">
        <v>233</v>
      </c>
      <c r="BG733" s="7" t="s">
        <v>233</v>
      </c>
      <c r="BH733" s="7" t="s">
        <v>233</v>
      </c>
      <c r="BI733" s="7"/>
      <c r="BJ733" s="4">
        <v>54</v>
      </c>
      <c r="BK733" s="8">
        <v>2080.94</v>
      </c>
      <c r="BL733" s="2" t="s">
        <v>4049</v>
      </c>
      <c r="BM733" s="7"/>
      <c r="BN733" s="7"/>
      <c r="BO733" s="4"/>
      <c r="BP733" s="8"/>
      <c r="BQ733" s="4"/>
      <c r="BR733" s="8"/>
      <c r="BS733" s="7"/>
      <c r="BT733" s="7"/>
      <c r="BU733" s="2" t="s">
        <v>4040</v>
      </c>
      <c r="BV733" s="2" t="s">
        <v>233</v>
      </c>
      <c r="BW733" s="2" t="s">
        <v>233</v>
      </c>
      <c r="BX733" s="2" t="s">
        <v>624</v>
      </c>
      <c r="BY733" s="2" t="s">
        <v>242</v>
      </c>
      <c r="BZ733" s="2" t="s">
        <v>230</v>
      </c>
      <c r="CA733" s="2" t="s">
        <v>1749</v>
      </c>
      <c r="CB733" s="2" t="s">
        <v>4050</v>
      </c>
      <c r="CC733" s="2" t="s">
        <v>245</v>
      </c>
      <c r="CD733" s="2" t="s">
        <v>233</v>
      </c>
      <c r="CE733" s="4">
        <v>355</v>
      </c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>
        <v>230</v>
      </c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>
        <v>200</v>
      </c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>
        <v>50</v>
      </c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>
        <v>220</v>
      </c>
      <c r="FV733" s="4"/>
      <c r="FW733" s="4"/>
      <c r="FX733" s="4"/>
      <c r="FY733" s="4"/>
      <c r="FZ733" s="4"/>
      <c r="GA733" s="4"/>
      <c r="GB733" s="4"/>
      <c r="GC733" s="4">
        <v>358</v>
      </c>
      <c r="GD733" s="4">
        <v>336</v>
      </c>
      <c r="GE733" s="4">
        <v>534</v>
      </c>
      <c r="GF733" s="4">
        <v>499</v>
      </c>
      <c r="GG733" s="4">
        <v>423</v>
      </c>
      <c r="GH733" s="4">
        <v>579</v>
      </c>
      <c r="GI733" s="4">
        <v>533</v>
      </c>
      <c r="GJ733" s="4">
        <v>506</v>
      </c>
      <c r="GK733" s="4">
        <v>489</v>
      </c>
      <c r="GL733" s="4">
        <v>476</v>
      </c>
      <c r="GM733" s="4">
        <v>513</v>
      </c>
      <c r="GN733" s="4">
        <v>500</v>
      </c>
      <c r="GO733" s="4">
        <v>491</v>
      </c>
      <c r="GP733" s="4">
        <v>482</v>
      </c>
      <c r="GQ733" s="4">
        <v>473</v>
      </c>
      <c r="GR733" s="4">
        <v>465</v>
      </c>
      <c r="GS733" s="4">
        <v>457</v>
      </c>
      <c r="GT733" s="4">
        <v>668</v>
      </c>
      <c r="GU733" s="4">
        <v>660</v>
      </c>
      <c r="GV733" s="4">
        <v>654</v>
      </c>
      <c r="GW733" s="4">
        <v>648</v>
      </c>
      <c r="GX733" s="4">
        <v>642</v>
      </c>
      <c r="GY733" s="4">
        <v>636</v>
      </c>
      <c r="GZ733" s="4">
        <v>630</v>
      </c>
      <c r="HA733" s="4">
        <v>624</v>
      </c>
      <c r="HB733" s="4">
        <v>618</v>
      </c>
      <c r="HC733" s="19">
        <v>8.7</v>
      </c>
      <c r="HD733" s="19">
        <v>7.1</v>
      </c>
      <c r="HE733" s="19">
        <v>10.7</v>
      </c>
      <c r="HF733" s="19">
        <v>10.4</v>
      </c>
      <c r="HG733" s="19">
        <v>12.4</v>
      </c>
      <c r="HH733" s="19">
        <v>22.3</v>
      </c>
      <c r="HI733" s="19">
        <v>29.6</v>
      </c>
      <c r="HJ733" s="19">
        <v>36.1</v>
      </c>
      <c r="HK733" s="19">
        <v>40.8</v>
      </c>
      <c r="HL733" s="19">
        <v>43.3</v>
      </c>
      <c r="HM733" s="19">
        <v>51.3</v>
      </c>
      <c r="HN733" s="19">
        <v>55.6</v>
      </c>
      <c r="HO733" s="19">
        <v>61.4</v>
      </c>
      <c r="HP733" s="19">
        <v>60.3</v>
      </c>
      <c r="HQ733" s="19">
        <v>59.1</v>
      </c>
      <c r="HR733" s="19">
        <v>58.1</v>
      </c>
      <c r="HS733" s="19">
        <v>65.3</v>
      </c>
      <c r="HT733" s="19">
        <v>111.3</v>
      </c>
      <c r="HU733" s="19">
        <v>110</v>
      </c>
      <c r="HV733" s="19">
        <v>109</v>
      </c>
      <c r="HW733" s="19">
        <v>108</v>
      </c>
      <c r="HX733" s="19">
        <v>107</v>
      </c>
      <c r="HY733" s="19">
        <v>106</v>
      </c>
      <c r="HZ733" s="19">
        <v>105</v>
      </c>
      <c r="IA733" s="19">
        <v>104</v>
      </c>
      <c r="IB733" s="19">
        <v>123.6</v>
      </c>
    </row>
    <row r="734">
      <c r="A734" s="2" t="s">
        <v>4051</v>
      </c>
      <c r="B734" s="2" t="s">
        <v>773</v>
      </c>
      <c r="C734" s="2" t="s">
        <v>1411</v>
      </c>
      <c r="D734" s="2" t="s">
        <v>261</v>
      </c>
      <c r="E734" s="2" t="s">
        <v>895</v>
      </c>
      <c r="F734" s="2" t="s">
        <v>4034</v>
      </c>
      <c r="G734" s="2" t="s">
        <v>4035</v>
      </c>
      <c r="H734" s="2" t="s">
        <v>4035</v>
      </c>
      <c r="I734" s="2" t="s">
        <v>4036</v>
      </c>
      <c r="J734" s="2" t="s">
        <v>275</v>
      </c>
      <c r="K734" s="2" t="s">
        <v>2678</v>
      </c>
      <c r="L734" s="3">
        <v>41.61</v>
      </c>
      <c r="M734" s="3">
        <v>43.69</v>
      </c>
      <c r="N734" s="3">
        <v>89.99</v>
      </c>
      <c r="O734" s="2" t="s">
        <v>230</v>
      </c>
      <c r="P734" s="2" t="s">
        <v>231</v>
      </c>
      <c r="Q734" s="2" t="s">
        <v>232</v>
      </c>
      <c r="R734" s="2" t="s">
        <v>233</v>
      </c>
      <c r="S734" s="2" t="s">
        <v>4045</v>
      </c>
      <c r="T734" s="2" t="s">
        <v>780</v>
      </c>
      <c r="U734" s="2" t="s">
        <v>781</v>
      </c>
      <c r="V734" s="2" t="s">
        <v>236</v>
      </c>
      <c r="W734" s="2" t="s">
        <v>288</v>
      </c>
      <c r="X734" s="2" t="s">
        <v>620</v>
      </c>
      <c r="Y734" s="2" t="s">
        <v>4046</v>
      </c>
      <c r="Z734" s="4">
        <v>127</v>
      </c>
      <c r="AA734" s="4">
        <f>=ROUNDDOWN(15.875,0)</f>
      </c>
      <c r="AB734" s="5">
        <v>8</v>
      </c>
      <c r="AC734" s="2" t="s">
        <v>140</v>
      </c>
      <c r="AD734" s="4">
        <v>140</v>
      </c>
      <c r="AE734" s="4">
        <v>540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233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233</v>
      </c>
      <c r="AW734" s="8" t="s">
        <v>233</v>
      </c>
      <c r="AX734" s="4" t="s">
        <v>233</v>
      </c>
      <c r="AY734" s="8" t="s">
        <v>233</v>
      </c>
      <c r="AZ734" s="7" t="s">
        <v>233</v>
      </c>
      <c r="BA734" s="7" t="s">
        <v>233</v>
      </c>
      <c r="BB734" s="7"/>
      <c r="BC734" s="4" t="s">
        <v>233</v>
      </c>
      <c r="BD734" s="8" t="s">
        <v>233</v>
      </c>
      <c r="BE734" s="4" t="s">
        <v>233</v>
      </c>
      <c r="BF734" s="8" t="s">
        <v>233</v>
      </c>
      <c r="BG734" s="7" t="s">
        <v>233</v>
      </c>
      <c r="BH734" s="7" t="s">
        <v>233</v>
      </c>
      <c r="BI734" s="7"/>
      <c r="BJ734" s="4">
        <v>43</v>
      </c>
      <c r="BK734" s="8">
        <v>1972.64</v>
      </c>
      <c r="BL734" s="2" t="s">
        <v>3706</v>
      </c>
      <c r="BM734" s="7"/>
      <c r="BN734" s="7"/>
      <c r="BO734" s="4"/>
      <c r="BP734" s="8"/>
      <c r="BQ734" s="4"/>
      <c r="BR734" s="8"/>
      <c r="BS734" s="7"/>
      <c r="BT734" s="7"/>
      <c r="BU734" s="2" t="s">
        <v>4040</v>
      </c>
      <c r="BV734" s="2" t="s">
        <v>233</v>
      </c>
      <c r="BW734" s="2" t="s">
        <v>233</v>
      </c>
      <c r="BX734" s="2" t="s">
        <v>624</v>
      </c>
      <c r="BY734" s="2" t="s">
        <v>242</v>
      </c>
      <c r="BZ734" s="2" t="s">
        <v>230</v>
      </c>
      <c r="CA734" s="2" t="s">
        <v>1749</v>
      </c>
      <c r="CB734" s="2" t="s">
        <v>4052</v>
      </c>
      <c r="CC734" s="2" t="s">
        <v>245</v>
      </c>
      <c r="CD734" s="2" t="s">
        <v>233</v>
      </c>
      <c r="CE734" s="4">
        <v>127</v>
      </c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>
        <v>140</v>
      </c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>
        <v>190</v>
      </c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>
        <v>50</v>
      </c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>
        <v>160</v>
      </c>
      <c r="FV734" s="4"/>
      <c r="FW734" s="4"/>
      <c r="FX734" s="4"/>
      <c r="FY734" s="4"/>
      <c r="FZ734" s="4"/>
      <c r="GA734" s="4"/>
      <c r="GB734" s="4"/>
      <c r="GC734" s="4">
        <v>189</v>
      </c>
      <c r="GD734" s="4">
        <v>160</v>
      </c>
      <c r="GE734" s="4">
        <v>280</v>
      </c>
      <c r="GF734" s="4">
        <v>258</v>
      </c>
      <c r="GG734" s="4">
        <v>213</v>
      </c>
      <c r="GH734" s="4">
        <v>364</v>
      </c>
      <c r="GI734" s="4">
        <v>324</v>
      </c>
      <c r="GJ734" s="4">
        <v>300</v>
      </c>
      <c r="GK734" s="4">
        <v>284</v>
      </c>
      <c r="GL734" s="4">
        <v>270</v>
      </c>
      <c r="GM734" s="4">
        <v>306</v>
      </c>
      <c r="GN734" s="4">
        <v>292</v>
      </c>
      <c r="GO734" s="4">
        <v>282</v>
      </c>
      <c r="GP734" s="4">
        <v>272</v>
      </c>
      <c r="GQ734" s="4">
        <v>262</v>
      </c>
      <c r="GR734" s="4">
        <v>253</v>
      </c>
      <c r="GS734" s="4">
        <v>244</v>
      </c>
      <c r="GT734" s="4">
        <v>394</v>
      </c>
      <c r="GU734" s="4">
        <v>385</v>
      </c>
      <c r="GV734" s="4">
        <v>378</v>
      </c>
      <c r="GW734" s="4">
        <v>371</v>
      </c>
      <c r="GX734" s="4">
        <v>364</v>
      </c>
      <c r="GY734" s="4">
        <v>357</v>
      </c>
      <c r="GZ734" s="4">
        <v>350</v>
      </c>
      <c r="HA734" s="4">
        <v>343</v>
      </c>
      <c r="HB734" s="4">
        <v>336</v>
      </c>
      <c r="HC734" s="19">
        <v>6.5</v>
      </c>
      <c r="HD734" s="19">
        <v>5</v>
      </c>
      <c r="HE734" s="19">
        <v>7.8</v>
      </c>
      <c r="HF734" s="19">
        <v>7</v>
      </c>
      <c r="HG734" s="19">
        <v>7.1</v>
      </c>
      <c r="HH734" s="19">
        <v>15.2</v>
      </c>
      <c r="HI734" s="19">
        <v>19.1</v>
      </c>
      <c r="HJ734" s="19">
        <v>21.4</v>
      </c>
      <c r="HK734" s="19">
        <v>21.8</v>
      </c>
      <c r="HL734" s="19">
        <v>22.5</v>
      </c>
      <c r="HM734" s="19">
        <v>27.8</v>
      </c>
      <c r="HN734" s="19">
        <v>29.2</v>
      </c>
      <c r="HO734" s="19">
        <v>28.2</v>
      </c>
      <c r="HP734" s="19">
        <v>27.2</v>
      </c>
      <c r="HQ734" s="19">
        <v>29.1</v>
      </c>
      <c r="HR734" s="19">
        <v>28.1</v>
      </c>
      <c r="HS734" s="19">
        <v>30.5</v>
      </c>
      <c r="HT734" s="19">
        <v>49.3</v>
      </c>
      <c r="HU734" s="19">
        <v>55</v>
      </c>
      <c r="HV734" s="19">
        <v>54</v>
      </c>
      <c r="HW734" s="19">
        <v>53</v>
      </c>
      <c r="HX734" s="19">
        <v>52</v>
      </c>
      <c r="HY734" s="19">
        <v>51</v>
      </c>
      <c r="HZ734" s="19">
        <v>50</v>
      </c>
      <c r="IA734" s="19">
        <v>57.2</v>
      </c>
      <c r="IB734" s="19">
        <v>56</v>
      </c>
    </row>
    <row r="735">
      <c r="A735" s="2" t="s">
        <v>4053</v>
      </c>
      <c r="B735" s="2" t="s">
        <v>773</v>
      </c>
      <c r="C735" s="2" t="s">
        <v>2381</v>
      </c>
      <c r="D735" s="2" t="s">
        <v>985</v>
      </c>
      <c r="E735" s="2" t="s">
        <v>986</v>
      </c>
      <c r="F735" s="2" t="s">
        <v>4054</v>
      </c>
      <c r="G735" s="2" t="s">
        <v>4054</v>
      </c>
      <c r="H735" s="2" t="s">
        <v>4054</v>
      </c>
      <c r="I735" s="2" t="s">
        <v>2965</v>
      </c>
      <c r="J735" s="2" t="s">
        <v>1446</v>
      </c>
      <c r="K735" s="2" t="s">
        <v>229</v>
      </c>
      <c r="L735" s="3">
        <v>30.95</v>
      </c>
      <c r="M735" s="3">
        <v>32.5</v>
      </c>
      <c r="N735" s="3">
        <v>64.99</v>
      </c>
      <c r="O735" s="2" t="s">
        <v>230</v>
      </c>
      <c r="P735" s="2" t="s">
        <v>231</v>
      </c>
      <c r="Q735" s="2" t="s">
        <v>232</v>
      </c>
      <c r="R735" s="2" t="s">
        <v>233</v>
      </c>
      <c r="S735" s="2" t="s">
        <v>4055</v>
      </c>
      <c r="T735" s="2" t="s">
        <v>913</v>
      </c>
      <c r="U735" s="2" t="s">
        <v>329</v>
      </c>
      <c r="V735" s="2" t="s">
        <v>236</v>
      </c>
      <c r="W735" s="2" t="s">
        <v>237</v>
      </c>
      <c r="X735" s="2" t="s">
        <v>233</v>
      </c>
      <c r="Y735" s="2" t="s">
        <v>4056</v>
      </c>
      <c r="Z735" s="4">
        <v>1376</v>
      </c>
      <c r="AA735" s="4">
        <f>=ROUNDDOWN(76.4444444444444,0)</f>
      </c>
      <c r="AB735" s="5">
        <v>18</v>
      </c>
      <c r="AC735" s="2" t="s">
        <v>140</v>
      </c>
      <c r="AD735" s="4">
        <v>216</v>
      </c>
      <c r="AE735" s="4">
        <v>1000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233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 t="s">
        <v>233</v>
      </c>
      <c r="BD735" s="8" t="s">
        <v>233</v>
      </c>
      <c r="BE735" s="4" t="s">
        <v>233</v>
      </c>
      <c r="BF735" s="8" t="s">
        <v>233</v>
      </c>
      <c r="BG735" s="7" t="s">
        <v>233</v>
      </c>
      <c r="BH735" s="7" t="s">
        <v>233</v>
      </c>
      <c r="BI735" s="7"/>
      <c r="BJ735" s="4">
        <v>53</v>
      </c>
      <c r="BK735" s="8">
        <v>1845.6</v>
      </c>
      <c r="BL735" s="2" t="s">
        <v>4057</v>
      </c>
      <c r="BM735" s="7"/>
      <c r="BN735" s="7"/>
      <c r="BO735" s="4"/>
      <c r="BP735" s="8"/>
      <c r="BQ735" s="4"/>
      <c r="BR735" s="8"/>
      <c r="BS735" s="7"/>
      <c r="BT735" s="7"/>
      <c r="BU735" s="2" t="s">
        <v>4058</v>
      </c>
      <c r="BV735" s="2" t="s">
        <v>233</v>
      </c>
      <c r="BW735" s="2" t="s">
        <v>233</v>
      </c>
      <c r="BX735" s="2" t="s">
        <v>241</v>
      </c>
      <c r="BY735" s="2" t="s">
        <v>242</v>
      </c>
      <c r="BZ735" s="2" t="s">
        <v>230</v>
      </c>
      <c r="CA735" s="2" t="s">
        <v>2662</v>
      </c>
      <c r="CB735" s="2" t="s">
        <v>2695</v>
      </c>
      <c r="CC735" s="2" t="s">
        <v>245</v>
      </c>
      <c r="CD735" s="2" t="s">
        <v>233</v>
      </c>
      <c r="CE735" s="4">
        <v>888</v>
      </c>
      <c r="CF735" s="4">
        <v>440</v>
      </c>
      <c r="CG735" s="4"/>
      <c r="CH735" s="4"/>
      <c r="CI735" s="4"/>
      <c r="CJ735" s="4"/>
      <c r="CK735" s="4"/>
      <c r="CL735" s="4">
        <v>48</v>
      </c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>
        <v>216</v>
      </c>
      <c r="DC735" s="4"/>
      <c r="DD735" s="4"/>
      <c r="DE735" s="4"/>
      <c r="DF735" s="4"/>
      <c r="DG735" s="4">
        <v>214</v>
      </c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>
        <v>570</v>
      </c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>
        <v>900</v>
      </c>
      <c r="GD735" s="4">
        <v>786</v>
      </c>
      <c r="GE735" s="4">
        <v>944</v>
      </c>
      <c r="GF735" s="4">
        <v>1088</v>
      </c>
      <c r="GG735" s="4">
        <v>913</v>
      </c>
      <c r="GH735" s="4">
        <v>1319</v>
      </c>
      <c r="GI735" s="4">
        <v>1118</v>
      </c>
      <c r="GJ735" s="4">
        <v>1026</v>
      </c>
      <c r="GK735" s="4">
        <v>999</v>
      </c>
      <c r="GL735" s="4">
        <v>950</v>
      </c>
      <c r="GM735" s="4">
        <v>922</v>
      </c>
      <c r="GN735" s="4">
        <v>863</v>
      </c>
      <c r="GO735" s="4">
        <v>824</v>
      </c>
      <c r="GP735" s="4">
        <v>785</v>
      </c>
      <c r="GQ735" s="4">
        <v>769</v>
      </c>
      <c r="GR735" s="4">
        <v>757</v>
      </c>
      <c r="GS735" s="4">
        <v>745</v>
      </c>
      <c r="GT735" s="4">
        <v>730</v>
      </c>
      <c r="GU735" s="4">
        <v>720</v>
      </c>
      <c r="GV735" s="4">
        <v>710</v>
      </c>
      <c r="GW735" s="4">
        <v>699</v>
      </c>
      <c r="GX735" s="4">
        <v>693</v>
      </c>
      <c r="GY735" s="4">
        <v>683</v>
      </c>
      <c r="GZ735" s="4">
        <v>677</v>
      </c>
      <c r="HA735" s="4">
        <v>671</v>
      </c>
      <c r="HB735" s="4">
        <v>666</v>
      </c>
      <c r="HC735" s="19">
        <v>8.7</v>
      </c>
      <c r="HD735" s="19">
        <v>6.7</v>
      </c>
      <c r="HE735" s="19">
        <v>6.2</v>
      </c>
      <c r="HF735" s="19">
        <v>6.9</v>
      </c>
      <c r="HG735" s="19">
        <v>7.5</v>
      </c>
      <c r="HH735" s="19">
        <v>14.3</v>
      </c>
      <c r="HI735" s="19">
        <v>22.8</v>
      </c>
      <c r="HJ735" s="19">
        <v>25</v>
      </c>
      <c r="HK735" s="19">
        <v>22.7</v>
      </c>
      <c r="HL735" s="19">
        <v>23.2</v>
      </c>
      <c r="HM735" s="19">
        <v>24.3</v>
      </c>
      <c r="HN735" s="19">
        <v>33.2</v>
      </c>
      <c r="HO735" s="19">
        <v>41.2</v>
      </c>
      <c r="HP735" s="19">
        <v>56.1</v>
      </c>
      <c r="HQ735" s="19">
        <v>64.1</v>
      </c>
      <c r="HR735" s="19">
        <v>63.1</v>
      </c>
      <c r="HS735" s="19">
        <v>62.1</v>
      </c>
      <c r="HT735" s="19">
        <v>81.1</v>
      </c>
      <c r="HU735" s="19">
        <v>80</v>
      </c>
      <c r="HV735" s="19">
        <v>88.8</v>
      </c>
      <c r="HW735" s="19">
        <v>99.9</v>
      </c>
      <c r="HX735" s="19">
        <v>99</v>
      </c>
      <c r="HY735" s="19">
        <v>113.8</v>
      </c>
      <c r="HZ735" s="19">
        <v>135.4</v>
      </c>
      <c r="IA735" s="19">
        <v>134.2</v>
      </c>
      <c r="IB735" s="19">
        <v>133.2</v>
      </c>
    </row>
    <row r="736">
      <c r="A736" s="2" t="s">
        <v>4059</v>
      </c>
      <c r="B736" s="2" t="s">
        <v>773</v>
      </c>
      <c r="C736" s="2" t="s">
        <v>2381</v>
      </c>
      <c r="D736" s="2" t="s">
        <v>985</v>
      </c>
      <c r="E736" s="2" t="s">
        <v>986</v>
      </c>
      <c r="F736" s="2" t="s">
        <v>4054</v>
      </c>
      <c r="G736" s="2" t="s">
        <v>4054</v>
      </c>
      <c r="H736" s="2" t="s">
        <v>4054</v>
      </c>
      <c r="I736" s="2" t="s">
        <v>2965</v>
      </c>
      <c r="J736" s="2" t="s">
        <v>1446</v>
      </c>
      <c r="K736" s="2" t="s">
        <v>1525</v>
      </c>
      <c r="L736" s="3">
        <v>30.95</v>
      </c>
      <c r="M736" s="3">
        <v>32.5</v>
      </c>
      <c r="N736" s="3">
        <v>64.99</v>
      </c>
      <c r="O736" s="2" t="s">
        <v>230</v>
      </c>
      <c r="P736" s="2" t="s">
        <v>231</v>
      </c>
      <c r="Q736" s="2" t="s">
        <v>232</v>
      </c>
      <c r="R736" s="2" t="s">
        <v>233</v>
      </c>
      <c r="S736" s="2" t="s">
        <v>4060</v>
      </c>
      <c r="T736" s="2" t="s">
        <v>913</v>
      </c>
      <c r="U736" s="2" t="s">
        <v>329</v>
      </c>
      <c r="V736" s="2" t="s">
        <v>236</v>
      </c>
      <c r="W736" s="2" t="s">
        <v>237</v>
      </c>
      <c r="X736" s="2" t="s">
        <v>233</v>
      </c>
      <c r="Y736" s="2" t="s">
        <v>4056</v>
      </c>
      <c r="Z736" s="4">
        <v>942</v>
      </c>
      <c r="AA736" s="4">
        <f>=ROUNDDOWN(39.25,0)</f>
      </c>
      <c r="AB736" s="5">
        <v>24</v>
      </c>
      <c r="AC736" s="2" t="s">
        <v>140</v>
      </c>
      <c r="AD736" s="4">
        <v>490</v>
      </c>
      <c r="AE736" s="4">
        <v>490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233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 t="s">
        <v>233</v>
      </c>
      <c r="BD736" s="8" t="s">
        <v>233</v>
      </c>
      <c r="BE736" s="4" t="s">
        <v>233</v>
      </c>
      <c r="BF736" s="8" t="s">
        <v>233</v>
      </c>
      <c r="BG736" s="7" t="s">
        <v>233</v>
      </c>
      <c r="BH736" s="7" t="s">
        <v>233</v>
      </c>
      <c r="BI736" s="7"/>
      <c r="BJ736" s="4">
        <v>61</v>
      </c>
      <c r="BK736" s="8">
        <v>2131.3</v>
      </c>
      <c r="BL736" s="2" t="s">
        <v>522</v>
      </c>
      <c r="BM736" s="7"/>
      <c r="BN736" s="7"/>
      <c r="BO736" s="4"/>
      <c r="BP736" s="8"/>
      <c r="BQ736" s="4"/>
      <c r="BR736" s="8"/>
      <c r="BS736" s="7"/>
      <c r="BT736" s="7"/>
      <c r="BU736" s="2" t="s">
        <v>4058</v>
      </c>
      <c r="BV736" s="2" t="s">
        <v>233</v>
      </c>
      <c r="BW736" s="2" t="s">
        <v>233</v>
      </c>
      <c r="BX736" s="2" t="s">
        <v>241</v>
      </c>
      <c r="BY736" s="2" t="s">
        <v>242</v>
      </c>
      <c r="BZ736" s="2" t="s">
        <v>230</v>
      </c>
      <c r="CA736" s="2" t="s">
        <v>2662</v>
      </c>
      <c r="CB736" s="2" t="s">
        <v>233</v>
      </c>
      <c r="CC736" s="2" t="s">
        <v>245</v>
      </c>
      <c r="CD736" s="2" t="s">
        <v>233</v>
      </c>
      <c r="CE736" s="4">
        <v>942</v>
      </c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>
        <v>490</v>
      </c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>
        <v>951</v>
      </c>
      <c r="GD736" s="4">
        <v>916</v>
      </c>
      <c r="GE736" s="4">
        <v>1368</v>
      </c>
      <c r="GF736" s="4">
        <v>1322</v>
      </c>
      <c r="GG736" s="4">
        <v>1200</v>
      </c>
      <c r="GH736" s="4">
        <v>1085</v>
      </c>
      <c r="GI736" s="4">
        <v>943</v>
      </c>
      <c r="GJ736" s="4">
        <v>878</v>
      </c>
      <c r="GK736" s="4">
        <v>861</v>
      </c>
      <c r="GL736" s="4">
        <v>827</v>
      </c>
      <c r="GM736" s="4">
        <v>810</v>
      </c>
      <c r="GN736" s="4">
        <v>769</v>
      </c>
      <c r="GO736" s="4">
        <v>743</v>
      </c>
      <c r="GP736" s="4">
        <v>717</v>
      </c>
      <c r="GQ736" s="4">
        <v>695</v>
      </c>
      <c r="GR736" s="4">
        <v>678</v>
      </c>
      <c r="GS736" s="4">
        <v>659</v>
      </c>
      <c r="GT736" s="4">
        <v>633</v>
      </c>
      <c r="GU736" s="4">
        <v>619</v>
      </c>
      <c r="GV736" s="4">
        <v>607</v>
      </c>
      <c r="GW736" s="4">
        <v>593</v>
      </c>
      <c r="GX736" s="4">
        <v>583</v>
      </c>
      <c r="GY736" s="4">
        <v>571</v>
      </c>
      <c r="GZ736" s="4">
        <v>561</v>
      </c>
      <c r="HA736" s="4">
        <v>554</v>
      </c>
      <c r="HB736" s="4">
        <v>547</v>
      </c>
      <c r="HC736" s="19">
        <v>15.9</v>
      </c>
      <c r="HD736" s="19">
        <v>11.5</v>
      </c>
      <c r="HE736" s="19">
        <v>12.9</v>
      </c>
      <c r="HF736" s="19">
        <v>11.9</v>
      </c>
      <c r="HG736" s="19">
        <v>14.1</v>
      </c>
      <c r="HH736" s="19">
        <v>17</v>
      </c>
      <c r="HI736" s="19">
        <v>28.6</v>
      </c>
      <c r="HJ736" s="19">
        <v>32.5</v>
      </c>
      <c r="HK736" s="19">
        <v>28.7</v>
      </c>
      <c r="HL736" s="19">
        <v>29.5</v>
      </c>
      <c r="HM736" s="19">
        <v>27.9</v>
      </c>
      <c r="HN736" s="19">
        <v>33.4</v>
      </c>
      <c r="HO736" s="19">
        <v>35.4</v>
      </c>
      <c r="HP736" s="19">
        <v>34.1</v>
      </c>
      <c r="HQ736" s="19">
        <v>36.6</v>
      </c>
      <c r="HR736" s="19">
        <v>37.7</v>
      </c>
      <c r="HS736" s="19">
        <v>41.2</v>
      </c>
      <c r="HT736" s="19">
        <v>52.8</v>
      </c>
      <c r="HU736" s="19">
        <v>51.6</v>
      </c>
      <c r="HV736" s="19">
        <v>50.6</v>
      </c>
      <c r="HW736" s="19">
        <v>59.3</v>
      </c>
      <c r="HX736" s="19">
        <v>64.8</v>
      </c>
      <c r="HY736" s="19">
        <v>81.6</v>
      </c>
      <c r="HZ736" s="19">
        <v>93.5</v>
      </c>
      <c r="IA736" s="19">
        <v>92.3</v>
      </c>
      <c r="IB736" s="19">
        <v>91.2</v>
      </c>
    </row>
    <row r="737">
      <c r="A737" s="2" t="s">
        <v>4061</v>
      </c>
      <c r="B737" s="2" t="s">
        <v>773</v>
      </c>
      <c r="C737" s="2" t="s">
        <v>2381</v>
      </c>
      <c r="D737" s="2" t="s">
        <v>985</v>
      </c>
      <c r="E737" s="2" t="s">
        <v>986</v>
      </c>
      <c r="F737" s="2" t="s">
        <v>4054</v>
      </c>
      <c r="G737" s="2" t="s">
        <v>4054</v>
      </c>
      <c r="H737" s="2" t="s">
        <v>4054</v>
      </c>
      <c r="I737" s="2" t="s">
        <v>2965</v>
      </c>
      <c r="J737" s="2" t="s">
        <v>1446</v>
      </c>
      <c r="K737" s="2" t="s">
        <v>300</v>
      </c>
      <c r="L737" s="3">
        <v>30.95</v>
      </c>
      <c r="M737" s="3">
        <v>32.5</v>
      </c>
      <c r="N737" s="3">
        <v>64.99</v>
      </c>
      <c r="O737" s="2" t="s">
        <v>230</v>
      </c>
      <c r="P737" s="2" t="s">
        <v>231</v>
      </c>
      <c r="Q737" s="2" t="s">
        <v>232</v>
      </c>
      <c r="R737" s="2" t="s">
        <v>233</v>
      </c>
      <c r="S737" s="2" t="s">
        <v>4062</v>
      </c>
      <c r="T737" s="2" t="s">
        <v>913</v>
      </c>
      <c r="U737" s="2" t="s">
        <v>329</v>
      </c>
      <c r="V737" s="2" t="s">
        <v>236</v>
      </c>
      <c r="W737" s="2" t="s">
        <v>237</v>
      </c>
      <c r="X737" s="2" t="s">
        <v>233</v>
      </c>
      <c r="Y737" s="2" t="s">
        <v>4056</v>
      </c>
      <c r="Z737" s="4">
        <v>2281</v>
      </c>
      <c r="AA737" s="4">
        <f>=ROUNDDOWN(38.6610169491525,0)</f>
      </c>
      <c r="AB737" s="5">
        <v>59</v>
      </c>
      <c r="AC737" s="2" t="s">
        <v>140</v>
      </c>
      <c r="AD737" s="4">
        <v>480</v>
      </c>
      <c r="AE737" s="4">
        <v>780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233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 t="s">
        <v>233</v>
      </c>
      <c r="BD737" s="8" t="s">
        <v>233</v>
      </c>
      <c r="BE737" s="4" t="s">
        <v>233</v>
      </c>
      <c r="BF737" s="8" t="s">
        <v>233</v>
      </c>
      <c r="BG737" s="7" t="s">
        <v>233</v>
      </c>
      <c r="BH737" s="7" t="s">
        <v>233</v>
      </c>
      <c r="BI737" s="7"/>
      <c r="BJ737" s="4">
        <v>81</v>
      </c>
      <c r="BK737" s="8">
        <v>2828.4</v>
      </c>
      <c r="BL737" s="2" t="s">
        <v>674</v>
      </c>
      <c r="BM737" s="7"/>
      <c r="BN737" s="7"/>
      <c r="BO737" s="4"/>
      <c r="BP737" s="8"/>
      <c r="BQ737" s="4"/>
      <c r="BR737" s="8"/>
      <c r="BS737" s="7"/>
      <c r="BT737" s="7"/>
      <c r="BU737" s="2" t="s">
        <v>4058</v>
      </c>
      <c r="BV737" s="2" t="s">
        <v>233</v>
      </c>
      <c r="BW737" s="2" t="s">
        <v>233</v>
      </c>
      <c r="BX737" s="2" t="s">
        <v>241</v>
      </c>
      <c r="BY737" s="2" t="s">
        <v>242</v>
      </c>
      <c r="BZ737" s="2" t="s">
        <v>230</v>
      </c>
      <c r="CA737" s="2" t="s">
        <v>2662</v>
      </c>
      <c r="CB737" s="2" t="s">
        <v>3549</v>
      </c>
      <c r="CC737" s="2" t="s">
        <v>245</v>
      </c>
      <c r="CD737" s="2" t="s">
        <v>233</v>
      </c>
      <c r="CE737" s="4">
        <v>1324</v>
      </c>
      <c r="CF737" s="4">
        <v>219</v>
      </c>
      <c r="CG737" s="4"/>
      <c r="CH737" s="4"/>
      <c r="CI737" s="4"/>
      <c r="CJ737" s="4"/>
      <c r="CK737" s="4"/>
      <c r="CL737" s="4">
        <v>738</v>
      </c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>
        <v>480</v>
      </c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>
        <v>300</v>
      </c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>
        <v>2296</v>
      </c>
      <c r="GD737" s="4">
        <v>2219</v>
      </c>
      <c r="GE737" s="4">
        <v>2605</v>
      </c>
      <c r="GF737" s="4">
        <v>2493</v>
      </c>
      <c r="GG737" s="4">
        <v>2192</v>
      </c>
      <c r="GH737" s="4">
        <v>2209</v>
      </c>
      <c r="GI737" s="4">
        <v>1861</v>
      </c>
      <c r="GJ737" s="4">
        <v>1702</v>
      </c>
      <c r="GK737" s="4">
        <v>1661</v>
      </c>
      <c r="GL737" s="4">
        <v>1578</v>
      </c>
      <c r="GM737" s="4">
        <v>1537</v>
      </c>
      <c r="GN737" s="4">
        <v>1437</v>
      </c>
      <c r="GO737" s="4">
        <v>1372</v>
      </c>
      <c r="GP737" s="4">
        <v>1307</v>
      </c>
      <c r="GQ737" s="4">
        <v>1254</v>
      </c>
      <c r="GR737" s="4">
        <v>1213</v>
      </c>
      <c r="GS737" s="4">
        <v>1166</v>
      </c>
      <c r="GT737" s="4">
        <v>1101</v>
      </c>
      <c r="GU737" s="4">
        <v>1066</v>
      </c>
      <c r="GV737" s="4">
        <v>1036</v>
      </c>
      <c r="GW737" s="4">
        <v>1001</v>
      </c>
      <c r="GX737" s="4">
        <v>977</v>
      </c>
      <c r="GY737" s="4">
        <v>947</v>
      </c>
      <c r="GZ737" s="4">
        <v>923</v>
      </c>
      <c r="HA737" s="4">
        <v>905</v>
      </c>
      <c r="HB737" s="4">
        <v>887</v>
      </c>
      <c r="HC737" s="19">
        <v>15.7</v>
      </c>
      <c r="HD737" s="19">
        <v>11.2</v>
      </c>
      <c r="HE737" s="19">
        <v>10</v>
      </c>
      <c r="HF737" s="19">
        <v>9.1</v>
      </c>
      <c r="HG737" s="19">
        <v>10.5</v>
      </c>
      <c r="HH737" s="19">
        <v>14</v>
      </c>
      <c r="HI737" s="19">
        <v>23</v>
      </c>
      <c r="HJ737" s="19">
        <v>25.8</v>
      </c>
      <c r="HK737" s="19">
        <v>23.1</v>
      </c>
      <c r="HL737" s="19">
        <v>23.2</v>
      </c>
      <c r="HM737" s="19">
        <v>21.6</v>
      </c>
      <c r="HN737" s="19">
        <v>25.7</v>
      </c>
      <c r="HO737" s="19">
        <v>26.4</v>
      </c>
      <c r="HP737" s="19">
        <v>25.1</v>
      </c>
      <c r="HQ737" s="19">
        <v>26.7</v>
      </c>
      <c r="HR737" s="19">
        <v>27.6</v>
      </c>
      <c r="HS737" s="19">
        <v>28.4</v>
      </c>
      <c r="HT737" s="19">
        <v>35.5</v>
      </c>
      <c r="HU737" s="19">
        <v>35.5</v>
      </c>
      <c r="HV737" s="19">
        <v>37</v>
      </c>
      <c r="HW737" s="19">
        <v>41.7</v>
      </c>
      <c r="HX737" s="19">
        <v>44.4</v>
      </c>
      <c r="HY737" s="19">
        <v>52.6</v>
      </c>
      <c r="HZ737" s="19">
        <v>57.7</v>
      </c>
      <c r="IA737" s="19">
        <v>56.6</v>
      </c>
      <c r="IB737" s="19">
        <v>59.1</v>
      </c>
    </row>
    <row r="738">
      <c r="A738" s="2" t="s">
        <v>4063</v>
      </c>
      <c r="B738" s="2" t="s">
        <v>872</v>
      </c>
      <c r="C738" s="2" t="s">
        <v>280</v>
      </c>
      <c r="D738" s="2" t="s">
        <v>884</v>
      </c>
      <c r="E738" s="2" t="s">
        <v>1753</v>
      </c>
      <c r="F738" s="2" t="s">
        <v>4064</v>
      </c>
      <c r="G738" s="2" t="s">
        <v>4065</v>
      </c>
      <c r="H738" s="2" t="s">
        <v>4066</v>
      </c>
      <c r="I738" s="2" t="s">
        <v>2031</v>
      </c>
      <c r="J738" s="2" t="s">
        <v>275</v>
      </c>
      <c r="K738" s="2" t="s">
        <v>434</v>
      </c>
      <c r="L738" s="3">
        <v>57.33</v>
      </c>
      <c r="M738" s="3">
        <v>60.2</v>
      </c>
      <c r="N738" s="3">
        <v>119.99</v>
      </c>
      <c r="O738" s="2" t="s">
        <v>230</v>
      </c>
      <c r="P738" s="2" t="s">
        <v>231</v>
      </c>
      <c r="Q738" s="2" t="s">
        <v>232</v>
      </c>
      <c r="R738" s="2" t="s">
        <v>233</v>
      </c>
      <c r="S738" s="2" t="s">
        <v>4067</v>
      </c>
      <c r="T738" s="2" t="s">
        <v>469</v>
      </c>
      <c r="U738" s="2" t="s">
        <v>665</v>
      </c>
      <c r="V738" s="2" t="s">
        <v>349</v>
      </c>
      <c r="W738" s="2" t="s">
        <v>1190</v>
      </c>
      <c r="X738" s="2" t="s">
        <v>878</v>
      </c>
      <c r="Y738" s="2" t="s">
        <v>4068</v>
      </c>
      <c r="Z738" s="4">
        <v>306</v>
      </c>
      <c r="AA738" s="4">
        <f>=ROUNDDOWN(25.5,0)</f>
      </c>
      <c r="AB738" s="5">
        <v>12</v>
      </c>
      <c r="AC738" s="2" t="s">
        <v>142</v>
      </c>
      <c r="AD738" s="4">
        <v>125</v>
      </c>
      <c r="AE738" s="4">
        <v>410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233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 t="s">
        <v>233</v>
      </c>
      <c r="BD738" s="8" t="s">
        <v>233</v>
      </c>
      <c r="BE738" s="4" t="s">
        <v>233</v>
      </c>
      <c r="BF738" s="8" t="s">
        <v>233</v>
      </c>
      <c r="BG738" s="7" t="s">
        <v>233</v>
      </c>
      <c r="BH738" s="7" t="s">
        <v>233</v>
      </c>
      <c r="BI738" s="7"/>
      <c r="BJ738" s="4">
        <v>36</v>
      </c>
      <c r="BK738" s="8">
        <v>2346.46</v>
      </c>
      <c r="BL738" s="2" t="s">
        <v>4069</v>
      </c>
      <c r="BM738" s="7"/>
      <c r="BN738" s="7"/>
      <c r="BO738" s="4"/>
      <c r="BP738" s="8"/>
      <c r="BQ738" s="4"/>
      <c r="BR738" s="8"/>
      <c r="BS738" s="7"/>
      <c r="BT738" s="7"/>
      <c r="BU738" s="2" t="s">
        <v>4070</v>
      </c>
      <c r="BV738" s="2" t="s">
        <v>233</v>
      </c>
      <c r="BW738" s="2" t="s">
        <v>233</v>
      </c>
      <c r="BX738" s="2" t="s">
        <v>293</v>
      </c>
      <c r="BY738" s="2" t="s">
        <v>242</v>
      </c>
      <c r="BZ738" s="2" t="s">
        <v>230</v>
      </c>
      <c r="CA738" s="2" t="s">
        <v>4071</v>
      </c>
      <c r="CB738" s="2" t="s">
        <v>4072</v>
      </c>
      <c r="CC738" s="2" t="s">
        <v>245</v>
      </c>
      <c r="CD738" s="2" t="s">
        <v>233</v>
      </c>
      <c r="CE738" s="4">
        <v>306</v>
      </c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>
        <v>125</v>
      </c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>
        <v>75</v>
      </c>
      <c r="DP738" s="4"/>
      <c r="DQ738" s="4"/>
      <c r="DR738" s="4"/>
      <c r="DS738" s="4"/>
      <c r="DT738" s="4"/>
      <c r="DU738" s="4"/>
      <c r="DV738" s="4"/>
      <c r="DW738" s="4"/>
      <c r="DX738" s="4"/>
      <c r="DY738" s="4">
        <v>210</v>
      </c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>
        <v>307</v>
      </c>
      <c r="GD738" s="4">
        <v>234</v>
      </c>
      <c r="GE738" s="4">
        <v>213</v>
      </c>
      <c r="GF738" s="4">
        <v>315</v>
      </c>
      <c r="GG738" s="4">
        <v>357</v>
      </c>
      <c r="GH738" s="4">
        <v>330</v>
      </c>
      <c r="GI738" s="4">
        <v>524</v>
      </c>
      <c r="GJ738" s="4">
        <v>514</v>
      </c>
      <c r="GK738" s="4">
        <v>506</v>
      </c>
      <c r="GL738" s="4">
        <v>493</v>
      </c>
      <c r="GM738" s="4">
        <v>481</v>
      </c>
      <c r="GN738" s="4">
        <v>469</v>
      </c>
      <c r="GO738" s="4">
        <v>457</v>
      </c>
      <c r="GP738" s="4">
        <v>445</v>
      </c>
      <c r="GQ738" s="4">
        <v>433</v>
      </c>
      <c r="GR738" s="4">
        <v>421</v>
      </c>
      <c r="GS738" s="4">
        <v>409</v>
      </c>
      <c r="GT738" s="4">
        <v>396</v>
      </c>
      <c r="GU738" s="4">
        <v>384</v>
      </c>
      <c r="GV738" s="4">
        <v>372</v>
      </c>
      <c r="GW738" s="4">
        <v>360</v>
      </c>
      <c r="GX738" s="4">
        <v>348</v>
      </c>
      <c r="GY738" s="4">
        <v>336</v>
      </c>
      <c r="GZ738" s="4">
        <v>324</v>
      </c>
      <c r="HA738" s="4">
        <v>312</v>
      </c>
      <c r="HB738" s="4">
        <v>300</v>
      </c>
      <c r="HC738" s="19">
        <v>8.1</v>
      </c>
      <c r="HD738" s="19">
        <v>9</v>
      </c>
      <c r="HE738" s="19">
        <v>8.5</v>
      </c>
      <c r="HF738" s="19">
        <v>14.3</v>
      </c>
      <c r="HG738" s="19">
        <v>23.8</v>
      </c>
      <c r="HH738" s="19">
        <v>27.5</v>
      </c>
      <c r="HI738" s="19">
        <v>47.6</v>
      </c>
      <c r="HJ738" s="19">
        <v>46.7</v>
      </c>
      <c r="HK738" s="19">
        <v>42.2</v>
      </c>
      <c r="HL738" s="19">
        <v>41.1</v>
      </c>
      <c r="HM738" s="19">
        <v>40.1</v>
      </c>
      <c r="HN738" s="19">
        <v>39.1</v>
      </c>
      <c r="HO738" s="19">
        <v>38.1</v>
      </c>
      <c r="HP738" s="19">
        <v>37.1</v>
      </c>
      <c r="HQ738" s="19">
        <v>36.1</v>
      </c>
      <c r="HR738" s="19">
        <v>35.1</v>
      </c>
      <c r="HS738" s="19">
        <v>34.1</v>
      </c>
      <c r="HT738" s="19">
        <v>33</v>
      </c>
      <c r="HU738" s="19">
        <v>32</v>
      </c>
      <c r="HV738" s="19">
        <v>31</v>
      </c>
      <c r="HW738" s="19">
        <v>30</v>
      </c>
      <c r="HX738" s="19">
        <v>29</v>
      </c>
      <c r="HY738" s="19">
        <v>28</v>
      </c>
      <c r="HZ738" s="19">
        <v>27</v>
      </c>
      <c r="IA738" s="19">
        <v>26</v>
      </c>
      <c r="IB738" s="19">
        <v>25</v>
      </c>
    </row>
    <row r="739">
      <c r="A739" s="2" t="s">
        <v>4073</v>
      </c>
      <c r="B739" s="2" t="s">
        <v>872</v>
      </c>
      <c r="C739" s="2" t="s">
        <v>280</v>
      </c>
      <c r="D739" s="2" t="s">
        <v>261</v>
      </c>
      <c r="E739" s="2" t="s">
        <v>603</v>
      </c>
      <c r="F739" s="2" t="s">
        <v>4064</v>
      </c>
      <c r="G739" s="2" t="s">
        <v>4065</v>
      </c>
      <c r="H739" s="2" t="s">
        <v>4066</v>
      </c>
      <c r="I739" s="2" t="s">
        <v>4074</v>
      </c>
      <c r="J739" s="2" t="s">
        <v>275</v>
      </c>
      <c r="K739" s="2" t="s">
        <v>832</v>
      </c>
      <c r="L739" s="3">
        <v>73.91</v>
      </c>
      <c r="M739" s="3">
        <v>77.61</v>
      </c>
      <c r="N739" s="3">
        <v>149.99</v>
      </c>
      <c r="O739" s="2" t="s">
        <v>230</v>
      </c>
      <c r="P739" s="2" t="s">
        <v>231</v>
      </c>
      <c r="Q739" s="2" t="s">
        <v>232</v>
      </c>
      <c r="R739" s="2" t="s">
        <v>233</v>
      </c>
      <c r="S739" s="2" t="s">
        <v>4075</v>
      </c>
      <c r="T739" s="2" t="s">
        <v>469</v>
      </c>
      <c r="U739" s="2" t="s">
        <v>723</v>
      </c>
      <c r="V739" s="2" t="s">
        <v>349</v>
      </c>
      <c r="W739" s="2" t="s">
        <v>1190</v>
      </c>
      <c r="X739" s="2" t="s">
        <v>878</v>
      </c>
      <c r="Y739" s="2" t="s">
        <v>4076</v>
      </c>
      <c r="Z739" s="4">
        <v>376</v>
      </c>
      <c r="AA739" s="4">
        <f>=ROUNDDOWN(62.6666666666667,0)</f>
      </c>
      <c r="AB739" s="5">
        <v>6</v>
      </c>
      <c r="AC739" s="2" t="s">
        <v>490</v>
      </c>
      <c r="AD739" s="4">
        <v>180</v>
      </c>
      <c r="AE739" s="4">
        <v>180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233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 t="s">
        <v>233</v>
      </c>
      <c r="BD739" s="8" t="s">
        <v>233</v>
      </c>
      <c r="BE739" s="4" t="s">
        <v>233</v>
      </c>
      <c r="BF739" s="8" t="s">
        <v>233</v>
      </c>
      <c r="BG739" s="7" t="s">
        <v>233</v>
      </c>
      <c r="BH739" s="7" t="s">
        <v>233</v>
      </c>
      <c r="BI739" s="7"/>
      <c r="BJ739" s="4">
        <v>18</v>
      </c>
      <c r="BK739" s="8">
        <v>1512.67</v>
      </c>
      <c r="BL739" s="2" t="s">
        <v>3261</v>
      </c>
      <c r="BM739" s="7"/>
      <c r="BN739" s="7"/>
      <c r="BO739" s="4"/>
      <c r="BP739" s="8"/>
      <c r="BQ739" s="4"/>
      <c r="BR739" s="8"/>
      <c r="BS739" s="7"/>
      <c r="BT739" s="7"/>
      <c r="BU739" s="2" t="s">
        <v>4077</v>
      </c>
      <c r="BV739" s="2" t="s">
        <v>233</v>
      </c>
      <c r="BW739" s="2" t="s">
        <v>233</v>
      </c>
      <c r="BX739" s="2" t="s">
        <v>293</v>
      </c>
      <c r="BY739" s="2" t="s">
        <v>242</v>
      </c>
      <c r="BZ739" s="2" t="s">
        <v>230</v>
      </c>
      <c r="CA739" s="2" t="s">
        <v>4071</v>
      </c>
      <c r="CB739" s="2" t="s">
        <v>4078</v>
      </c>
      <c r="CC739" s="2" t="s">
        <v>245</v>
      </c>
      <c r="CD739" s="2" t="s">
        <v>233</v>
      </c>
      <c r="CE739" s="4">
        <v>376</v>
      </c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>
        <v>180</v>
      </c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>
        <v>377</v>
      </c>
      <c r="GD739" s="4">
        <v>339</v>
      </c>
      <c r="GE739" s="4">
        <v>319</v>
      </c>
      <c r="GF739" s="4">
        <v>300</v>
      </c>
      <c r="GG739" s="4">
        <v>263</v>
      </c>
      <c r="GH739" s="4">
        <v>249</v>
      </c>
      <c r="GI739" s="4">
        <v>416</v>
      </c>
      <c r="GJ739" s="4">
        <v>410</v>
      </c>
      <c r="GK739" s="4">
        <v>405</v>
      </c>
      <c r="GL739" s="4">
        <v>399</v>
      </c>
      <c r="GM739" s="4">
        <v>393</v>
      </c>
      <c r="GN739" s="4">
        <v>387</v>
      </c>
      <c r="GO739" s="4">
        <v>381</v>
      </c>
      <c r="GP739" s="4">
        <v>375</v>
      </c>
      <c r="GQ739" s="4">
        <v>369</v>
      </c>
      <c r="GR739" s="4">
        <v>363</v>
      </c>
      <c r="GS739" s="4">
        <v>357</v>
      </c>
      <c r="GT739" s="4">
        <v>351</v>
      </c>
      <c r="GU739" s="4">
        <v>345</v>
      </c>
      <c r="GV739" s="4">
        <v>339</v>
      </c>
      <c r="GW739" s="4">
        <v>333</v>
      </c>
      <c r="GX739" s="4">
        <v>327</v>
      </c>
      <c r="GY739" s="4">
        <v>321</v>
      </c>
      <c r="GZ739" s="4">
        <v>315</v>
      </c>
      <c r="HA739" s="4">
        <v>309</v>
      </c>
      <c r="HB739" s="4">
        <v>303</v>
      </c>
      <c r="HC739" s="19">
        <v>13.5</v>
      </c>
      <c r="HD739" s="19">
        <v>15.4</v>
      </c>
      <c r="HE739" s="19">
        <v>15.2</v>
      </c>
      <c r="HF739" s="19">
        <v>16.7</v>
      </c>
      <c r="HG739" s="19">
        <v>26.3</v>
      </c>
      <c r="HH739" s="19">
        <v>31.1</v>
      </c>
      <c r="HI739" s="19">
        <v>69.3</v>
      </c>
      <c r="HJ739" s="19">
        <v>68.3</v>
      </c>
      <c r="HK739" s="19">
        <v>67.5</v>
      </c>
      <c r="HL739" s="19">
        <v>66.5</v>
      </c>
      <c r="HM739" s="19">
        <v>65.5</v>
      </c>
      <c r="HN739" s="19">
        <v>64.5</v>
      </c>
      <c r="HO739" s="19">
        <v>63.5</v>
      </c>
      <c r="HP739" s="19">
        <v>62.5</v>
      </c>
      <c r="HQ739" s="19">
        <v>61.5</v>
      </c>
      <c r="HR739" s="19">
        <v>60.5</v>
      </c>
      <c r="HS739" s="19">
        <v>59.5</v>
      </c>
      <c r="HT739" s="19">
        <v>58.5</v>
      </c>
      <c r="HU739" s="19">
        <v>57.5</v>
      </c>
      <c r="HV739" s="19">
        <v>56.5</v>
      </c>
      <c r="HW739" s="19">
        <v>55.5</v>
      </c>
      <c r="HX739" s="19">
        <v>54.5</v>
      </c>
      <c r="HY739" s="19">
        <v>53.5</v>
      </c>
      <c r="HZ739" s="19">
        <v>52.5</v>
      </c>
      <c r="IA739" s="19">
        <v>51.5</v>
      </c>
      <c r="IB739" s="19">
        <v>50.5</v>
      </c>
    </row>
    <row r="740">
      <c r="A740" s="2" t="s">
        <v>4079</v>
      </c>
      <c r="B740" s="2" t="s">
        <v>825</v>
      </c>
      <c r="C740" s="2" t="s">
        <v>1411</v>
      </c>
      <c r="D740" s="2" t="s">
        <v>261</v>
      </c>
      <c r="E740" s="2" t="s">
        <v>1119</v>
      </c>
      <c r="F740" s="2" t="s">
        <v>4080</v>
      </c>
      <c r="G740" s="2" t="s">
        <v>4081</v>
      </c>
      <c r="H740" s="2" t="s">
        <v>4082</v>
      </c>
      <c r="I740" s="2" t="s">
        <v>4083</v>
      </c>
      <c r="J740" s="2" t="s">
        <v>228</v>
      </c>
      <c r="K740" s="2" t="s">
        <v>3629</v>
      </c>
      <c r="L740" s="3">
        <v>29.61</v>
      </c>
      <c r="M740" s="3">
        <v>31.09</v>
      </c>
      <c r="N740" s="3">
        <v>59.99</v>
      </c>
      <c r="O740" s="2" t="s">
        <v>230</v>
      </c>
      <c r="P740" s="2" t="s">
        <v>231</v>
      </c>
      <c r="Q740" s="2" t="s">
        <v>232</v>
      </c>
      <c r="R740" s="2" t="s">
        <v>233</v>
      </c>
      <c r="S740" s="2" t="s">
        <v>4084</v>
      </c>
      <c r="T740" s="2" t="s">
        <v>469</v>
      </c>
      <c r="U740" s="2" t="s">
        <v>665</v>
      </c>
      <c r="V740" s="2" t="s">
        <v>349</v>
      </c>
      <c r="W740" s="2" t="s">
        <v>237</v>
      </c>
      <c r="X740" s="2" t="s">
        <v>712</v>
      </c>
      <c r="Y740" s="2" t="s">
        <v>2815</v>
      </c>
      <c r="Z740" s="4">
        <v>221</v>
      </c>
      <c r="AA740" s="4">
        <f>=ROUNDDOWN(25.4022988505747,0)</f>
      </c>
      <c r="AB740" s="5">
        <v>8.7</v>
      </c>
      <c r="AC740" s="2" t="s">
        <v>4085</v>
      </c>
      <c r="AD740" s="4">
        <v>160</v>
      </c>
      <c r="AE740" s="4">
        <v>160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233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233</v>
      </c>
      <c r="AW740" s="8" t="s">
        <v>233</v>
      </c>
      <c r="AX740" s="4" t="s">
        <v>233</v>
      </c>
      <c r="AY740" s="8" t="s">
        <v>233</v>
      </c>
      <c r="AZ740" s="7" t="s">
        <v>233</v>
      </c>
      <c r="BA740" s="7" t="s">
        <v>233</v>
      </c>
      <c r="BB740" s="7"/>
      <c r="BC740" s="4" t="s">
        <v>233</v>
      </c>
      <c r="BD740" s="8" t="s">
        <v>233</v>
      </c>
      <c r="BE740" s="4" t="s">
        <v>233</v>
      </c>
      <c r="BF740" s="8" t="s">
        <v>233</v>
      </c>
      <c r="BG740" s="7" t="s">
        <v>233</v>
      </c>
      <c r="BH740" s="7" t="s">
        <v>233</v>
      </c>
      <c r="BI740" s="7"/>
      <c r="BJ740" s="4">
        <v>43</v>
      </c>
      <c r="BK740" s="8">
        <v>1343.8</v>
      </c>
      <c r="BL740" s="2" t="s">
        <v>674</v>
      </c>
      <c r="BM740" s="7"/>
      <c r="BN740" s="7"/>
      <c r="BO740" s="4"/>
      <c r="BP740" s="8"/>
      <c r="BQ740" s="4"/>
      <c r="BR740" s="8"/>
      <c r="BS740" s="7"/>
      <c r="BT740" s="7"/>
      <c r="BU740" s="2" t="s">
        <v>4086</v>
      </c>
      <c r="BV740" s="2" t="s">
        <v>233</v>
      </c>
      <c r="BW740" s="2" t="s">
        <v>233</v>
      </c>
      <c r="BX740" s="2" t="s">
        <v>241</v>
      </c>
      <c r="BY740" s="2" t="s">
        <v>242</v>
      </c>
      <c r="BZ740" s="2" t="s">
        <v>230</v>
      </c>
      <c r="CA740" s="2" t="s">
        <v>4087</v>
      </c>
      <c r="CB740" s="2" t="s">
        <v>2395</v>
      </c>
      <c r="CC740" s="2" t="s">
        <v>245</v>
      </c>
      <c r="CD740" s="2" t="s">
        <v>233</v>
      </c>
      <c r="CE740" s="4">
        <v>220</v>
      </c>
      <c r="CF740" s="4"/>
      <c r="CG740" s="4"/>
      <c r="CH740" s="4"/>
      <c r="CI740" s="4"/>
      <c r="CJ740" s="4"/>
      <c r="CK740" s="4">
        <v>1</v>
      </c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>
        <v>160</v>
      </c>
      <c r="FY740" s="4"/>
      <c r="FZ740" s="4"/>
      <c r="GA740" s="4"/>
      <c r="GB740" s="4"/>
      <c r="GC740" s="4">
        <v>223</v>
      </c>
      <c r="GD740" s="4">
        <v>202</v>
      </c>
      <c r="GE740" s="4">
        <v>190</v>
      </c>
      <c r="GF740" s="4">
        <v>178</v>
      </c>
      <c r="GG740" s="4">
        <v>166</v>
      </c>
      <c r="GH740" s="4">
        <v>147</v>
      </c>
      <c r="GI740" s="4">
        <v>130</v>
      </c>
      <c r="GJ740" s="4">
        <v>118</v>
      </c>
      <c r="GK740" s="4">
        <v>107</v>
      </c>
      <c r="GL740" s="4">
        <v>96</v>
      </c>
      <c r="GM740" s="4">
        <v>87</v>
      </c>
      <c r="GN740" s="4">
        <v>78</v>
      </c>
      <c r="GO740" s="4">
        <v>69</v>
      </c>
      <c r="GP740" s="4">
        <v>60</v>
      </c>
      <c r="GQ740" s="4">
        <v>51</v>
      </c>
      <c r="GR740" s="4">
        <v>42</v>
      </c>
      <c r="GS740" s="4">
        <v>33</v>
      </c>
      <c r="GT740" s="4">
        <v>22</v>
      </c>
      <c r="GU740" s="4">
        <v>173</v>
      </c>
      <c r="GV740" s="4">
        <v>164</v>
      </c>
      <c r="GW740" s="4">
        <v>155</v>
      </c>
      <c r="GX740" s="4">
        <v>146</v>
      </c>
      <c r="GY740" s="4">
        <v>137</v>
      </c>
      <c r="GZ740" s="4">
        <v>128</v>
      </c>
      <c r="HA740" s="4">
        <v>119</v>
      </c>
      <c r="HB740" s="4">
        <v>110</v>
      </c>
      <c r="HC740" s="19">
        <v>15.9</v>
      </c>
      <c r="HD740" s="19">
        <v>14.4</v>
      </c>
      <c r="HE740" s="19">
        <v>12.7</v>
      </c>
      <c r="HF740" s="19">
        <v>11.9</v>
      </c>
      <c r="HG740" s="19">
        <v>11.1</v>
      </c>
      <c r="HH740" s="19">
        <v>11.3</v>
      </c>
      <c r="HI740" s="19">
        <v>11.8</v>
      </c>
      <c r="HJ740" s="19">
        <v>11.8</v>
      </c>
      <c r="HK740" s="19">
        <v>10.7</v>
      </c>
      <c r="HL740" s="19">
        <v>10.7</v>
      </c>
      <c r="HM740" s="19">
        <v>9.7</v>
      </c>
      <c r="HN740" s="19">
        <v>8.7</v>
      </c>
      <c r="HO740" s="19">
        <v>7.7</v>
      </c>
      <c r="HP740" s="19">
        <v>6</v>
      </c>
      <c r="HQ740" s="19">
        <v>5.1</v>
      </c>
      <c r="HR740" s="19">
        <v>4.2</v>
      </c>
      <c r="HS740" s="19">
        <v>3.3</v>
      </c>
      <c r="HT740" s="19">
        <v>2.4</v>
      </c>
      <c r="HU740" s="19">
        <v>19.2</v>
      </c>
      <c r="HV740" s="19">
        <v>18.2</v>
      </c>
      <c r="HW740" s="19">
        <v>17.2</v>
      </c>
      <c r="HX740" s="19">
        <v>16.2</v>
      </c>
      <c r="HY740" s="19">
        <v>15.2</v>
      </c>
      <c r="HZ740" s="19">
        <v>14.2</v>
      </c>
      <c r="IA740" s="19">
        <v>13.2</v>
      </c>
      <c r="IB740" s="19">
        <v>12.2</v>
      </c>
    </row>
    <row r="741">
      <c r="A741" s="2" t="s">
        <v>4088</v>
      </c>
      <c r="B741" s="2" t="s">
        <v>825</v>
      </c>
      <c r="C741" s="2" t="s">
        <v>1411</v>
      </c>
      <c r="D741" s="2" t="s">
        <v>261</v>
      </c>
      <c r="E741" s="2" t="s">
        <v>1119</v>
      </c>
      <c r="F741" s="2" t="s">
        <v>4080</v>
      </c>
      <c r="G741" s="2" t="s">
        <v>4081</v>
      </c>
      <c r="H741" s="2" t="s">
        <v>4082</v>
      </c>
      <c r="I741" s="2" t="s">
        <v>4083</v>
      </c>
      <c r="J741" s="2" t="s">
        <v>247</v>
      </c>
      <c r="K741" s="2" t="s">
        <v>3629</v>
      </c>
      <c r="L741" s="3">
        <v>32.4</v>
      </c>
      <c r="M741" s="3">
        <v>34.02</v>
      </c>
      <c r="N741" s="3">
        <v>64.99</v>
      </c>
      <c r="O741" s="2" t="s">
        <v>230</v>
      </c>
      <c r="P741" s="2" t="s">
        <v>231</v>
      </c>
      <c r="Q741" s="2" t="s">
        <v>232</v>
      </c>
      <c r="R741" s="2" t="s">
        <v>233</v>
      </c>
      <c r="S741" s="2" t="s">
        <v>4084</v>
      </c>
      <c r="T741" s="2" t="s">
        <v>469</v>
      </c>
      <c r="U741" s="2" t="s">
        <v>665</v>
      </c>
      <c r="V741" s="2" t="s">
        <v>349</v>
      </c>
      <c r="W741" s="2" t="s">
        <v>237</v>
      </c>
      <c r="X741" s="2" t="s">
        <v>712</v>
      </c>
      <c r="Y741" s="2" t="s">
        <v>2815</v>
      </c>
      <c r="Z741" s="4">
        <v>478</v>
      </c>
      <c r="AA741" s="4">
        <f>=ROUNDDOWN(91.9230769230769,0)</f>
      </c>
      <c r="AB741" s="5">
        <v>5.2</v>
      </c>
      <c r="AC741" s="2" t="s">
        <v>233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233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233</v>
      </c>
      <c r="AW741" s="8" t="s">
        <v>233</v>
      </c>
      <c r="AX741" s="4" t="s">
        <v>233</v>
      </c>
      <c r="AY741" s="8" t="s">
        <v>233</v>
      </c>
      <c r="AZ741" s="7" t="s">
        <v>233</v>
      </c>
      <c r="BA741" s="7" t="s">
        <v>233</v>
      </c>
      <c r="BB741" s="7"/>
      <c r="BC741" s="4" t="s">
        <v>233</v>
      </c>
      <c r="BD741" s="8" t="s">
        <v>233</v>
      </c>
      <c r="BE741" s="4" t="s">
        <v>233</v>
      </c>
      <c r="BF741" s="8" t="s">
        <v>233</v>
      </c>
      <c r="BG741" s="7" t="s">
        <v>233</v>
      </c>
      <c r="BH741" s="7" t="s">
        <v>233</v>
      </c>
      <c r="BI741" s="7"/>
      <c r="BJ741" s="4">
        <v>13</v>
      </c>
      <c r="BK741" s="8">
        <v>470.7</v>
      </c>
      <c r="BL741" s="2" t="s">
        <v>691</v>
      </c>
      <c r="BM741" s="7"/>
      <c r="BN741" s="7"/>
      <c r="BO741" s="4"/>
      <c r="BP741" s="8"/>
      <c r="BQ741" s="4"/>
      <c r="BR741" s="8"/>
      <c r="BS741" s="7"/>
      <c r="BT741" s="7"/>
      <c r="BU741" s="2" t="s">
        <v>4086</v>
      </c>
      <c r="BV741" s="2" t="s">
        <v>233</v>
      </c>
      <c r="BW741" s="2" t="s">
        <v>233</v>
      </c>
      <c r="BX741" s="2" t="s">
        <v>241</v>
      </c>
      <c r="BY741" s="2" t="s">
        <v>242</v>
      </c>
      <c r="BZ741" s="2" t="s">
        <v>230</v>
      </c>
      <c r="CA741" s="2" t="s">
        <v>4087</v>
      </c>
      <c r="CB741" s="2" t="s">
        <v>2817</v>
      </c>
      <c r="CC741" s="2" t="s">
        <v>245</v>
      </c>
      <c r="CD741" s="2" t="s">
        <v>233</v>
      </c>
      <c r="CE741" s="4">
        <v>478</v>
      </c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>
        <v>481</v>
      </c>
      <c r="GD741" s="4">
        <v>455</v>
      </c>
      <c r="GE741" s="4">
        <v>448</v>
      </c>
      <c r="GF741" s="4">
        <v>441</v>
      </c>
      <c r="GG741" s="4">
        <v>434</v>
      </c>
      <c r="GH741" s="4">
        <v>422</v>
      </c>
      <c r="GI741" s="4">
        <v>411</v>
      </c>
      <c r="GJ741" s="4">
        <v>404</v>
      </c>
      <c r="GK741" s="4">
        <v>397</v>
      </c>
      <c r="GL741" s="4">
        <v>391</v>
      </c>
      <c r="GM741" s="4">
        <v>386</v>
      </c>
      <c r="GN741" s="4">
        <v>381</v>
      </c>
      <c r="GO741" s="4">
        <v>376</v>
      </c>
      <c r="GP741" s="4">
        <v>371</v>
      </c>
      <c r="GQ741" s="4">
        <v>366</v>
      </c>
      <c r="GR741" s="4">
        <v>361</v>
      </c>
      <c r="GS741" s="4">
        <v>356</v>
      </c>
      <c r="GT741" s="4">
        <v>350</v>
      </c>
      <c r="GU741" s="4">
        <v>345</v>
      </c>
      <c r="GV741" s="4">
        <v>340</v>
      </c>
      <c r="GW741" s="4">
        <v>335</v>
      </c>
      <c r="GX741" s="4">
        <v>330</v>
      </c>
      <c r="GY741" s="4">
        <v>325</v>
      </c>
      <c r="GZ741" s="4">
        <v>320</v>
      </c>
      <c r="HA741" s="4">
        <v>315</v>
      </c>
      <c r="HB741" s="4">
        <v>310</v>
      </c>
      <c r="HC741" s="19">
        <v>40.1</v>
      </c>
      <c r="HD741" s="19">
        <v>56.9</v>
      </c>
      <c r="HE741" s="19">
        <v>49.8</v>
      </c>
      <c r="HF741" s="19">
        <v>49</v>
      </c>
      <c r="HG741" s="19">
        <v>48.2</v>
      </c>
      <c r="HH741" s="19">
        <v>52.8</v>
      </c>
      <c r="HI741" s="19">
        <v>68.5</v>
      </c>
      <c r="HJ741" s="19">
        <v>67.3</v>
      </c>
      <c r="HK741" s="19">
        <v>79.4</v>
      </c>
      <c r="HL741" s="19">
        <v>78.2</v>
      </c>
      <c r="HM741" s="19">
        <v>77.2</v>
      </c>
      <c r="HN741" s="19">
        <v>76.2</v>
      </c>
      <c r="HO741" s="19">
        <v>75.2</v>
      </c>
      <c r="HP741" s="19">
        <v>74.2</v>
      </c>
      <c r="HQ741" s="19">
        <v>73.2</v>
      </c>
      <c r="HR741" s="19">
        <v>72.2</v>
      </c>
      <c r="HS741" s="19">
        <v>71.2</v>
      </c>
      <c r="HT741" s="19">
        <v>70</v>
      </c>
      <c r="HU741" s="19">
        <v>69</v>
      </c>
      <c r="HV741" s="19">
        <v>68</v>
      </c>
      <c r="HW741" s="19">
        <v>67</v>
      </c>
      <c r="HX741" s="19">
        <v>66</v>
      </c>
      <c r="HY741" s="19">
        <v>65</v>
      </c>
      <c r="HZ741" s="19">
        <v>64</v>
      </c>
      <c r="IA741" s="19">
        <v>63</v>
      </c>
      <c r="IB741" s="19">
        <v>62</v>
      </c>
    </row>
    <row r="742">
      <c r="A742" s="2" t="s">
        <v>4089</v>
      </c>
      <c r="B742" s="2" t="s">
        <v>872</v>
      </c>
      <c r="C742" s="2" t="s">
        <v>762</v>
      </c>
      <c r="D742" s="2" t="s">
        <v>261</v>
      </c>
      <c r="E742" s="2" t="s">
        <v>895</v>
      </c>
      <c r="F742" s="2" t="s">
        <v>4090</v>
      </c>
      <c r="G742" s="2" t="s">
        <v>4090</v>
      </c>
      <c r="H742" s="2" t="s">
        <v>4090</v>
      </c>
      <c r="I742" s="2" t="s">
        <v>4091</v>
      </c>
      <c r="J742" s="2" t="s">
        <v>265</v>
      </c>
      <c r="K742" s="2" t="s">
        <v>266</v>
      </c>
      <c r="L742" s="3">
        <v>59.99</v>
      </c>
      <c r="M742" s="3">
        <v>62.99</v>
      </c>
      <c r="N742" s="3">
        <v>119.99</v>
      </c>
      <c r="O742" s="2" t="s">
        <v>230</v>
      </c>
      <c r="P742" s="2" t="s">
        <v>231</v>
      </c>
      <c r="Q742" s="2" t="s">
        <v>232</v>
      </c>
      <c r="R742" s="2" t="s">
        <v>233</v>
      </c>
      <c r="S742" s="2" t="s">
        <v>4092</v>
      </c>
      <c r="T742" s="2" t="s">
        <v>233</v>
      </c>
      <c r="U742" s="2" t="s">
        <v>781</v>
      </c>
      <c r="V742" s="2" t="s">
        <v>236</v>
      </c>
      <c r="W742" s="2" t="s">
        <v>712</v>
      </c>
      <c r="X742" s="2" t="s">
        <v>237</v>
      </c>
      <c r="Y742" s="2" t="s">
        <v>238</v>
      </c>
      <c r="Z742" s="4">
        <v>184</v>
      </c>
      <c r="AA742" s="4">
        <f>=ROUNDDOWN(46,0)</f>
      </c>
      <c r="AB742" s="5">
        <v>4</v>
      </c>
      <c r="AC742" s="2" t="s">
        <v>233</v>
      </c>
      <c r="AD742" s="4"/>
      <c r="AE742" s="4"/>
      <c r="AF742" s="6">
        <v>67</v>
      </c>
      <c r="AG742" s="6"/>
      <c r="AH742" s="7">
        <v>1</v>
      </c>
      <c r="AI742" s="4"/>
      <c r="AJ742" s="4">
        <f>=ROUNDDOWN({0},0)</f>
      </c>
      <c r="AK742" s="5"/>
      <c r="AL742" s="2" t="s">
        <v>233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233</v>
      </c>
      <c r="AW742" s="8" t="s">
        <v>233</v>
      </c>
      <c r="AX742" s="4" t="s">
        <v>233</v>
      </c>
      <c r="AY742" s="8" t="s">
        <v>233</v>
      </c>
      <c r="AZ742" s="7" t="s">
        <v>233</v>
      </c>
      <c r="BA742" s="7" t="s">
        <v>233</v>
      </c>
      <c r="BB742" s="7"/>
      <c r="BC742" s="4" t="s">
        <v>233</v>
      </c>
      <c r="BD742" s="8" t="s">
        <v>233</v>
      </c>
      <c r="BE742" s="4" t="s">
        <v>233</v>
      </c>
      <c r="BF742" s="8" t="s">
        <v>233</v>
      </c>
      <c r="BG742" s="7" t="s">
        <v>233</v>
      </c>
      <c r="BH742" s="7" t="s">
        <v>233</v>
      </c>
      <c r="BI742" s="7"/>
      <c r="BJ742" s="4">
        <v>10</v>
      </c>
      <c r="BK742" s="8">
        <v>617.5</v>
      </c>
      <c r="BL742" s="2" t="s">
        <v>4093</v>
      </c>
      <c r="BM742" s="7"/>
      <c r="BN742" s="7"/>
      <c r="BO742" s="4"/>
      <c r="BP742" s="8"/>
      <c r="BQ742" s="4"/>
      <c r="BR742" s="8"/>
      <c r="BS742" s="7"/>
      <c r="BT742" s="7"/>
      <c r="BU742" s="2" t="s">
        <v>4094</v>
      </c>
      <c r="BV742" s="2" t="s">
        <v>233</v>
      </c>
      <c r="BW742" s="2" t="s">
        <v>233</v>
      </c>
      <c r="BX742" s="2" t="s">
        <v>241</v>
      </c>
      <c r="BY742" s="2" t="s">
        <v>242</v>
      </c>
      <c r="BZ742" s="2" t="s">
        <v>230</v>
      </c>
      <c r="CA742" s="2" t="s">
        <v>243</v>
      </c>
      <c r="CB742" s="2" t="s">
        <v>4095</v>
      </c>
      <c r="CC742" s="2" t="s">
        <v>245</v>
      </c>
      <c r="CD742" s="2" t="s">
        <v>233</v>
      </c>
      <c r="CE742" s="4">
        <v>94</v>
      </c>
      <c r="CF742" s="4"/>
      <c r="CG742" s="4"/>
      <c r="CH742" s="4">
        <v>90</v>
      </c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>
        <v>185</v>
      </c>
      <c r="GD742" s="4">
        <v>172</v>
      </c>
      <c r="GE742" s="4">
        <v>166</v>
      </c>
      <c r="GF742" s="4">
        <v>160</v>
      </c>
      <c r="GG742" s="4">
        <v>148</v>
      </c>
      <c r="GH742" s="4">
        <v>143</v>
      </c>
      <c r="GI742" s="4">
        <v>138</v>
      </c>
      <c r="GJ742" s="4">
        <v>134</v>
      </c>
      <c r="GK742" s="4">
        <v>131</v>
      </c>
      <c r="GL742" s="4">
        <v>127</v>
      </c>
      <c r="GM742" s="4">
        <v>123</v>
      </c>
      <c r="GN742" s="4">
        <v>119</v>
      </c>
      <c r="GO742" s="4">
        <v>115</v>
      </c>
      <c r="GP742" s="4">
        <v>111</v>
      </c>
      <c r="GQ742" s="4">
        <v>107</v>
      </c>
      <c r="GR742" s="4">
        <v>103</v>
      </c>
      <c r="GS742" s="4">
        <v>99</v>
      </c>
      <c r="GT742" s="4">
        <v>95</v>
      </c>
      <c r="GU742" s="4">
        <v>91</v>
      </c>
      <c r="GV742" s="4">
        <v>87</v>
      </c>
      <c r="GW742" s="4">
        <v>83</v>
      </c>
      <c r="GX742" s="4">
        <v>79</v>
      </c>
      <c r="GY742" s="4">
        <v>75</v>
      </c>
      <c r="GZ742" s="4">
        <v>71</v>
      </c>
      <c r="HA742" s="4">
        <v>67</v>
      </c>
      <c r="HB742" s="4">
        <v>169</v>
      </c>
      <c r="HC742" s="19">
        <v>20.6</v>
      </c>
      <c r="HD742" s="19">
        <v>24.6</v>
      </c>
      <c r="HE742" s="19">
        <v>23.7</v>
      </c>
      <c r="HF742" s="19">
        <v>26.7</v>
      </c>
      <c r="HG742" s="19">
        <v>37</v>
      </c>
      <c r="HH742" s="19">
        <v>35.8</v>
      </c>
      <c r="HI742" s="19">
        <v>34.5</v>
      </c>
      <c r="HJ742" s="19">
        <v>33.5</v>
      </c>
      <c r="HK742" s="19">
        <v>32.8</v>
      </c>
      <c r="HL742" s="19">
        <v>31.8</v>
      </c>
      <c r="HM742" s="19">
        <v>30.8</v>
      </c>
      <c r="HN742" s="19">
        <v>29.8</v>
      </c>
      <c r="HO742" s="19">
        <v>28.8</v>
      </c>
      <c r="HP742" s="19">
        <v>27.8</v>
      </c>
      <c r="HQ742" s="19">
        <v>26.8</v>
      </c>
      <c r="HR742" s="19">
        <v>25.8</v>
      </c>
      <c r="HS742" s="19">
        <v>24.8</v>
      </c>
      <c r="HT742" s="19">
        <v>23.8</v>
      </c>
      <c r="HU742" s="19">
        <v>22.8</v>
      </c>
      <c r="HV742" s="19">
        <v>21.8</v>
      </c>
      <c r="HW742" s="19">
        <v>20.8</v>
      </c>
      <c r="HX742" s="19">
        <v>19.8</v>
      </c>
      <c r="HY742" s="19">
        <v>18.8</v>
      </c>
      <c r="HZ742" s="19">
        <v>17.8</v>
      </c>
      <c r="IA742" s="19">
        <v>16.8</v>
      </c>
      <c r="IB742" s="19">
        <v>42.3</v>
      </c>
    </row>
    <row r="743">
      <c r="A743" s="2" t="s">
        <v>4096</v>
      </c>
      <c r="B743" s="2" t="s">
        <v>872</v>
      </c>
      <c r="C743" s="2" t="s">
        <v>762</v>
      </c>
      <c r="D743" s="2" t="s">
        <v>261</v>
      </c>
      <c r="E743" s="2" t="s">
        <v>895</v>
      </c>
      <c r="F743" s="2" t="s">
        <v>4090</v>
      </c>
      <c r="G743" s="2" t="s">
        <v>4090</v>
      </c>
      <c r="H743" s="2" t="s">
        <v>4090</v>
      </c>
      <c r="I743" s="2" t="s">
        <v>4091</v>
      </c>
      <c r="J743" s="2" t="s">
        <v>275</v>
      </c>
      <c r="K743" s="2" t="s">
        <v>266</v>
      </c>
      <c r="L743" s="3">
        <v>75</v>
      </c>
      <c r="M743" s="3">
        <v>78.74</v>
      </c>
      <c r="N743" s="3">
        <v>149.99</v>
      </c>
      <c r="O743" s="2" t="s">
        <v>230</v>
      </c>
      <c r="P743" s="2" t="s">
        <v>231</v>
      </c>
      <c r="Q743" s="2" t="s">
        <v>232</v>
      </c>
      <c r="R743" s="2" t="s">
        <v>233</v>
      </c>
      <c r="S743" s="2" t="s">
        <v>4092</v>
      </c>
      <c r="T743" s="2" t="s">
        <v>233</v>
      </c>
      <c r="U743" s="2" t="s">
        <v>781</v>
      </c>
      <c r="V743" s="2" t="s">
        <v>236</v>
      </c>
      <c r="W743" s="2" t="s">
        <v>712</v>
      </c>
      <c r="X743" s="2" t="s">
        <v>237</v>
      </c>
      <c r="Y743" s="2" t="s">
        <v>238</v>
      </c>
      <c r="Z743" s="4">
        <v>160</v>
      </c>
      <c r="AA743" s="4">
        <f>=ROUNDDOWN(40,0)</f>
      </c>
      <c r="AB743" s="5">
        <v>4</v>
      </c>
      <c r="AC743" s="2" t="s">
        <v>233</v>
      </c>
      <c r="AD743" s="4"/>
      <c r="AE743" s="4"/>
      <c r="AF743" s="6">
        <v>67</v>
      </c>
      <c r="AG743" s="6"/>
      <c r="AH743" s="7">
        <v>1</v>
      </c>
      <c r="AI743" s="4"/>
      <c r="AJ743" s="4">
        <f>=ROUNDDOWN({0},0)</f>
      </c>
      <c r="AK743" s="5"/>
      <c r="AL743" s="2" t="s">
        <v>233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233</v>
      </c>
      <c r="AW743" s="8" t="s">
        <v>233</v>
      </c>
      <c r="AX743" s="4" t="s">
        <v>233</v>
      </c>
      <c r="AY743" s="8" t="s">
        <v>233</v>
      </c>
      <c r="AZ743" s="7" t="s">
        <v>233</v>
      </c>
      <c r="BA743" s="7" t="s">
        <v>233</v>
      </c>
      <c r="BB743" s="7"/>
      <c r="BC743" s="4" t="s">
        <v>233</v>
      </c>
      <c r="BD743" s="8" t="s">
        <v>233</v>
      </c>
      <c r="BE743" s="4" t="s">
        <v>233</v>
      </c>
      <c r="BF743" s="8" t="s">
        <v>233</v>
      </c>
      <c r="BG743" s="7" t="s">
        <v>233</v>
      </c>
      <c r="BH743" s="7" t="s">
        <v>233</v>
      </c>
      <c r="BI743" s="7"/>
      <c r="BJ743" s="4">
        <v>26</v>
      </c>
      <c r="BK743" s="8">
        <v>2081.36</v>
      </c>
      <c r="BL743" s="2" t="s">
        <v>4097</v>
      </c>
      <c r="BM743" s="7"/>
      <c r="BN743" s="7"/>
      <c r="BO743" s="4"/>
      <c r="BP743" s="8"/>
      <c r="BQ743" s="4"/>
      <c r="BR743" s="8"/>
      <c r="BS743" s="7"/>
      <c r="BT743" s="7"/>
      <c r="BU743" s="2" t="s">
        <v>4094</v>
      </c>
      <c r="BV743" s="2" t="s">
        <v>233</v>
      </c>
      <c r="BW743" s="2" t="s">
        <v>233</v>
      </c>
      <c r="BX743" s="2" t="s">
        <v>241</v>
      </c>
      <c r="BY743" s="2" t="s">
        <v>242</v>
      </c>
      <c r="BZ743" s="2" t="s">
        <v>230</v>
      </c>
      <c r="CA743" s="2" t="s">
        <v>243</v>
      </c>
      <c r="CB743" s="2" t="s">
        <v>4098</v>
      </c>
      <c r="CC743" s="2" t="s">
        <v>245</v>
      </c>
      <c r="CD743" s="2" t="s">
        <v>233</v>
      </c>
      <c r="CE743" s="4">
        <v>70</v>
      </c>
      <c r="CF743" s="4"/>
      <c r="CG743" s="4"/>
      <c r="CH743" s="4">
        <v>90</v>
      </c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>
        <v>163</v>
      </c>
      <c r="GD743" s="4">
        <v>159</v>
      </c>
      <c r="GE743" s="4">
        <v>154</v>
      </c>
      <c r="GF743" s="4">
        <v>149</v>
      </c>
      <c r="GG743" s="4">
        <v>137</v>
      </c>
      <c r="GH743" s="4">
        <v>132</v>
      </c>
      <c r="GI743" s="4">
        <v>127</v>
      </c>
      <c r="GJ743" s="4">
        <v>123</v>
      </c>
      <c r="GK743" s="4">
        <v>120</v>
      </c>
      <c r="GL743" s="4">
        <v>116</v>
      </c>
      <c r="GM743" s="4">
        <v>112</v>
      </c>
      <c r="GN743" s="4">
        <v>108</v>
      </c>
      <c r="GO743" s="4">
        <v>104</v>
      </c>
      <c r="GP743" s="4">
        <v>100</v>
      </c>
      <c r="GQ743" s="4">
        <v>96</v>
      </c>
      <c r="GR743" s="4">
        <v>92</v>
      </c>
      <c r="GS743" s="4">
        <v>88</v>
      </c>
      <c r="GT743" s="4">
        <v>84</v>
      </c>
      <c r="GU743" s="4">
        <v>80</v>
      </c>
      <c r="GV743" s="4">
        <v>76</v>
      </c>
      <c r="GW743" s="4">
        <v>72</v>
      </c>
      <c r="GX743" s="4">
        <v>68</v>
      </c>
      <c r="GY743" s="4">
        <v>64</v>
      </c>
      <c r="GZ743" s="4">
        <v>60</v>
      </c>
      <c r="HA743" s="4">
        <v>56</v>
      </c>
      <c r="HB743" s="4">
        <v>169</v>
      </c>
      <c r="HC743" s="19">
        <v>27.2</v>
      </c>
      <c r="HD743" s="19">
        <v>22.7</v>
      </c>
      <c r="HE743" s="19">
        <v>22</v>
      </c>
      <c r="HF743" s="19">
        <v>24.8</v>
      </c>
      <c r="HG743" s="19">
        <v>34.3</v>
      </c>
      <c r="HH743" s="19">
        <v>33</v>
      </c>
      <c r="HI743" s="19">
        <v>31.8</v>
      </c>
      <c r="HJ743" s="19">
        <v>30.8</v>
      </c>
      <c r="HK743" s="19">
        <v>30</v>
      </c>
      <c r="HL743" s="19">
        <v>29</v>
      </c>
      <c r="HM743" s="19">
        <v>28</v>
      </c>
      <c r="HN743" s="19">
        <v>27</v>
      </c>
      <c r="HO743" s="19">
        <v>26</v>
      </c>
      <c r="HP743" s="19">
        <v>25</v>
      </c>
      <c r="HQ743" s="19">
        <v>24</v>
      </c>
      <c r="HR743" s="19">
        <v>23</v>
      </c>
      <c r="HS743" s="19">
        <v>22</v>
      </c>
      <c r="HT743" s="19">
        <v>21</v>
      </c>
      <c r="HU743" s="19">
        <v>20</v>
      </c>
      <c r="HV743" s="19">
        <v>19</v>
      </c>
      <c r="HW743" s="19">
        <v>18</v>
      </c>
      <c r="HX743" s="19">
        <v>17</v>
      </c>
      <c r="HY743" s="19">
        <v>16</v>
      </c>
      <c r="HZ743" s="19">
        <v>15</v>
      </c>
      <c r="IA743" s="19">
        <v>14</v>
      </c>
      <c r="IB743" s="19">
        <v>42.3</v>
      </c>
    </row>
    <row r="744">
      <c r="A744" s="2" t="s">
        <v>4099</v>
      </c>
      <c r="B744" s="2" t="s">
        <v>736</v>
      </c>
      <c r="C744" s="2" t="s">
        <v>280</v>
      </c>
      <c r="D744" s="2" t="s">
        <v>4100</v>
      </c>
      <c r="E744" s="2" t="s">
        <v>4101</v>
      </c>
      <c r="F744" s="2" t="s">
        <v>4102</v>
      </c>
      <c r="G744" s="2" t="s">
        <v>4102</v>
      </c>
      <c r="H744" s="2" t="s">
        <v>4102</v>
      </c>
      <c r="I744" s="2" t="s">
        <v>4103</v>
      </c>
      <c r="J744" s="2" t="s">
        <v>741</v>
      </c>
      <c r="K744" s="2" t="s">
        <v>4104</v>
      </c>
      <c r="L744" s="3">
        <v>40.19</v>
      </c>
      <c r="M744" s="3">
        <v>42.2</v>
      </c>
      <c r="N744" s="3">
        <v>89.99</v>
      </c>
      <c r="O744" s="2" t="s">
        <v>230</v>
      </c>
      <c r="P744" s="2" t="s">
        <v>597</v>
      </c>
      <c r="Q744" s="2" t="s">
        <v>232</v>
      </c>
      <c r="R744" s="2" t="s">
        <v>233</v>
      </c>
      <c r="S744" s="2" t="s">
        <v>4105</v>
      </c>
      <c r="T744" s="2" t="s">
        <v>233</v>
      </c>
      <c r="U744" s="2" t="s">
        <v>329</v>
      </c>
      <c r="V744" s="2" t="s">
        <v>236</v>
      </c>
      <c r="W744" s="2" t="s">
        <v>620</v>
      </c>
      <c r="X744" s="2" t="s">
        <v>233</v>
      </c>
      <c r="Y744" s="2" t="s">
        <v>4106</v>
      </c>
      <c r="Z744" s="4">
        <v>153</v>
      </c>
      <c r="AA744" s="4">
        <f>=ROUNDDOWN(13.9090909090909,0)</f>
      </c>
      <c r="AB744" s="5">
        <v>11</v>
      </c>
      <c r="AC744" s="2" t="s">
        <v>148</v>
      </c>
      <c r="AD744" s="4">
        <v>120</v>
      </c>
      <c r="AE744" s="4">
        <v>120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233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/>
      <c r="BD744" s="8"/>
      <c r="BE744" s="4"/>
      <c r="BF744" s="8"/>
      <c r="BG744" s="7"/>
      <c r="BH744" s="7"/>
      <c r="BI744" s="7"/>
      <c r="BJ744" s="4">
        <v>56</v>
      </c>
      <c r="BK744" s="8">
        <v>2608.38</v>
      </c>
      <c r="BL744" s="2" t="s">
        <v>4107</v>
      </c>
      <c r="BM744" s="7"/>
      <c r="BN744" s="7"/>
      <c r="BO744" s="4"/>
      <c r="BP744" s="8"/>
      <c r="BQ744" s="4"/>
      <c r="BR744" s="8"/>
      <c r="BS744" s="7"/>
      <c r="BT744" s="7"/>
      <c r="BU744" s="2" t="s">
        <v>4108</v>
      </c>
      <c r="BV744" s="2" t="s">
        <v>233</v>
      </c>
      <c r="BW744" s="2" t="s">
        <v>233</v>
      </c>
      <c r="BX744" s="2" t="s">
        <v>241</v>
      </c>
      <c r="BY744" s="2" t="s">
        <v>242</v>
      </c>
      <c r="BZ744" s="2" t="s">
        <v>230</v>
      </c>
      <c r="CA744" s="2" t="s">
        <v>1086</v>
      </c>
      <c r="CB744" s="2" t="s">
        <v>3877</v>
      </c>
      <c r="CC744" s="2" t="s">
        <v>245</v>
      </c>
      <c r="CD744" s="2" t="s">
        <v>233</v>
      </c>
      <c r="CE744" s="4"/>
      <c r="CF744" s="4">
        <v>153</v>
      </c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>
        <v>120</v>
      </c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>
        <v>164</v>
      </c>
      <c r="GD744" s="4">
        <v>144</v>
      </c>
      <c r="GE744" s="4">
        <v>133</v>
      </c>
      <c r="GF744" s="4">
        <v>120</v>
      </c>
      <c r="GG744" s="4">
        <v>225</v>
      </c>
      <c r="GH744" s="4">
        <v>212</v>
      </c>
      <c r="GI744" s="4">
        <v>198</v>
      </c>
      <c r="GJ744" s="4">
        <v>187</v>
      </c>
      <c r="GK744" s="4">
        <v>176</v>
      </c>
      <c r="GL744" s="4">
        <v>165</v>
      </c>
      <c r="GM744" s="4">
        <v>154</v>
      </c>
      <c r="GN744" s="4">
        <v>143</v>
      </c>
      <c r="GO744" s="4">
        <v>132</v>
      </c>
      <c r="GP744" s="4">
        <v>121</v>
      </c>
      <c r="GQ744" s="4">
        <v>110</v>
      </c>
      <c r="GR744" s="4">
        <v>99</v>
      </c>
      <c r="GS744" s="4">
        <v>88</v>
      </c>
      <c r="GT744" s="4">
        <v>75</v>
      </c>
      <c r="GU744" s="4">
        <v>64</v>
      </c>
      <c r="GV744" s="4">
        <v>257</v>
      </c>
      <c r="GW744" s="4">
        <v>246</v>
      </c>
      <c r="GX744" s="4">
        <v>235</v>
      </c>
      <c r="GY744" s="4">
        <v>224</v>
      </c>
      <c r="GZ744" s="4">
        <v>213</v>
      </c>
      <c r="HA744" s="4">
        <v>202</v>
      </c>
      <c r="HB744" s="4">
        <v>191</v>
      </c>
      <c r="HC744" s="19">
        <v>10.9</v>
      </c>
      <c r="HD744" s="19">
        <v>11.1</v>
      </c>
      <c r="HE744" s="19">
        <v>9.5</v>
      </c>
      <c r="HF744" s="19">
        <v>9.2</v>
      </c>
      <c r="HG744" s="19">
        <v>18.8</v>
      </c>
      <c r="HH744" s="19">
        <v>17.7</v>
      </c>
      <c r="HI744" s="19">
        <v>18</v>
      </c>
      <c r="HJ744" s="19">
        <v>17</v>
      </c>
      <c r="HK744" s="19">
        <v>16</v>
      </c>
      <c r="HL744" s="19">
        <v>15</v>
      </c>
      <c r="HM744" s="19">
        <v>14</v>
      </c>
      <c r="HN744" s="19">
        <v>13</v>
      </c>
      <c r="HO744" s="19">
        <v>12</v>
      </c>
      <c r="HP744" s="19">
        <v>10.1</v>
      </c>
      <c r="HQ744" s="19">
        <v>9.2</v>
      </c>
      <c r="HR744" s="19">
        <v>8.3</v>
      </c>
      <c r="HS744" s="19">
        <v>7.3</v>
      </c>
      <c r="HT744" s="19">
        <v>6.8</v>
      </c>
      <c r="HU744" s="19">
        <v>5.8</v>
      </c>
      <c r="HV744" s="19">
        <v>23.4</v>
      </c>
      <c r="HW744" s="19">
        <v>22.4</v>
      </c>
      <c r="HX744" s="19">
        <v>21.4</v>
      </c>
      <c r="HY744" s="19">
        <v>20.4</v>
      </c>
      <c r="HZ744" s="19">
        <v>19.4</v>
      </c>
      <c r="IA744" s="19">
        <v>18.4</v>
      </c>
      <c r="IB744" s="19">
        <v>17.4</v>
      </c>
    </row>
    <row r="745">
      <c r="A745" s="2" t="s">
        <v>4109</v>
      </c>
      <c r="B745" s="2" t="s">
        <v>761</v>
      </c>
      <c r="C745" s="2" t="s">
        <v>280</v>
      </c>
      <c r="D745" s="2" t="s">
        <v>763</v>
      </c>
      <c r="E745" s="2" t="s">
        <v>764</v>
      </c>
      <c r="F745" s="2" t="s">
        <v>4110</v>
      </c>
      <c r="G745" s="2" t="s">
        <v>4111</v>
      </c>
      <c r="H745" s="2" t="s">
        <v>1478</v>
      </c>
      <c r="I745" s="2" t="s">
        <v>764</v>
      </c>
      <c r="J745" s="2" t="s">
        <v>741</v>
      </c>
      <c r="K745" s="2" t="s">
        <v>300</v>
      </c>
      <c r="L745" s="3">
        <v>142.86</v>
      </c>
      <c r="M745" s="3">
        <v>150</v>
      </c>
      <c r="N745" s="3">
        <v>299</v>
      </c>
      <c r="O745" s="2" t="s">
        <v>230</v>
      </c>
      <c r="P745" s="2" t="s">
        <v>721</v>
      </c>
      <c r="Q745" s="2" t="s">
        <v>232</v>
      </c>
      <c r="R745" s="2" t="s">
        <v>233</v>
      </c>
      <c r="S745" s="2" t="s">
        <v>233</v>
      </c>
      <c r="T745" s="2" t="s">
        <v>233</v>
      </c>
      <c r="U745" s="2" t="s">
        <v>329</v>
      </c>
      <c r="V745" s="2" t="s">
        <v>236</v>
      </c>
      <c r="W745" s="2" t="s">
        <v>712</v>
      </c>
      <c r="X745" s="2" t="s">
        <v>237</v>
      </c>
      <c r="Y745" s="2" t="s">
        <v>4112</v>
      </c>
      <c r="Z745" s="4">
        <v>63</v>
      </c>
      <c r="AA745" s="4">
        <f>=ROUNDDOWN(63,0)</f>
      </c>
      <c r="AB745" s="5">
        <v>1</v>
      </c>
      <c r="AC745" s="2" t="s">
        <v>2462</v>
      </c>
      <c r="AD745" s="4">
        <v>95</v>
      </c>
      <c r="AE745" s="4">
        <v>95</v>
      </c>
      <c r="AF745" s="6">
        <v>68</v>
      </c>
      <c r="AG745" s="6"/>
      <c r="AH745" s="7">
        <v>1</v>
      </c>
      <c r="AI745" s="4"/>
      <c r="AJ745" s="4">
        <f>=ROUNDDOWN({0},0)</f>
      </c>
      <c r="AK745" s="5"/>
      <c r="AL745" s="2" t="s">
        <v>233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/>
      <c r="BD745" s="8"/>
      <c r="BE745" s="4"/>
      <c r="BF745" s="8"/>
      <c r="BG745" s="7"/>
      <c r="BH745" s="7"/>
      <c r="BI745" s="7"/>
      <c r="BJ745" s="4"/>
      <c r="BK745" s="8"/>
      <c r="BL745" s="2" t="s">
        <v>233</v>
      </c>
      <c r="BM745" s="7"/>
      <c r="BN745" s="7"/>
      <c r="BO745" s="4"/>
      <c r="BP745" s="8"/>
      <c r="BQ745" s="4"/>
      <c r="BR745" s="8"/>
      <c r="BS745" s="7"/>
      <c r="BT745" s="7"/>
      <c r="BU745" s="2" t="s">
        <v>4113</v>
      </c>
      <c r="BV745" s="2" t="s">
        <v>233</v>
      </c>
      <c r="BW745" s="2" t="s">
        <v>233</v>
      </c>
      <c r="BX745" s="2" t="s">
        <v>241</v>
      </c>
      <c r="BY745" s="2" t="s">
        <v>242</v>
      </c>
      <c r="BZ745" s="2" t="s">
        <v>230</v>
      </c>
      <c r="CA745" s="2" t="s">
        <v>4114</v>
      </c>
      <c r="CB745" s="2" t="s">
        <v>2203</v>
      </c>
      <c r="CC745" s="2" t="s">
        <v>245</v>
      </c>
      <c r="CD745" s="2" t="s">
        <v>233</v>
      </c>
      <c r="CE745" s="4"/>
      <c r="CF745" s="4">
        <v>63</v>
      </c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>
        <v>95</v>
      </c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>
        <v>67</v>
      </c>
      <c r="GD745" s="4">
        <v>66</v>
      </c>
      <c r="GE745" s="4">
        <v>64</v>
      </c>
      <c r="GF745" s="4">
        <v>63</v>
      </c>
      <c r="GG745" s="4">
        <v>61</v>
      </c>
      <c r="GH745" s="4">
        <v>60</v>
      </c>
      <c r="GI745" s="4">
        <v>59</v>
      </c>
      <c r="GJ745" s="4">
        <v>58</v>
      </c>
      <c r="GK745" s="4">
        <v>57</v>
      </c>
      <c r="GL745" s="4">
        <v>56</v>
      </c>
      <c r="GM745" s="4">
        <v>55</v>
      </c>
      <c r="GN745" s="4">
        <v>54</v>
      </c>
      <c r="GO745" s="4">
        <v>53</v>
      </c>
      <c r="GP745" s="4">
        <v>52</v>
      </c>
      <c r="GQ745" s="4">
        <v>51</v>
      </c>
      <c r="GR745" s="4">
        <v>50</v>
      </c>
      <c r="GS745" s="4">
        <v>144</v>
      </c>
      <c r="GT745" s="4">
        <v>143</v>
      </c>
      <c r="GU745" s="4">
        <v>142</v>
      </c>
      <c r="GV745" s="4">
        <v>141</v>
      </c>
      <c r="GW745" s="4">
        <v>140</v>
      </c>
      <c r="GX745" s="4">
        <v>139</v>
      </c>
      <c r="GY745" s="4">
        <v>138</v>
      </c>
      <c r="GZ745" s="4">
        <v>137</v>
      </c>
      <c r="HA745" s="4">
        <v>136</v>
      </c>
      <c r="HB745" s="4">
        <v>135</v>
      </c>
      <c r="HC745" s="19">
        <v>33.5</v>
      </c>
      <c r="HD745" s="19">
        <v>33</v>
      </c>
      <c r="HE745" s="19">
        <v>64</v>
      </c>
      <c r="HF745" s="19">
        <v>63</v>
      </c>
      <c r="HG745" s="19">
        <v>61</v>
      </c>
      <c r="HH745" s="19">
        <v>60</v>
      </c>
      <c r="HI745" s="19">
        <v>59</v>
      </c>
      <c r="HJ745" s="19">
        <v>58</v>
      </c>
      <c r="HK745" s="19">
        <v>57</v>
      </c>
      <c r="HL745" s="19">
        <v>56</v>
      </c>
      <c r="HM745" s="19">
        <v>55</v>
      </c>
      <c r="HN745" s="19">
        <v>54</v>
      </c>
      <c r="HO745" s="19">
        <v>53</v>
      </c>
      <c r="HP745" s="19">
        <v>52</v>
      </c>
      <c r="HQ745" s="19">
        <v>51</v>
      </c>
      <c r="HR745" s="19">
        <v>50</v>
      </c>
      <c r="HS745" s="19">
        <v>144</v>
      </c>
      <c r="HT745" s="19">
        <v>143</v>
      </c>
      <c r="HU745" s="19">
        <v>142</v>
      </c>
      <c r="HV745" s="19">
        <v>141</v>
      </c>
      <c r="HW745" s="19">
        <v>140</v>
      </c>
      <c r="HX745" s="19">
        <v>139</v>
      </c>
      <c r="HY745" s="19">
        <v>138</v>
      </c>
      <c r="HZ745" s="19">
        <v>137</v>
      </c>
      <c r="IA745" s="19">
        <v>136</v>
      </c>
      <c r="IB745" s="19">
        <v>135</v>
      </c>
    </row>
    <row r="746">
      <c r="A746" s="2" t="s">
        <v>4115</v>
      </c>
      <c r="B746" s="2" t="s">
        <v>938</v>
      </c>
      <c r="C746" s="2" t="s">
        <v>1318</v>
      </c>
      <c r="D746" s="2" t="s">
        <v>972</v>
      </c>
      <c r="E746" s="2" t="s">
        <v>973</v>
      </c>
      <c r="F746" s="2" t="s">
        <v>4116</v>
      </c>
      <c r="G746" s="2" t="s">
        <v>4117</v>
      </c>
      <c r="H746" s="2" t="s">
        <v>4118</v>
      </c>
      <c r="I746" s="2" t="s">
        <v>4119</v>
      </c>
      <c r="J746" s="2" t="s">
        <v>978</v>
      </c>
      <c r="K746" s="2" t="s">
        <v>300</v>
      </c>
      <c r="L746" s="3">
        <v>16.28</v>
      </c>
      <c r="M746" s="3">
        <v>17.09</v>
      </c>
      <c r="N746" s="3">
        <v>36.99</v>
      </c>
      <c r="O746" s="2" t="s">
        <v>230</v>
      </c>
      <c r="P746" s="2" t="s">
        <v>231</v>
      </c>
      <c r="Q746" s="2" t="s">
        <v>232</v>
      </c>
      <c r="R746" s="2" t="s">
        <v>233</v>
      </c>
      <c r="S746" s="2" t="s">
        <v>4120</v>
      </c>
      <c r="T746" s="2" t="s">
        <v>233</v>
      </c>
      <c r="U746" s="2" t="s">
        <v>233</v>
      </c>
      <c r="V746" s="2" t="s">
        <v>236</v>
      </c>
      <c r="W746" s="2" t="s">
        <v>237</v>
      </c>
      <c r="X746" s="2" t="s">
        <v>1432</v>
      </c>
      <c r="Y746" s="2" t="s">
        <v>3622</v>
      </c>
      <c r="Z746" s="4">
        <v>219</v>
      </c>
      <c r="AA746" s="4">
        <f>=ROUNDDOWN(19.9090909090909,0)</f>
      </c>
      <c r="AB746" s="5">
        <v>11</v>
      </c>
      <c r="AC746" s="2" t="s">
        <v>168</v>
      </c>
      <c r="AD746" s="4">
        <v>220</v>
      </c>
      <c r="AE746" s="4">
        <v>220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233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233</v>
      </c>
      <c r="AW746" s="8" t="s">
        <v>233</v>
      </c>
      <c r="AX746" s="4" t="s">
        <v>233</v>
      </c>
      <c r="AY746" s="8" t="s">
        <v>233</v>
      </c>
      <c r="AZ746" s="7" t="s">
        <v>233</v>
      </c>
      <c r="BA746" s="7" t="s">
        <v>233</v>
      </c>
      <c r="BB746" s="7"/>
      <c r="BC746" s="4" t="s">
        <v>233</v>
      </c>
      <c r="BD746" s="8" t="s">
        <v>233</v>
      </c>
      <c r="BE746" s="4" t="s">
        <v>233</v>
      </c>
      <c r="BF746" s="8" t="s">
        <v>233</v>
      </c>
      <c r="BG746" s="7" t="s">
        <v>233</v>
      </c>
      <c r="BH746" s="7" t="s">
        <v>233</v>
      </c>
      <c r="BI746" s="7"/>
      <c r="BJ746" s="4">
        <v>26</v>
      </c>
      <c r="BK746" s="8">
        <v>454.22</v>
      </c>
      <c r="BL746" s="2" t="s">
        <v>4121</v>
      </c>
      <c r="BM746" s="7"/>
      <c r="BN746" s="7"/>
      <c r="BO746" s="4"/>
      <c r="BP746" s="8"/>
      <c r="BQ746" s="4"/>
      <c r="BR746" s="8"/>
      <c r="BS746" s="7"/>
      <c r="BT746" s="7"/>
      <c r="BU746" s="2" t="s">
        <v>4122</v>
      </c>
      <c r="BV746" s="2" t="s">
        <v>233</v>
      </c>
      <c r="BW746" s="2" t="s">
        <v>233</v>
      </c>
      <c r="BX746" s="2" t="s">
        <v>241</v>
      </c>
      <c r="BY746" s="2" t="s">
        <v>242</v>
      </c>
      <c r="BZ746" s="2" t="s">
        <v>230</v>
      </c>
      <c r="CA746" s="2" t="s">
        <v>498</v>
      </c>
      <c r="CB746" s="2" t="s">
        <v>1117</v>
      </c>
      <c r="CC746" s="2" t="s">
        <v>245</v>
      </c>
      <c r="CD746" s="2" t="s">
        <v>233</v>
      </c>
      <c r="CE746" s="4">
        <v>219</v>
      </c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>
        <v>220</v>
      </c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>
        <v>231</v>
      </c>
      <c r="GD746" s="4">
        <v>205</v>
      </c>
      <c r="GE746" s="4">
        <v>191</v>
      </c>
      <c r="GF746" s="4">
        <v>177</v>
      </c>
      <c r="GG746" s="4">
        <v>160</v>
      </c>
      <c r="GH746" s="4">
        <v>146</v>
      </c>
      <c r="GI746" s="4">
        <v>129</v>
      </c>
      <c r="GJ746" s="4">
        <v>338</v>
      </c>
      <c r="GK746" s="4">
        <v>325</v>
      </c>
      <c r="GL746" s="4">
        <v>314</v>
      </c>
      <c r="GM746" s="4">
        <v>303</v>
      </c>
      <c r="GN746" s="4">
        <v>292</v>
      </c>
      <c r="GO746" s="4">
        <v>281</v>
      </c>
      <c r="GP746" s="4">
        <v>270</v>
      </c>
      <c r="GQ746" s="4">
        <v>259</v>
      </c>
      <c r="GR746" s="4">
        <v>248</v>
      </c>
      <c r="GS746" s="4">
        <v>237</v>
      </c>
      <c r="GT746" s="4">
        <v>224</v>
      </c>
      <c r="GU746" s="4">
        <v>213</v>
      </c>
      <c r="GV746" s="4">
        <v>202</v>
      </c>
      <c r="GW746" s="4">
        <v>191</v>
      </c>
      <c r="GX746" s="4">
        <v>180</v>
      </c>
      <c r="GY746" s="4">
        <v>169</v>
      </c>
      <c r="GZ746" s="4">
        <v>158</v>
      </c>
      <c r="HA746" s="4">
        <v>147</v>
      </c>
      <c r="HB746" s="4">
        <v>136</v>
      </c>
      <c r="HC746" s="19">
        <v>12.8</v>
      </c>
      <c r="HD746" s="19">
        <v>13.7</v>
      </c>
      <c r="HE746" s="19">
        <v>11.9</v>
      </c>
      <c r="HF746" s="19">
        <v>11.8</v>
      </c>
      <c r="HG746" s="19">
        <v>11.4</v>
      </c>
      <c r="HH746" s="19">
        <v>11.2</v>
      </c>
      <c r="HI746" s="19">
        <v>10.8</v>
      </c>
      <c r="HJ746" s="19">
        <v>28.2</v>
      </c>
      <c r="HK746" s="19">
        <v>29.5</v>
      </c>
      <c r="HL746" s="19">
        <v>28.5</v>
      </c>
      <c r="HM746" s="19">
        <v>27.5</v>
      </c>
      <c r="HN746" s="19">
        <v>26.5</v>
      </c>
      <c r="HO746" s="19">
        <v>25.5</v>
      </c>
      <c r="HP746" s="19">
        <v>22.5</v>
      </c>
      <c r="HQ746" s="19">
        <v>21.6</v>
      </c>
      <c r="HR746" s="19">
        <v>20.7</v>
      </c>
      <c r="HS746" s="19">
        <v>19.8</v>
      </c>
      <c r="HT746" s="19">
        <v>20.4</v>
      </c>
      <c r="HU746" s="19">
        <v>19.4</v>
      </c>
      <c r="HV746" s="19">
        <v>18.4</v>
      </c>
      <c r="HW746" s="19">
        <v>17.4</v>
      </c>
      <c r="HX746" s="19">
        <v>16.4</v>
      </c>
      <c r="HY746" s="19">
        <v>15.4</v>
      </c>
      <c r="HZ746" s="19">
        <v>14.4</v>
      </c>
      <c r="IA746" s="19">
        <v>13.4</v>
      </c>
      <c r="IB746" s="19">
        <v>12.4</v>
      </c>
    </row>
    <row r="747">
      <c r="A747" s="2" t="s">
        <v>4123</v>
      </c>
      <c r="B747" s="2" t="s">
        <v>938</v>
      </c>
      <c r="C747" s="2" t="s">
        <v>1318</v>
      </c>
      <c r="D747" s="2" t="s">
        <v>972</v>
      </c>
      <c r="E747" s="2" t="s">
        <v>973</v>
      </c>
      <c r="F747" s="2" t="s">
        <v>4116</v>
      </c>
      <c r="G747" s="2" t="s">
        <v>4117</v>
      </c>
      <c r="H747" s="2" t="s">
        <v>4118</v>
      </c>
      <c r="I747" s="2" t="s">
        <v>4119</v>
      </c>
      <c r="J747" s="2" t="s">
        <v>4124</v>
      </c>
      <c r="K747" s="2" t="s">
        <v>300</v>
      </c>
      <c r="L747" s="3">
        <v>12.76</v>
      </c>
      <c r="M747" s="3">
        <v>13.4</v>
      </c>
      <c r="N747" s="3">
        <v>28.99</v>
      </c>
      <c r="O747" s="2" t="s">
        <v>230</v>
      </c>
      <c r="P747" s="2" t="s">
        <v>231</v>
      </c>
      <c r="Q747" s="2" t="s">
        <v>232</v>
      </c>
      <c r="R747" s="2" t="s">
        <v>233</v>
      </c>
      <c r="S747" s="2" t="s">
        <v>4120</v>
      </c>
      <c r="T747" s="2" t="s">
        <v>233</v>
      </c>
      <c r="U747" s="2" t="s">
        <v>233</v>
      </c>
      <c r="V747" s="2" t="s">
        <v>236</v>
      </c>
      <c r="W747" s="2" t="s">
        <v>237</v>
      </c>
      <c r="X747" s="2" t="s">
        <v>1432</v>
      </c>
      <c r="Y747" s="2" t="s">
        <v>3622</v>
      </c>
      <c r="Z747" s="4">
        <v>175</v>
      </c>
      <c r="AA747" s="4">
        <f>=ROUNDDOWN(13.4615384615385,0)</f>
      </c>
      <c r="AB747" s="5">
        <v>13</v>
      </c>
      <c r="AC747" s="2" t="s">
        <v>141</v>
      </c>
      <c r="AD747" s="4">
        <v>220</v>
      </c>
      <c r="AE747" s="4">
        <v>300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233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233</v>
      </c>
      <c r="AW747" s="8" t="s">
        <v>233</v>
      </c>
      <c r="AX747" s="4" t="s">
        <v>233</v>
      </c>
      <c r="AY747" s="8" t="s">
        <v>233</v>
      </c>
      <c r="AZ747" s="7" t="s">
        <v>233</v>
      </c>
      <c r="BA747" s="7" t="s">
        <v>233</v>
      </c>
      <c r="BB747" s="7"/>
      <c r="BC747" s="4" t="s">
        <v>233</v>
      </c>
      <c r="BD747" s="8" t="s">
        <v>233</v>
      </c>
      <c r="BE747" s="4" t="s">
        <v>233</v>
      </c>
      <c r="BF747" s="8" t="s">
        <v>233</v>
      </c>
      <c r="BG747" s="7" t="s">
        <v>233</v>
      </c>
      <c r="BH747" s="7" t="s">
        <v>233</v>
      </c>
      <c r="BI747" s="7"/>
      <c r="BJ747" s="4">
        <v>21</v>
      </c>
      <c r="BK747" s="8">
        <v>289.64</v>
      </c>
      <c r="BL747" s="2" t="s">
        <v>4125</v>
      </c>
      <c r="BM747" s="7"/>
      <c r="BN747" s="7"/>
      <c r="BO747" s="4"/>
      <c r="BP747" s="8"/>
      <c r="BQ747" s="4"/>
      <c r="BR747" s="8"/>
      <c r="BS747" s="7"/>
      <c r="BT747" s="7"/>
      <c r="BU747" s="2" t="s">
        <v>4122</v>
      </c>
      <c r="BV747" s="2" t="s">
        <v>233</v>
      </c>
      <c r="BW747" s="2" t="s">
        <v>233</v>
      </c>
      <c r="BX747" s="2" t="s">
        <v>241</v>
      </c>
      <c r="BY747" s="2" t="s">
        <v>242</v>
      </c>
      <c r="BZ747" s="2" t="s">
        <v>230</v>
      </c>
      <c r="CA747" s="2" t="s">
        <v>498</v>
      </c>
      <c r="CB747" s="2" t="s">
        <v>4126</v>
      </c>
      <c r="CC747" s="2" t="s">
        <v>245</v>
      </c>
      <c r="CD747" s="2" t="s">
        <v>233</v>
      </c>
      <c r="CE747" s="4">
        <v>175</v>
      </c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>
        <v>220</v>
      </c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>
        <v>80</v>
      </c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>
        <v>187</v>
      </c>
      <c r="GD747" s="4">
        <v>161</v>
      </c>
      <c r="GE747" s="4">
        <v>144</v>
      </c>
      <c r="GF747" s="4">
        <v>350</v>
      </c>
      <c r="GG747" s="4">
        <v>330</v>
      </c>
      <c r="GH747" s="4">
        <v>317</v>
      </c>
      <c r="GI747" s="4">
        <v>302</v>
      </c>
      <c r="GJ747" s="4">
        <v>369</v>
      </c>
      <c r="GK747" s="4">
        <v>356</v>
      </c>
      <c r="GL747" s="4">
        <v>343</v>
      </c>
      <c r="GM747" s="4">
        <v>330</v>
      </c>
      <c r="GN747" s="4">
        <v>317</v>
      </c>
      <c r="GO747" s="4">
        <v>304</v>
      </c>
      <c r="GP747" s="4">
        <v>291</v>
      </c>
      <c r="GQ747" s="4">
        <v>278</v>
      </c>
      <c r="GR747" s="4">
        <v>265</v>
      </c>
      <c r="GS747" s="4">
        <v>252</v>
      </c>
      <c r="GT747" s="4">
        <v>237</v>
      </c>
      <c r="GU747" s="4">
        <v>224</v>
      </c>
      <c r="GV747" s="4">
        <v>211</v>
      </c>
      <c r="GW747" s="4">
        <v>198</v>
      </c>
      <c r="GX747" s="4">
        <v>185</v>
      </c>
      <c r="GY747" s="4">
        <v>172</v>
      </c>
      <c r="GZ747" s="4">
        <v>159</v>
      </c>
      <c r="HA747" s="4">
        <v>146</v>
      </c>
      <c r="HB747" s="4">
        <v>133</v>
      </c>
      <c r="HC747" s="19">
        <v>9.8</v>
      </c>
      <c r="HD747" s="19">
        <v>10.1</v>
      </c>
      <c r="HE747" s="19">
        <v>9</v>
      </c>
      <c r="HF747" s="19">
        <v>23.3</v>
      </c>
      <c r="HG747" s="19">
        <v>23.6</v>
      </c>
      <c r="HH747" s="19">
        <v>22.6</v>
      </c>
      <c r="HI747" s="19">
        <v>23.2</v>
      </c>
      <c r="HJ747" s="19">
        <v>28.4</v>
      </c>
      <c r="HK747" s="19">
        <v>27.4</v>
      </c>
      <c r="HL747" s="19">
        <v>26.4</v>
      </c>
      <c r="HM747" s="19">
        <v>25.4</v>
      </c>
      <c r="HN747" s="19">
        <v>24.4</v>
      </c>
      <c r="HO747" s="19">
        <v>23.4</v>
      </c>
      <c r="HP747" s="19">
        <v>20.8</v>
      </c>
      <c r="HQ747" s="19">
        <v>19.9</v>
      </c>
      <c r="HR747" s="19">
        <v>18.9</v>
      </c>
      <c r="HS747" s="19">
        <v>18</v>
      </c>
      <c r="HT747" s="19">
        <v>18.2</v>
      </c>
      <c r="HU747" s="19">
        <v>17.2</v>
      </c>
      <c r="HV747" s="19">
        <v>16.2</v>
      </c>
      <c r="HW747" s="19">
        <v>15.2</v>
      </c>
      <c r="HX747" s="19">
        <v>14.2</v>
      </c>
      <c r="HY747" s="19">
        <v>13.2</v>
      </c>
      <c r="HZ747" s="19">
        <v>12.2</v>
      </c>
      <c r="IA747" s="19">
        <v>11.2</v>
      </c>
      <c r="IB747" s="19">
        <v>10.2</v>
      </c>
    </row>
    <row r="748">
      <c r="A748" s="2" t="s">
        <v>4127</v>
      </c>
      <c r="B748" s="2" t="s">
        <v>938</v>
      </c>
      <c r="C748" s="2" t="s">
        <v>1318</v>
      </c>
      <c r="D748" s="2" t="s">
        <v>972</v>
      </c>
      <c r="E748" s="2" t="s">
        <v>973</v>
      </c>
      <c r="F748" s="2" t="s">
        <v>4116</v>
      </c>
      <c r="G748" s="2" t="s">
        <v>4117</v>
      </c>
      <c r="H748" s="2" t="s">
        <v>4118</v>
      </c>
      <c r="I748" s="2" t="s">
        <v>4128</v>
      </c>
      <c r="J748" s="2" t="s">
        <v>4129</v>
      </c>
      <c r="K748" s="2" t="s">
        <v>300</v>
      </c>
      <c r="L748" s="3">
        <v>25.85</v>
      </c>
      <c r="M748" s="3">
        <v>27.14</v>
      </c>
      <c r="N748" s="3">
        <v>54.99</v>
      </c>
      <c r="O748" s="2" t="s">
        <v>230</v>
      </c>
      <c r="P748" s="2" t="s">
        <v>231</v>
      </c>
      <c r="Q748" s="2" t="s">
        <v>232</v>
      </c>
      <c r="R748" s="2" t="s">
        <v>233</v>
      </c>
      <c r="S748" s="2" t="s">
        <v>4120</v>
      </c>
      <c r="T748" s="2" t="s">
        <v>233</v>
      </c>
      <c r="U748" s="2" t="s">
        <v>329</v>
      </c>
      <c r="V748" s="2" t="s">
        <v>236</v>
      </c>
      <c r="W748" s="2" t="s">
        <v>237</v>
      </c>
      <c r="X748" s="2" t="s">
        <v>1432</v>
      </c>
      <c r="Y748" s="2" t="s">
        <v>1433</v>
      </c>
      <c r="Z748" s="4">
        <v>275</v>
      </c>
      <c r="AA748" s="4">
        <f>=ROUNDDOWN(18.3333333333333,0)</f>
      </c>
      <c r="AB748" s="5">
        <v>15</v>
      </c>
      <c r="AC748" s="2" t="s">
        <v>141</v>
      </c>
      <c r="AD748" s="4">
        <v>120</v>
      </c>
      <c r="AE748" s="4">
        <v>260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233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233</v>
      </c>
      <c r="AW748" s="8" t="s">
        <v>233</v>
      </c>
      <c r="AX748" s="4" t="s">
        <v>233</v>
      </c>
      <c r="AY748" s="8" t="s">
        <v>233</v>
      </c>
      <c r="AZ748" s="7" t="s">
        <v>233</v>
      </c>
      <c r="BA748" s="7" t="s">
        <v>233</v>
      </c>
      <c r="BB748" s="7"/>
      <c r="BC748" s="4" t="s">
        <v>233</v>
      </c>
      <c r="BD748" s="8" t="s">
        <v>233</v>
      </c>
      <c r="BE748" s="4" t="s">
        <v>233</v>
      </c>
      <c r="BF748" s="8" t="s">
        <v>233</v>
      </c>
      <c r="BG748" s="7" t="s">
        <v>233</v>
      </c>
      <c r="BH748" s="7" t="s">
        <v>233</v>
      </c>
      <c r="BI748" s="7"/>
      <c r="BJ748" s="4">
        <v>63</v>
      </c>
      <c r="BK748" s="8">
        <v>1803.13</v>
      </c>
      <c r="BL748" s="2" t="s">
        <v>4130</v>
      </c>
      <c r="BM748" s="7"/>
      <c r="BN748" s="7"/>
      <c r="BO748" s="4"/>
      <c r="BP748" s="8"/>
      <c r="BQ748" s="4"/>
      <c r="BR748" s="8"/>
      <c r="BS748" s="7"/>
      <c r="BT748" s="7"/>
      <c r="BU748" s="2" t="s">
        <v>4122</v>
      </c>
      <c r="BV748" s="2" t="s">
        <v>233</v>
      </c>
      <c r="BW748" s="2" t="s">
        <v>233</v>
      </c>
      <c r="BX748" s="2" t="s">
        <v>241</v>
      </c>
      <c r="BY748" s="2" t="s">
        <v>242</v>
      </c>
      <c r="BZ748" s="2" t="s">
        <v>230</v>
      </c>
      <c r="CA748" s="2" t="s">
        <v>1437</v>
      </c>
      <c r="CB748" s="2" t="s">
        <v>963</v>
      </c>
      <c r="CC748" s="2" t="s">
        <v>245</v>
      </c>
      <c r="CD748" s="2" t="s">
        <v>233</v>
      </c>
      <c r="CE748" s="4">
        <v>275</v>
      </c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>
        <v>120</v>
      </c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>
        <v>140</v>
      </c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>
        <v>282</v>
      </c>
      <c r="GD748" s="4">
        <v>260</v>
      </c>
      <c r="GE748" s="4">
        <v>238</v>
      </c>
      <c r="GF748" s="4">
        <v>339</v>
      </c>
      <c r="GG748" s="4">
        <v>314</v>
      </c>
      <c r="GH748" s="4">
        <v>295</v>
      </c>
      <c r="GI748" s="4">
        <v>270</v>
      </c>
      <c r="GJ748" s="4">
        <v>395</v>
      </c>
      <c r="GK748" s="4">
        <v>377</v>
      </c>
      <c r="GL748" s="4">
        <v>362</v>
      </c>
      <c r="GM748" s="4">
        <v>347</v>
      </c>
      <c r="GN748" s="4">
        <v>332</v>
      </c>
      <c r="GO748" s="4">
        <v>317</v>
      </c>
      <c r="GP748" s="4">
        <v>302</v>
      </c>
      <c r="GQ748" s="4">
        <v>287</v>
      </c>
      <c r="GR748" s="4">
        <v>272</v>
      </c>
      <c r="GS748" s="4">
        <v>257</v>
      </c>
      <c r="GT748" s="4">
        <v>239</v>
      </c>
      <c r="GU748" s="4">
        <v>224</v>
      </c>
      <c r="GV748" s="4">
        <v>209</v>
      </c>
      <c r="GW748" s="4">
        <v>194</v>
      </c>
      <c r="GX748" s="4">
        <v>179</v>
      </c>
      <c r="GY748" s="4">
        <v>164</v>
      </c>
      <c r="GZ748" s="4">
        <v>149</v>
      </c>
      <c r="HA748" s="4">
        <v>134</v>
      </c>
      <c r="HB748" s="4">
        <v>119</v>
      </c>
      <c r="HC748" s="19">
        <v>12.8</v>
      </c>
      <c r="HD748" s="19">
        <v>12.4</v>
      </c>
      <c r="HE748" s="19">
        <v>10.8</v>
      </c>
      <c r="HF748" s="19">
        <v>16.1</v>
      </c>
      <c r="HG748" s="19">
        <v>16.5</v>
      </c>
      <c r="HH748" s="19">
        <v>16.4</v>
      </c>
      <c r="HI748" s="19">
        <v>16.9</v>
      </c>
      <c r="HJ748" s="19">
        <v>24.7</v>
      </c>
      <c r="HK748" s="19">
        <v>25.1</v>
      </c>
      <c r="HL748" s="19">
        <v>24.1</v>
      </c>
      <c r="HM748" s="19">
        <v>23.1</v>
      </c>
      <c r="HN748" s="19">
        <v>22.1</v>
      </c>
      <c r="HO748" s="19">
        <v>21.1</v>
      </c>
      <c r="HP748" s="19">
        <v>18.9</v>
      </c>
      <c r="HQ748" s="19">
        <v>17.9</v>
      </c>
      <c r="HR748" s="19">
        <v>17</v>
      </c>
      <c r="HS748" s="19">
        <v>16.1</v>
      </c>
      <c r="HT748" s="19">
        <v>15.9</v>
      </c>
      <c r="HU748" s="19">
        <v>14.9</v>
      </c>
      <c r="HV748" s="19">
        <v>13.9</v>
      </c>
      <c r="HW748" s="19">
        <v>12.9</v>
      </c>
      <c r="HX748" s="19">
        <v>11.9</v>
      </c>
      <c r="HY748" s="19">
        <v>10.9</v>
      </c>
      <c r="HZ748" s="19">
        <v>9.9</v>
      </c>
      <c r="IA748" s="19">
        <v>8.9</v>
      </c>
      <c r="IB748" s="19">
        <v>7.9</v>
      </c>
    </row>
    <row r="749">
      <c r="A749" s="2" t="s">
        <v>4131</v>
      </c>
      <c r="B749" s="2" t="s">
        <v>872</v>
      </c>
      <c r="C749" s="2" t="s">
        <v>2050</v>
      </c>
      <c r="D749" s="2" t="s">
        <v>1815</v>
      </c>
      <c r="E749" s="2" t="s">
        <v>1816</v>
      </c>
      <c r="F749" s="2" t="s">
        <v>4132</v>
      </c>
      <c r="G749" s="2" t="s">
        <v>4132</v>
      </c>
      <c r="H749" s="2" t="s">
        <v>4132</v>
      </c>
      <c r="I749" s="2" t="s">
        <v>1819</v>
      </c>
      <c r="J749" s="2" t="s">
        <v>1819</v>
      </c>
      <c r="K749" s="2" t="s">
        <v>229</v>
      </c>
      <c r="L749" s="3">
        <v>21.5</v>
      </c>
      <c r="M749" s="3">
        <v>22.57</v>
      </c>
      <c r="N749" s="3">
        <v>42.99</v>
      </c>
      <c r="O749" s="2" t="s">
        <v>230</v>
      </c>
      <c r="P749" s="2" t="s">
        <v>586</v>
      </c>
      <c r="Q749" s="2" t="s">
        <v>232</v>
      </c>
      <c r="R749" s="2" t="s">
        <v>233</v>
      </c>
      <c r="S749" s="2" t="s">
        <v>4133</v>
      </c>
      <c r="T749" s="2" t="s">
        <v>233</v>
      </c>
      <c r="U749" s="2" t="s">
        <v>233</v>
      </c>
      <c r="V749" s="2" t="s">
        <v>236</v>
      </c>
      <c r="W749" s="2" t="s">
        <v>1190</v>
      </c>
      <c r="X749" s="2" t="s">
        <v>916</v>
      </c>
      <c r="Y749" s="2" t="s">
        <v>238</v>
      </c>
      <c r="Z749" s="4">
        <v>128</v>
      </c>
      <c r="AA749" s="4">
        <f>=ROUNDDOWN(24.6153846153846,0)</f>
      </c>
      <c r="AB749" s="5">
        <v>5.2</v>
      </c>
      <c r="AC749" s="2" t="s">
        <v>233</v>
      </c>
      <c r="AD749" s="4"/>
      <c r="AE749" s="4"/>
      <c r="AF749" s="6">
        <v>66</v>
      </c>
      <c r="AG749" s="6"/>
      <c r="AH749" s="7">
        <v>1</v>
      </c>
      <c r="AI749" s="4"/>
      <c r="AJ749" s="4">
        <f>=ROUNDDOWN({0},0)</f>
      </c>
      <c r="AK749" s="5"/>
      <c r="AL749" s="2" t="s">
        <v>233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 t="s">
        <v>233</v>
      </c>
      <c r="BD749" s="8" t="s">
        <v>233</v>
      </c>
      <c r="BE749" s="4" t="s">
        <v>233</v>
      </c>
      <c r="BF749" s="8" t="s">
        <v>233</v>
      </c>
      <c r="BG749" s="7" t="s">
        <v>233</v>
      </c>
      <c r="BH749" s="7" t="s">
        <v>233</v>
      </c>
      <c r="BI749" s="7"/>
      <c r="BJ749" s="4">
        <v>13</v>
      </c>
      <c r="BK749" s="8">
        <v>321.48</v>
      </c>
      <c r="BL749" s="2" t="s">
        <v>4134</v>
      </c>
      <c r="BM749" s="7"/>
      <c r="BN749" s="7"/>
      <c r="BO749" s="4"/>
      <c r="BP749" s="8"/>
      <c r="BQ749" s="4"/>
      <c r="BR749" s="8"/>
      <c r="BS749" s="7"/>
      <c r="BT749" s="7"/>
      <c r="BU749" s="2" t="s">
        <v>4135</v>
      </c>
      <c r="BV749" s="2" t="s">
        <v>233</v>
      </c>
      <c r="BW749" s="2" t="s">
        <v>233</v>
      </c>
      <c r="BX749" s="2" t="s">
        <v>241</v>
      </c>
      <c r="BY749" s="2" t="s">
        <v>242</v>
      </c>
      <c r="BZ749" s="2" t="s">
        <v>230</v>
      </c>
      <c r="CA749" s="2" t="s">
        <v>243</v>
      </c>
      <c r="CB749" s="2" t="s">
        <v>1062</v>
      </c>
      <c r="CC749" s="2" t="s">
        <v>245</v>
      </c>
      <c r="CD749" s="2" t="s">
        <v>233</v>
      </c>
      <c r="CE749" s="4">
        <v>128</v>
      </c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>
        <v>136</v>
      </c>
      <c r="GD749" s="4">
        <v>128</v>
      </c>
      <c r="GE749" s="4">
        <v>126</v>
      </c>
      <c r="GF749" s="4">
        <v>124</v>
      </c>
      <c r="GG749" s="4">
        <v>122</v>
      </c>
      <c r="GH749" s="4">
        <v>120</v>
      </c>
      <c r="GI749" s="4">
        <v>118</v>
      </c>
      <c r="GJ749" s="4">
        <v>116</v>
      </c>
      <c r="GK749" s="4">
        <v>114</v>
      </c>
      <c r="GL749" s="4">
        <v>111</v>
      </c>
      <c r="GM749" s="4">
        <v>109</v>
      </c>
      <c r="GN749" s="4">
        <v>106</v>
      </c>
      <c r="GO749" s="4">
        <v>104</v>
      </c>
      <c r="GP749" s="4">
        <v>102</v>
      </c>
      <c r="GQ749" s="4">
        <v>99</v>
      </c>
      <c r="GR749" s="4">
        <v>96</v>
      </c>
      <c r="GS749" s="4">
        <v>93</v>
      </c>
      <c r="GT749" s="4">
        <v>90</v>
      </c>
      <c r="GU749" s="4">
        <v>87</v>
      </c>
      <c r="GV749" s="4">
        <v>84</v>
      </c>
      <c r="GW749" s="4">
        <v>81</v>
      </c>
      <c r="GX749" s="4">
        <v>78</v>
      </c>
      <c r="GY749" s="4">
        <v>75</v>
      </c>
      <c r="GZ749" s="4">
        <v>71</v>
      </c>
      <c r="HA749" s="4">
        <v>66</v>
      </c>
      <c r="HB749" s="4">
        <v>60</v>
      </c>
      <c r="HC749" s="19">
        <v>34</v>
      </c>
      <c r="HD749" s="19">
        <v>64</v>
      </c>
      <c r="HE749" s="19">
        <v>63</v>
      </c>
      <c r="HF749" s="19">
        <v>62</v>
      </c>
      <c r="HG749" s="19">
        <v>61</v>
      </c>
      <c r="HH749" s="19">
        <v>60</v>
      </c>
      <c r="HI749" s="19">
        <v>59</v>
      </c>
      <c r="HJ749" s="19">
        <v>58</v>
      </c>
      <c r="HK749" s="19">
        <v>57</v>
      </c>
      <c r="HL749" s="19">
        <v>55.5</v>
      </c>
      <c r="HM749" s="19">
        <v>54.5</v>
      </c>
      <c r="HN749" s="19">
        <v>53</v>
      </c>
      <c r="HO749" s="19">
        <v>34.7</v>
      </c>
      <c r="HP749" s="19">
        <v>34</v>
      </c>
      <c r="HQ749" s="19">
        <v>33</v>
      </c>
      <c r="HR749" s="19">
        <v>32</v>
      </c>
      <c r="HS749" s="19">
        <v>31</v>
      </c>
      <c r="HT749" s="19">
        <v>30</v>
      </c>
      <c r="HU749" s="19">
        <v>29</v>
      </c>
      <c r="HV749" s="19">
        <v>28</v>
      </c>
      <c r="HW749" s="19">
        <v>20.3</v>
      </c>
      <c r="HX749" s="19">
        <v>19.5</v>
      </c>
      <c r="HY749" s="19">
        <v>15</v>
      </c>
      <c r="HZ749" s="19">
        <v>11.8</v>
      </c>
      <c r="IA749" s="19">
        <v>11</v>
      </c>
      <c r="IB749" s="19">
        <v>10</v>
      </c>
    </row>
    <row r="750">
      <c r="A750" s="2" t="s">
        <v>4136</v>
      </c>
      <c r="B750" s="2" t="s">
        <v>872</v>
      </c>
      <c r="C750" s="2" t="s">
        <v>2050</v>
      </c>
      <c r="D750" s="2" t="s">
        <v>261</v>
      </c>
      <c r="E750" s="2" t="s">
        <v>603</v>
      </c>
      <c r="F750" s="2" t="s">
        <v>4132</v>
      </c>
      <c r="G750" s="2" t="s">
        <v>4132</v>
      </c>
      <c r="H750" s="2" t="s">
        <v>4132</v>
      </c>
      <c r="I750" s="2" t="s">
        <v>1051</v>
      </c>
      <c r="J750" s="2" t="s">
        <v>285</v>
      </c>
      <c r="K750" s="2" t="s">
        <v>266</v>
      </c>
      <c r="L750" s="3">
        <v>135</v>
      </c>
      <c r="M750" s="3">
        <v>141.74</v>
      </c>
      <c r="N750" s="3">
        <v>279.99</v>
      </c>
      <c r="O750" s="2" t="s">
        <v>230</v>
      </c>
      <c r="P750" s="2" t="s">
        <v>586</v>
      </c>
      <c r="Q750" s="2" t="s">
        <v>232</v>
      </c>
      <c r="R750" s="2" t="s">
        <v>233</v>
      </c>
      <c r="S750" s="2" t="s">
        <v>4133</v>
      </c>
      <c r="T750" s="2" t="s">
        <v>233</v>
      </c>
      <c r="U750" s="2" t="s">
        <v>287</v>
      </c>
      <c r="V750" s="2" t="s">
        <v>1190</v>
      </c>
      <c r="W750" s="2" t="s">
        <v>1190</v>
      </c>
      <c r="X750" s="2" t="s">
        <v>818</v>
      </c>
      <c r="Y750" s="2" t="s">
        <v>238</v>
      </c>
      <c r="Z750" s="4">
        <v>70</v>
      </c>
      <c r="AA750" s="4">
        <f>=ROUNDDOWN(35,0)</f>
      </c>
      <c r="AB750" s="5">
        <v>2</v>
      </c>
      <c r="AC750" s="2" t="s">
        <v>233</v>
      </c>
      <c r="AD750" s="4"/>
      <c r="AE750" s="4"/>
      <c r="AF750" s="6">
        <v>66</v>
      </c>
      <c r="AG750" s="6"/>
      <c r="AH750" s="7">
        <v>1</v>
      </c>
      <c r="AI750" s="4"/>
      <c r="AJ750" s="4">
        <f>=ROUNDDOWN({0},0)</f>
      </c>
      <c r="AK750" s="5"/>
      <c r="AL750" s="2" t="s">
        <v>233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 t="s">
        <v>233</v>
      </c>
      <c r="BD750" s="8" t="s">
        <v>233</v>
      </c>
      <c r="BE750" s="4" t="s">
        <v>233</v>
      </c>
      <c r="BF750" s="8" t="s">
        <v>233</v>
      </c>
      <c r="BG750" s="7" t="s">
        <v>233</v>
      </c>
      <c r="BH750" s="7" t="s">
        <v>233</v>
      </c>
      <c r="BI750" s="7"/>
      <c r="BJ750" s="4">
        <v>8</v>
      </c>
      <c r="BK750" s="8">
        <v>1178.06</v>
      </c>
      <c r="BL750" s="2" t="s">
        <v>4137</v>
      </c>
      <c r="BM750" s="7"/>
      <c r="BN750" s="7"/>
      <c r="BO750" s="4"/>
      <c r="BP750" s="8"/>
      <c r="BQ750" s="4"/>
      <c r="BR750" s="8"/>
      <c r="BS750" s="7"/>
      <c r="BT750" s="7"/>
      <c r="BU750" s="2" t="s">
        <v>4138</v>
      </c>
      <c r="BV750" s="2" t="s">
        <v>233</v>
      </c>
      <c r="BW750" s="2" t="s">
        <v>233</v>
      </c>
      <c r="BX750" s="2" t="s">
        <v>241</v>
      </c>
      <c r="BY750" s="2" t="s">
        <v>242</v>
      </c>
      <c r="BZ750" s="2" t="s">
        <v>230</v>
      </c>
      <c r="CA750" s="2" t="s">
        <v>243</v>
      </c>
      <c r="CB750" s="2" t="s">
        <v>4139</v>
      </c>
      <c r="CC750" s="2" t="s">
        <v>245</v>
      </c>
      <c r="CD750" s="2" t="s">
        <v>233</v>
      </c>
      <c r="CE750" s="4">
        <v>70</v>
      </c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>
        <v>71</v>
      </c>
      <c r="GD750" s="4">
        <v>69</v>
      </c>
      <c r="GE750" s="4">
        <v>67</v>
      </c>
      <c r="GF750" s="4">
        <v>65</v>
      </c>
      <c r="GG750" s="4">
        <v>63</v>
      </c>
      <c r="GH750" s="4">
        <v>61</v>
      </c>
      <c r="GI750" s="4">
        <v>59</v>
      </c>
      <c r="GJ750" s="4">
        <v>57</v>
      </c>
      <c r="GK750" s="4">
        <v>55</v>
      </c>
      <c r="GL750" s="4">
        <v>53</v>
      </c>
      <c r="GM750" s="4">
        <v>51</v>
      </c>
      <c r="GN750" s="4">
        <v>49</v>
      </c>
      <c r="GO750" s="4">
        <v>47</v>
      </c>
      <c r="GP750" s="4">
        <v>45</v>
      </c>
      <c r="GQ750" s="4">
        <v>43</v>
      </c>
      <c r="GR750" s="4">
        <v>41</v>
      </c>
      <c r="GS750" s="4">
        <v>39</v>
      </c>
      <c r="GT750" s="4">
        <v>37</v>
      </c>
      <c r="GU750" s="4">
        <v>35</v>
      </c>
      <c r="GV750" s="4">
        <v>33</v>
      </c>
      <c r="GW750" s="4">
        <v>82</v>
      </c>
      <c r="GX750" s="4">
        <v>80</v>
      </c>
      <c r="GY750" s="4">
        <v>78</v>
      </c>
      <c r="GZ750" s="4">
        <v>76</v>
      </c>
      <c r="HA750" s="4">
        <v>74</v>
      </c>
      <c r="HB750" s="4">
        <v>72</v>
      </c>
      <c r="HC750" s="19">
        <v>35.5</v>
      </c>
      <c r="HD750" s="19">
        <v>34.5</v>
      </c>
      <c r="HE750" s="19">
        <v>33.5</v>
      </c>
      <c r="HF750" s="19">
        <v>32.5</v>
      </c>
      <c r="HG750" s="19">
        <v>31.5</v>
      </c>
      <c r="HH750" s="19">
        <v>30.5</v>
      </c>
      <c r="HI750" s="19">
        <v>29.5</v>
      </c>
      <c r="HJ750" s="19">
        <v>28.5</v>
      </c>
      <c r="HK750" s="19">
        <v>27.5</v>
      </c>
      <c r="HL750" s="19">
        <v>26.5</v>
      </c>
      <c r="HM750" s="19">
        <v>25.5</v>
      </c>
      <c r="HN750" s="19">
        <v>24.5</v>
      </c>
      <c r="HO750" s="19">
        <v>23.5</v>
      </c>
      <c r="HP750" s="19">
        <v>22.5</v>
      </c>
      <c r="HQ750" s="19">
        <v>21.5</v>
      </c>
      <c r="HR750" s="19">
        <v>20.5</v>
      </c>
      <c r="HS750" s="19">
        <v>19.5</v>
      </c>
      <c r="HT750" s="19">
        <v>18.5</v>
      </c>
      <c r="HU750" s="19">
        <v>17.5</v>
      </c>
      <c r="HV750" s="19">
        <v>16.5</v>
      </c>
      <c r="HW750" s="19">
        <v>41</v>
      </c>
      <c r="HX750" s="19">
        <v>40</v>
      </c>
      <c r="HY750" s="19">
        <v>39</v>
      </c>
      <c r="HZ750" s="19">
        <v>38</v>
      </c>
      <c r="IA750" s="19">
        <v>37</v>
      </c>
      <c r="IB750" s="19">
        <v>36</v>
      </c>
    </row>
    <row r="751">
      <c r="A751" s="2" t="s">
        <v>4140</v>
      </c>
      <c r="B751" s="2" t="s">
        <v>872</v>
      </c>
      <c r="C751" s="2" t="s">
        <v>280</v>
      </c>
      <c r="D751" s="2" t="s">
        <v>261</v>
      </c>
      <c r="E751" s="2" t="s">
        <v>603</v>
      </c>
      <c r="F751" s="2" t="s">
        <v>4141</v>
      </c>
      <c r="G751" s="2" t="s">
        <v>4142</v>
      </c>
      <c r="H751" s="2" t="s">
        <v>4143</v>
      </c>
      <c r="I751" s="2" t="s">
        <v>4144</v>
      </c>
      <c r="J751" s="2" t="s">
        <v>256</v>
      </c>
      <c r="K751" s="2" t="s">
        <v>870</v>
      </c>
      <c r="L751" s="3">
        <v>78.4</v>
      </c>
      <c r="M751" s="3">
        <v>82.31</v>
      </c>
      <c r="N751" s="3">
        <v>159.99</v>
      </c>
      <c r="O751" s="2" t="s">
        <v>230</v>
      </c>
      <c r="P751" s="2" t="s">
        <v>231</v>
      </c>
      <c r="Q751" s="2" t="s">
        <v>232</v>
      </c>
      <c r="R751" s="2" t="s">
        <v>233</v>
      </c>
      <c r="S751" s="2" t="s">
        <v>4145</v>
      </c>
      <c r="T751" s="2" t="s">
        <v>233</v>
      </c>
      <c r="U751" s="2" t="s">
        <v>723</v>
      </c>
      <c r="V751" s="2" t="s">
        <v>1033</v>
      </c>
      <c r="W751" s="2" t="s">
        <v>818</v>
      </c>
      <c r="X751" s="2" t="s">
        <v>4146</v>
      </c>
      <c r="Y751" s="2" t="s">
        <v>238</v>
      </c>
      <c r="Z751" s="4">
        <v>573</v>
      </c>
      <c r="AA751" s="4">
        <f>=ROUNDDOWN(71.625,0)</f>
      </c>
      <c r="AB751" s="5">
        <v>8</v>
      </c>
      <c r="AC751" s="2" t="s">
        <v>233</v>
      </c>
      <c r="AD751" s="4"/>
      <c r="AE751" s="4"/>
      <c r="AF751" s="6">
        <v>64</v>
      </c>
      <c r="AG751" s="6"/>
      <c r="AH751" s="7">
        <v>1</v>
      </c>
      <c r="AI751" s="4"/>
      <c r="AJ751" s="4">
        <f>=ROUNDDOWN({0},0)</f>
      </c>
      <c r="AK751" s="5"/>
      <c r="AL751" s="2" t="s">
        <v>233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/>
      <c r="BD751" s="8"/>
      <c r="BE751" s="4"/>
      <c r="BF751" s="8"/>
      <c r="BG751" s="7"/>
      <c r="BH751" s="7"/>
      <c r="BI751" s="7"/>
      <c r="BJ751" s="4">
        <v>48</v>
      </c>
      <c r="BK751" s="8">
        <v>3905.46</v>
      </c>
      <c r="BL751" s="2" t="s">
        <v>4147</v>
      </c>
      <c r="BM751" s="7"/>
      <c r="BN751" s="7"/>
      <c r="BO751" s="4"/>
      <c r="BP751" s="8"/>
      <c r="BQ751" s="4"/>
      <c r="BR751" s="8"/>
      <c r="BS751" s="7"/>
      <c r="BT751" s="7"/>
      <c r="BU751" s="2" t="s">
        <v>4148</v>
      </c>
      <c r="BV751" s="2" t="s">
        <v>233</v>
      </c>
      <c r="BW751" s="2" t="s">
        <v>233</v>
      </c>
      <c r="BX751" s="2" t="s">
        <v>241</v>
      </c>
      <c r="BY751" s="2" t="s">
        <v>242</v>
      </c>
      <c r="BZ751" s="2" t="s">
        <v>230</v>
      </c>
      <c r="CA751" s="2" t="s">
        <v>243</v>
      </c>
      <c r="CB751" s="2" t="s">
        <v>4149</v>
      </c>
      <c r="CC751" s="2" t="s">
        <v>245</v>
      </c>
      <c r="CD751" s="2" t="s">
        <v>233</v>
      </c>
      <c r="CE751" s="4">
        <v>421</v>
      </c>
      <c r="CF751" s="4"/>
      <c r="CG751" s="4"/>
      <c r="CH751" s="4">
        <v>152</v>
      </c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>
        <v>576</v>
      </c>
      <c r="GD751" s="4">
        <v>559</v>
      </c>
      <c r="GE751" s="4">
        <v>545</v>
      </c>
      <c r="GF751" s="4">
        <v>532</v>
      </c>
      <c r="GG751" s="4">
        <v>509</v>
      </c>
      <c r="GH751" s="4">
        <v>496</v>
      </c>
      <c r="GI751" s="4">
        <v>484</v>
      </c>
      <c r="GJ751" s="4">
        <v>475</v>
      </c>
      <c r="GK751" s="4">
        <v>470</v>
      </c>
      <c r="GL751" s="4">
        <v>462</v>
      </c>
      <c r="GM751" s="4">
        <v>454</v>
      </c>
      <c r="GN751" s="4">
        <v>446</v>
      </c>
      <c r="GO751" s="4">
        <v>438</v>
      </c>
      <c r="GP751" s="4">
        <v>430</v>
      </c>
      <c r="GQ751" s="4">
        <v>422</v>
      </c>
      <c r="GR751" s="4">
        <v>414</v>
      </c>
      <c r="GS751" s="4">
        <v>406</v>
      </c>
      <c r="GT751" s="4">
        <v>397</v>
      </c>
      <c r="GU751" s="4">
        <v>389</v>
      </c>
      <c r="GV751" s="4">
        <v>381</v>
      </c>
      <c r="GW751" s="4">
        <v>373</v>
      </c>
      <c r="GX751" s="4">
        <v>365</v>
      </c>
      <c r="GY751" s="4">
        <v>357</v>
      </c>
      <c r="GZ751" s="4">
        <v>349</v>
      </c>
      <c r="HA751" s="4">
        <v>341</v>
      </c>
      <c r="HB751" s="4">
        <v>333</v>
      </c>
      <c r="HC751" s="19">
        <v>33.9</v>
      </c>
      <c r="HD751" s="19">
        <v>34.9</v>
      </c>
      <c r="HE751" s="19">
        <v>36.3</v>
      </c>
      <c r="HF751" s="19">
        <v>38</v>
      </c>
      <c r="HG751" s="19">
        <v>50.9</v>
      </c>
      <c r="HH751" s="19">
        <v>62</v>
      </c>
      <c r="HI751" s="19">
        <v>60.5</v>
      </c>
      <c r="HJ751" s="19">
        <v>67.9</v>
      </c>
      <c r="HK751" s="19">
        <v>58.8</v>
      </c>
      <c r="HL751" s="19">
        <v>57.8</v>
      </c>
      <c r="HM751" s="19">
        <v>56.8</v>
      </c>
      <c r="HN751" s="19">
        <v>55.8</v>
      </c>
      <c r="HO751" s="19">
        <v>54.8</v>
      </c>
      <c r="HP751" s="19">
        <v>53.8</v>
      </c>
      <c r="HQ751" s="19">
        <v>52.8</v>
      </c>
      <c r="HR751" s="19">
        <v>51.8</v>
      </c>
      <c r="HS751" s="19">
        <v>50.8</v>
      </c>
      <c r="HT751" s="19">
        <v>49.6</v>
      </c>
      <c r="HU751" s="19">
        <v>48.6</v>
      </c>
      <c r="HV751" s="19">
        <v>47.6</v>
      </c>
      <c r="HW751" s="19">
        <v>46.6</v>
      </c>
      <c r="HX751" s="19">
        <v>45.6</v>
      </c>
      <c r="HY751" s="19">
        <v>44.6</v>
      </c>
      <c r="HZ751" s="19">
        <v>43.6</v>
      </c>
      <c r="IA751" s="19">
        <v>42.6</v>
      </c>
      <c r="IB751" s="19">
        <v>41.6</v>
      </c>
    </row>
    <row r="752">
      <c r="A752" s="2" t="s">
        <v>4150</v>
      </c>
      <c r="B752" s="2" t="s">
        <v>222</v>
      </c>
      <c r="C752" s="2" t="s">
        <v>223</v>
      </c>
      <c r="D752" s="2" t="s">
        <v>1172</v>
      </c>
      <c r="E752" s="2" t="s">
        <v>4151</v>
      </c>
      <c r="F752" s="2" t="s">
        <v>4152</v>
      </c>
      <c r="G752" s="2" t="s">
        <v>4152</v>
      </c>
      <c r="H752" s="2" t="s">
        <v>4152</v>
      </c>
      <c r="I752" s="2" t="s">
        <v>4153</v>
      </c>
      <c r="J752" s="2" t="s">
        <v>4154</v>
      </c>
      <c r="K752" s="2" t="s">
        <v>266</v>
      </c>
      <c r="L752" s="3">
        <v>21.62</v>
      </c>
      <c r="M752" s="3">
        <v>22.7</v>
      </c>
      <c r="N752" s="3">
        <v>46.99</v>
      </c>
      <c r="O752" s="2" t="s">
        <v>230</v>
      </c>
      <c r="P752" s="2" t="s">
        <v>597</v>
      </c>
      <c r="Q752" s="2" t="s">
        <v>232</v>
      </c>
      <c r="R752" s="2" t="s">
        <v>233</v>
      </c>
      <c r="S752" s="2" t="s">
        <v>233</v>
      </c>
      <c r="T752" s="2" t="s">
        <v>235</v>
      </c>
      <c r="U752" s="2" t="s">
        <v>233</v>
      </c>
      <c r="V752" s="2" t="s">
        <v>236</v>
      </c>
      <c r="W752" s="2" t="s">
        <v>237</v>
      </c>
      <c r="X752" s="2" t="s">
        <v>233</v>
      </c>
      <c r="Y752" s="2" t="s">
        <v>306</v>
      </c>
      <c r="Z752" s="4">
        <v>2534</v>
      </c>
      <c r="AA752" s="4">
        <f>=ROUNDDOWN(61.8048780487805,0)</f>
      </c>
      <c r="AB752" s="5">
        <v>41</v>
      </c>
      <c r="AC752" s="2" t="s">
        <v>233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233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/>
      <c r="BD752" s="8"/>
      <c r="BE752" s="4"/>
      <c r="BF752" s="8"/>
      <c r="BG752" s="7"/>
      <c r="BH752" s="7"/>
      <c r="BI752" s="7"/>
      <c r="BJ752" s="4">
        <v>197</v>
      </c>
      <c r="BK752" s="8">
        <v>4681.89</v>
      </c>
      <c r="BL752" s="2" t="s">
        <v>4155</v>
      </c>
      <c r="BM752" s="7"/>
      <c r="BN752" s="7"/>
      <c r="BO752" s="4"/>
      <c r="BP752" s="8"/>
      <c r="BQ752" s="4"/>
      <c r="BR752" s="8"/>
      <c r="BS752" s="7"/>
      <c r="BT752" s="7"/>
      <c r="BU752" s="2" t="s">
        <v>4156</v>
      </c>
      <c r="BV752" s="2" t="s">
        <v>233</v>
      </c>
      <c r="BW752" s="2" t="s">
        <v>233</v>
      </c>
      <c r="BX752" s="2" t="s">
        <v>241</v>
      </c>
      <c r="BY752" s="2" t="s">
        <v>242</v>
      </c>
      <c r="BZ752" s="2" t="s">
        <v>230</v>
      </c>
      <c r="CA752" s="2" t="s">
        <v>4157</v>
      </c>
      <c r="CB752" s="2" t="s">
        <v>4158</v>
      </c>
      <c r="CC752" s="2" t="s">
        <v>245</v>
      </c>
      <c r="CD752" s="2" t="s">
        <v>233</v>
      </c>
      <c r="CE752" s="4">
        <v>2076</v>
      </c>
      <c r="CF752" s="4">
        <v>458</v>
      </c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>
        <v>2549</v>
      </c>
      <c r="GD752" s="4">
        <v>2489</v>
      </c>
      <c r="GE752" s="4">
        <v>2421</v>
      </c>
      <c r="GF752" s="4">
        <v>2311</v>
      </c>
      <c r="GG752" s="4">
        <v>2231</v>
      </c>
      <c r="GH752" s="4">
        <v>2094</v>
      </c>
      <c r="GI752" s="4">
        <v>2006</v>
      </c>
      <c r="GJ752" s="4">
        <v>1892</v>
      </c>
      <c r="GK752" s="4">
        <v>1789</v>
      </c>
      <c r="GL752" s="4">
        <v>1739</v>
      </c>
      <c r="GM752" s="4">
        <v>1689</v>
      </c>
      <c r="GN752" s="4">
        <v>1639</v>
      </c>
      <c r="GO752" s="4">
        <v>1589</v>
      </c>
      <c r="GP752" s="4">
        <v>1539</v>
      </c>
      <c r="GQ752" s="4">
        <v>1489</v>
      </c>
      <c r="GR752" s="4">
        <v>1439</v>
      </c>
      <c r="GS752" s="4">
        <v>1389</v>
      </c>
      <c r="GT752" s="4">
        <v>1339</v>
      </c>
      <c r="GU752" s="4">
        <v>1289</v>
      </c>
      <c r="GV752" s="4">
        <v>1239</v>
      </c>
      <c r="GW752" s="4">
        <v>1190</v>
      </c>
      <c r="GX752" s="4">
        <v>1141</v>
      </c>
      <c r="GY752" s="4">
        <v>1092</v>
      </c>
      <c r="GZ752" s="4">
        <v>1043</v>
      </c>
      <c r="HA752" s="4">
        <v>994</v>
      </c>
      <c r="HB752" s="4">
        <v>945</v>
      </c>
      <c r="HC752" s="19">
        <v>31.9</v>
      </c>
      <c r="HD752" s="19">
        <v>25.1</v>
      </c>
      <c r="HE752" s="19">
        <v>23.3</v>
      </c>
      <c r="HF752" s="19">
        <v>22</v>
      </c>
      <c r="HG752" s="19">
        <v>20.3</v>
      </c>
      <c r="HH752" s="19">
        <v>23.5</v>
      </c>
      <c r="HI752" s="19">
        <v>25.4</v>
      </c>
      <c r="HJ752" s="19">
        <v>30</v>
      </c>
      <c r="HK752" s="19">
        <v>35.8</v>
      </c>
      <c r="HL752" s="19">
        <v>34.8</v>
      </c>
      <c r="HM752" s="19">
        <v>33.8</v>
      </c>
      <c r="HN752" s="19">
        <v>32.8</v>
      </c>
      <c r="HO752" s="19">
        <v>31.8</v>
      </c>
      <c r="HP752" s="19">
        <v>30.8</v>
      </c>
      <c r="HQ752" s="19">
        <v>29.8</v>
      </c>
      <c r="HR752" s="19">
        <v>28.8</v>
      </c>
      <c r="HS752" s="19">
        <v>27.8</v>
      </c>
      <c r="HT752" s="19">
        <v>26.8</v>
      </c>
      <c r="HU752" s="19">
        <v>26.3</v>
      </c>
      <c r="HV752" s="19">
        <v>25.3</v>
      </c>
      <c r="HW752" s="19">
        <v>24.3</v>
      </c>
      <c r="HX752" s="19">
        <v>23.3</v>
      </c>
      <c r="HY752" s="19">
        <v>22.3</v>
      </c>
      <c r="HZ752" s="19">
        <v>22.7</v>
      </c>
      <c r="IA752" s="19">
        <v>23.1</v>
      </c>
      <c r="IB752" s="19">
        <v>23.6</v>
      </c>
    </row>
    <row r="753">
      <c r="A753" s="2" t="s">
        <v>4159</v>
      </c>
      <c r="B753" s="2" t="s">
        <v>825</v>
      </c>
      <c r="C753" s="2" t="s">
        <v>1625</v>
      </c>
      <c r="D753" s="2" t="s">
        <v>884</v>
      </c>
      <c r="E753" s="2" t="s">
        <v>3542</v>
      </c>
      <c r="F753" s="2" t="s">
        <v>4160</v>
      </c>
      <c r="G753" s="2" t="s">
        <v>1784</v>
      </c>
      <c r="H753" s="2" t="s">
        <v>4161</v>
      </c>
      <c r="I753" s="2" t="s">
        <v>4162</v>
      </c>
      <c r="J753" s="2" t="s">
        <v>265</v>
      </c>
      <c r="K753" s="2" t="s">
        <v>452</v>
      </c>
      <c r="L753" s="3">
        <v>71.39</v>
      </c>
      <c r="M753" s="3">
        <v>74.96</v>
      </c>
      <c r="N753" s="3">
        <v>139.99</v>
      </c>
      <c r="O753" s="2" t="s">
        <v>230</v>
      </c>
      <c r="P753" s="2" t="s">
        <v>231</v>
      </c>
      <c r="Q753" s="2" t="s">
        <v>232</v>
      </c>
      <c r="R753" s="2" t="s">
        <v>233</v>
      </c>
      <c r="S753" s="2" t="s">
        <v>4163</v>
      </c>
      <c r="T753" s="2" t="s">
        <v>348</v>
      </c>
      <c r="U753" s="2" t="s">
        <v>781</v>
      </c>
      <c r="V753" s="2" t="s">
        <v>236</v>
      </c>
      <c r="W753" s="2" t="s">
        <v>620</v>
      </c>
      <c r="X753" s="2" t="s">
        <v>1481</v>
      </c>
      <c r="Y753" s="2" t="s">
        <v>716</v>
      </c>
      <c r="Z753" s="4">
        <v>103</v>
      </c>
      <c r="AA753" s="4">
        <f>=ROUNDDOWN(103,0)</f>
      </c>
      <c r="AB753" s="5">
        <v>1</v>
      </c>
      <c r="AC753" s="2" t="s">
        <v>233</v>
      </c>
      <c r="AD753" s="4"/>
      <c r="AE753" s="4"/>
      <c r="AF753" s="6">
        <v>69</v>
      </c>
      <c r="AG753" s="6"/>
      <c r="AH753" s="7">
        <v>1</v>
      </c>
      <c r="AI753" s="4"/>
      <c r="AJ753" s="4">
        <f>=ROUNDDOWN({0},0)</f>
      </c>
      <c r="AK753" s="5"/>
      <c r="AL753" s="2" t="s">
        <v>233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233</v>
      </c>
      <c r="AW753" s="8" t="s">
        <v>233</v>
      </c>
      <c r="AX753" s="4" t="s">
        <v>233</v>
      </c>
      <c r="AY753" s="8" t="s">
        <v>233</v>
      </c>
      <c r="AZ753" s="7" t="s">
        <v>233</v>
      </c>
      <c r="BA753" s="7" t="s">
        <v>233</v>
      </c>
      <c r="BB753" s="7"/>
      <c r="BC753" s="4" t="s">
        <v>233</v>
      </c>
      <c r="BD753" s="8" t="s">
        <v>233</v>
      </c>
      <c r="BE753" s="4" t="s">
        <v>233</v>
      </c>
      <c r="BF753" s="8" t="s">
        <v>233</v>
      </c>
      <c r="BG753" s="7" t="s">
        <v>233</v>
      </c>
      <c r="BH753" s="7" t="s">
        <v>233</v>
      </c>
      <c r="BI753" s="7"/>
      <c r="BJ753" s="4">
        <v>4</v>
      </c>
      <c r="BK753" s="8">
        <v>305.58</v>
      </c>
      <c r="BL753" s="2" t="s">
        <v>4164</v>
      </c>
      <c r="BM753" s="7"/>
      <c r="BN753" s="7"/>
      <c r="BO753" s="4"/>
      <c r="BP753" s="8"/>
      <c r="BQ753" s="4"/>
      <c r="BR753" s="8"/>
      <c r="BS753" s="7"/>
      <c r="BT753" s="7"/>
      <c r="BU753" s="2" t="s">
        <v>4165</v>
      </c>
      <c r="BV753" s="2" t="s">
        <v>233</v>
      </c>
      <c r="BW753" s="2" t="s">
        <v>233</v>
      </c>
      <c r="BX753" s="2" t="s">
        <v>293</v>
      </c>
      <c r="BY753" s="2" t="s">
        <v>242</v>
      </c>
      <c r="BZ753" s="2" t="s">
        <v>230</v>
      </c>
      <c r="CA753" s="2" t="s">
        <v>716</v>
      </c>
      <c r="CB753" s="2" t="s">
        <v>4166</v>
      </c>
      <c r="CC753" s="2" t="s">
        <v>245</v>
      </c>
      <c r="CD753" s="2" t="s">
        <v>233</v>
      </c>
      <c r="CE753" s="4">
        <v>103</v>
      </c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>
        <v>104</v>
      </c>
      <c r="GD753" s="4">
        <v>102</v>
      </c>
      <c r="GE753" s="4">
        <v>100</v>
      </c>
      <c r="GF753" s="4">
        <v>98</v>
      </c>
      <c r="GG753" s="4">
        <v>95</v>
      </c>
      <c r="GH753" s="4">
        <v>93</v>
      </c>
      <c r="GI753" s="4">
        <v>92</v>
      </c>
      <c r="GJ753" s="4">
        <v>91</v>
      </c>
      <c r="GK753" s="4">
        <v>90</v>
      </c>
      <c r="GL753" s="4">
        <v>89</v>
      </c>
      <c r="GM753" s="4">
        <v>88</v>
      </c>
      <c r="GN753" s="4">
        <v>87</v>
      </c>
      <c r="GO753" s="4">
        <v>86</v>
      </c>
      <c r="GP753" s="4">
        <v>85</v>
      </c>
      <c r="GQ753" s="4">
        <v>84</v>
      </c>
      <c r="GR753" s="4">
        <v>83</v>
      </c>
      <c r="GS753" s="4">
        <v>82</v>
      </c>
      <c r="GT753" s="4">
        <v>81</v>
      </c>
      <c r="GU753" s="4">
        <v>80</v>
      </c>
      <c r="GV753" s="4">
        <v>79</v>
      </c>
      <c r="GW753" s="4">
        <v>78</v>
      </c>
      <c r="GX753" s="4">
        <v>77</v>
      </c>
      <c r="GY753" s="4">
        <v>76</v>
      </c>
      <c r="GZ753" s="4">
        <v>75</v>
      </c>
      <c r="HA753" s="4">
        <v>74</v>
      </c>
      <c r="HB753" s="4">
        <v>73</v>
      </c>
      <c r="HC753" s="19">
        <v>52</v>
      </c>
      <c r="HD753" s="19">
        <v>51</v>
      </c>
      <c r="HE753" s="19">
        <v>50</v>
      </c>
      <c r="HF753" s="19">
        <v>49</v>
      </c>
      <c r="HG753" s="19">
        <v>95</v>
      </c>
      <c r="HH753" s="19">
        <v>93</v>
      </c>
      <c r="HI753" s="19">
        <v>92</v>
      </c>
      <c r="HJ753" s="19">
        <v>91</v>
      </c>
      <c r="HK753" s="19">
        <v>90</v>
      </c>
      <c r="HL753" s="19">
        <v>89</v>
      </c>
      <c r="HM753" s="19">
        <v>88</v>
      </c>
      <c r="HN753" s="19">
        <v>87</v>
      </c>
      <c r="HO753" s="19">
        <v>86</v>
      </c>
      <c r="HP753" s="19">
        <v>85</v>
      </c>
      <c r="HQ753" s="19">
        <v>84</v>
      </c>
      <c r="HR753" s="19">
        <v>83</v>
      </c>
      <c r="HS753" s="19">
        <v>82</v>
      </c>
      <c r="HT753" s="19">
        <v>81</v>
      </c>
      <c r="HU753" s="19">
        <v>80</v>
      </c>
      <c r="HV753" s="19">
        <v>79</v>
      </c>
      <c r="HW753" s="19">
        <v>78</v>
      </c>
      <c r="HX753" s="19">
        <v>77</v>
      </c>
      <c r="HY753" s="19">
        <v>76</v>
      </c>
      <c r="HZ753" s="19">
        <v>75</v>
      </c>
      <c r="IA753" s="19">
        <v>74</v>
      </c>
      <c r="IB753" s="19">
        <v>73</v>
      </c>
    </row>
    <row r="754">
      <c r="A754" s="2" t="s">
        <v>4167</v>
      </c>
      <c r="B754" s="2" t="s">
        <v>825</v>
      </c>
      <c r="C754" s="2" t="s">
        <v>1625</v>
      </c>
      <c r="D754" s="2" t="s">
        <v>774</v>
      </c>
      <c r="E754" s="2" t="s">
        <v>775</v>
      </c>
      <c r="F754" s="2" t="s">
        <v>4160</v>
      </c>
      <c r="G754" s="2" t="s">
        <v>1784</v>
      </c>
      <c r="H754" s="2" t="s">
        <v>4161</v>
      </c>
      <c r="I754" s="2" t="s">
        <v>4168</v>
      </c>
      <c r="J754" s="2" t="s">
        <v>275</v>
      </c>
      <c r="K754" s="2" t="s">
        <v>452</v>
      </c>
      <c r="L754" s="3">
        <v>65</v>
      </c>
      <c r="M754" s="3">
        <v>68.25</v>
      </c>
      <c r="N754" s="3">
        <v>129.99</v>
      </c>
      <c r="O754" s="2" t="s">
        <v>230</v>
      </c>
      <c r="P754" s="2" t="s">
        <v>231</v>
      </c>
      <c r="Q754" s="2" t="s">
        <v>232</v>
      </c>
      <c r="R754" s="2" t="s">
        <v>233</v>
      </c>
      <c r="S754" s="2" t="s">
        <v>4163</v>
      </c>
      <c r="T754" s="2" t="s">
        <v>348</v>
      </c>
      <c r="U754" s="2" t="s">
        <v>781</v>
      </c>
      <c r="V754" s="2" t="s">
        <v>236</v>
      </c>
      <c r="W754" s="2" t="s">
        <v>620</v>
      </c>
      <c r="X754" s="2" t="s">
        <v>1481</v>
      </c>
      <c r="Y754" s="2" t="s">
        <v>4169</v>
      </c>
      <c r="Z754" s="4">
        <v>247</v>
      </c>
      <c r="AA754" s="4">
        <f>=ROUNDDOWN(82.3333333333333,0)</f>
      </c>
      <c r="AB754" s="5">
        <v>3</v>
      </c>
      <c r="AC754" s="2" t="s">
        <v>233</v>
      </c>
      <c r="AD754" s="4"/>
      <c r="AE754" s="4"/>
      <c r="AF754" s="6">
        <v>69</v>
      </c>
      <c r="AG754" s="6"/>
      <c r="AH754" s="7">
        <v>1</v>
      </c>
      <c r="AI754" s="4"/>
      <c r="AJ754" s="4">
        <f>=ROUNDDOWN({0},0)</f>
      </c>
      <c r="AK754" s="5"/>
      <c r="AL754" s="2" t="s">
        <v>233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233</v>
      </c>
      <c r="AW754" s="8" t="s">
        <v>233</v>
      </c>
      <c r="AX754" s="4" t="s">
        <v>233</v>
      </c>
      <c r="AY754" s="8" t="s">
        <v>233</v>
      </c>
      <c r="AZ754" s="7" t="s">
        <v>233</v>
      </c>
      <c r="BA754" s="7" t="s">
        <v>233</v>
      </c>
      <c r="BB754" s="7"/>
      <c r="BC754" s="4" t="s">
        <v>233</v>
      </c>
      <c r="BD754" s="8" t="s">
        <v>233</v>
      </c>
      <c r="BE754" s="4" t="s">
        <v>233</v>
      </c>
      <c r="BF754" s="8" t="s">
        <v>233</v>
      </c>
      <c r="BG754" s="7" t="s">
        <v>233</v>
      </c>
      <c r="BH754" s="7" t="s">
        <v>233</v>
      </c>
      <c r="BI754" s="7"/>
      <c r="BJ754" s="4">
        <v>12</v>
      </c>
      <c r="BK754" s="8">
        <v>858.84</v>
      </c>
      <c r="BL754" s="2" t="s">
        <v>4170</v>
      </c>
      <c r="BM754" s="7"/>
      <c r="BN754" s="7"/>
      <c r="BO754" s="4"/>
      <c r="BP754" s="8"/>
      <c r="BQ754" s="4"/>
      <c r="BR754" s="8"/>
      <c r="BS754" s="7"/>
      <c r="BT754" s="7"/>
      <c r="BU754" s="2" t="s">
        <v>4171</v>
      </c>
      <c r="BV754" s="2" t="s">
        <v>233</v>
      </c>
      <c r="BW754" s="2" t="s">
        <v>233</v>
      </c>
      <c r="BX754" s="2" t="s">
        <v>241</v>
      </c>
      <c r="BY754" s="2" t="s">
        <v>242</v>
      </c>
      <c r="BZ754" s="2" t="s">
        <v>230</v>
      </c>
      <c r="CA754" s="2" t="s">
        <v>639</v>
      </c>
      <c r="CB754" s="2" t="s">
        <v>2931</v>
      </c>
      <c r="CC754" s="2" t="s">
        <v>245</v>
      </c>
      <c r="CD754" s="2" t="s">
        <v>233</v>
      </c>
      <c r="CE754" s="4">
        <v>247</v>
      </c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>
        <v>247</v>
      </c>
      <c r="GD754" s="4">
        <v>243</v>
      </c>
      <c r="GE754" s="4">
        <v>239</v>
      </c>
      <c r="GF754" s="4">
        <v>234</v>
      </c>
      <c r="GG754" s="4">
        <v>227</v>
      </c>
      <c r="GH754" s="4">
        <v>223</v>
      </c>
      <c r="GI754" s="4">
        <v>219</v>
      </c>
      <c r="GJ754" s="4">
        <v>217</v>
      </c>
      <c r="GK754" s="4">
        <v>214</v>
      </c>
      <c r="GL754" s="4">
        <v>211</v>
      </c>
      <c r="GM754" s="4">
        <v>208</v>
      </c>
      <c r="GN754" s="4">
        <v>205</v>
      </c>
      <c r="GO754" s="4">
        <v>202</v>
      </c>
      <c r="GP754" s="4">
        <v>199</v>
      </c>
      <c r="GQ754" s="4">
        <v>196</v>
      </c>
      <c r="GR754" s="4">
        <v>193</v>
      </c>
      <c r="GS754" s="4">
        <v>190</v>
      </c>
      <c r="GT754" s="4">
        <v>187</v>
      </c>
      <c r="GU754" s="4">
        <v>184</v>
      </c>
      <c r="GV754" s="4">
        <v>181</v>
      </c>
      <c r="GW754" s="4">
        <v>178</v>
      </c>
      <c r="GX754" s="4">
        <v>175</v>
      </c>
      <c r="GY754" s="4">
        <v>172</v>
      </c>
      <c r="GZ754" s="4">
        <v>169</v>
      </c>
      <c r="HA754" s="4">
        <v>166</v>
      </c>
      <c r="HB754" s="4">
        <v>163</v>
      </c>
      <c r="HC754" s="19">
        <v>49.4</v>
      </c>
      <c r="HD754" s="19">
        <v>48.6</v>
      </c>
      <c r="HE754" s="19">
        <v>47.8</v>
      </c>
      <c r="HF754" s="19">
        <v>58.5</v>
      </c>
      <c r="HG754" s="19">
        <v>75.7</v>
      </c>
      <c r="HH754" s="19">
        <v>74.3</v>
      </c>
      <c r="HI754" s="19">
        <v>73</v>
      </c>
      <c r="HJ754" s="19">
        <v>72.3</v>
      </c>
      <c r="HK754" s="19">
        <v>71.3</v>
      </c>
      <c r="HL754" s="19">
        <v>70.3</v>
      </c>
      <c r="HM754" s="19">
        <v>69.3</v>
      </c>
      <c r="HN754" s="19">
        <v>68.3</v>
      </c>
      <c r="HO754" s="19">
        <v>67.3</v>
      </c>
      <c r="HP754" s="19">
        <v>66.3</v>
      </c>
      <c r="HQ754" s="19">
        <v>65.3</v>
      </c>
      <c r="HR754" s="19">
        <v>64.3</v>
      </c>
      <c r="HS754" s="19">
        <v>63.3</v>
      </c>
      <c r="HT754" s="19">
        <v>62.3</v>
      </c>
      <c r="HU754" s="19">
        <v>61.3</v>
      </c>
      <c r="HV754" s="19">
        <v>60.3</v>
      </c>
      <c r="HW754" s="19">
        <v>59.3</v>
      </c>
      <c r="HX754" s="19">
        <v>58.3</v>
      </c>
      <c r="HY754" s="19">
        <v>57.3</v>
      </c>
      <c r="HZ754" s="19">
        <v>56.3</v>
      </c>
      <c r="IA754" s="19">
        <v>55.3</v>
      </c>
      <c r="IB754" s="19">
        <v>54.3</v>
      </c>
    </row>
    <row r="755">
      <c r="A755" s="2" t="s">
        <v>4172</v>
      </c>
      <c r="B755" s="2" t="s">
        <v>279</v>
      </c>
      <c r="C755" s="2" t="s">
        <v>1411</v>
      </c>
      <c r="D755" s="2" t="s">
        <v>281</v>
      </c>
      <c r="E755" s="2" t="s">
        <v>282</v>
      </c>
      <c r="F755" s="2" t="s">
        <v>4173</v>
      </c>
      <c r="G755" s="2" t="s">
        <v>4173</v>
      </c>
      <c r="H755" s="2" t="s">
        <v>4173</v>
      </c>
      <c r="I755" s="2" t="s">
        <v>2383</v>
      </c>
      <c r="J755" s="2" t="s">
        <v>228</v>
      </c>
      <c r="K755" s="2" t="s">
        <v>4174</v>
      </c>
      <c r="L755" s="3">
        <v>15.4</v>
      </c>
      <c r="M755" s="3">
        <v>16.17</v>
      </c>
      <c r="N755" s="3">
        <v>34.99</v>
      </c>
      <c r="O755" s="2" t="s">
        <v>230</v>
      </c>
      <c r="P755" s="2" t="s">
        <v>231</v>
      </c>
      <c r="Q755" s="2" t="s">
        <v>232</v>
      </c>
      <c r="R755" s="2" t="s">
        <v>233</v>
      </c>
      <c r="S755" s="2" t="s">
        <v>4175</v>
      </c>
      <c r="T755" s="2" t="s">
        <v>469</v>
      </c>
      <c r="U755" s="2" t="s">
        <v>781</v>
      </c>
      <c r="V755" s="2" t="s">
        <v>2483</v>
      </c>
      <c r="W755" s="2" t="s">
        <v>620</v>
      </c>
      <c r="X755" s="2" t="s">
        <v>233</v>
      </c>
      <c r="Y755" s="2" t="s">
        <v>4176</v>
      </c>
      <c r="Z755" s="4">
        <v>206</v>
      </c>
      <c r="AA755" s="4">
        <f>=ROUNDDOWN(34.3333333333333,0)</f>
      </c>
      <c r="AB755" s="5">
        <v>6</v>
      </c>
      <c r="AC755" s="2" t="s">
        <v>139</v>
      </c>
      <c r="AD755" s="4">
        <v>150</v>
      </c>
      <c r="AE755" s="4">
        <v>150</v>
      </c>
      <c r="AF755" s="6">
        <v>66</v>
      </c>
      <c r="AG755" s="6"/>
      <c r="AH755" s="7">
        <v>1</v>
      </c>
      <c r="AI755" s="4"/>
      <c r="AJ755" s="4">
        <f>=ROUNDDOWN({0},0)</f>
      </c>
      <c r="AK755" s="5"/>
      <c r="AL755" s="2" t="s">
        <v>233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233</v>
      </c>
      <c r="AW755" s="8" t="s">
        <v>233</v>
      </c>
      <c r="AX755" s="4" t="s">
        <v>233</v>
      </c>
      <c r="AY755" s="8" t="s">
        <v>233</v>
      </c>
      <c r="AZ755" s="7" t="s">
        <v>233</v>
      </c>
      <c r="BA755" s="7" t="s">
        <v>233</v>
      </c>
      <c r="BB755" s="7"/>
      <c r="BC755" s="4" t="s">
        <v>233</v>
      </c>
      <c r="BD755" s="8" t="s">
        <v>233</v>
      </c>
      <c r="BE755" s="4" t="s">
        <v>233</v>
      </c>
      <c r="BF755" s="8" t="s">
        <v>233</v>
      </c>
      <c r="BG755" s="7" t="s">
        <v>233</v>
      </c>
      <c r="BH755" s="7" t="s">
        <v>233</v>
      </c>
      <c r="BI755" s="7"/>
      <c r="BJ755" s="4">
        <v>18</v>
      </c>
      <c r="BK755" s="8">
        <v>317.36</v>
      </c>
      <c r="BL755" s="2" t="s">
        <v>463</v>
      </c>
      <c r="BM755" s="7"/>
      <c r="BN755" s="7"/>
      <c r="BO755" s="4"/>
      <c r="BP755" s="8"/>
      <c r="BQ755" s="4"/>
      <c r="BR755" s="8"/>
      <c r="BS755" s="7"/>
      <c r="BT755" s="7"/>
      <c r="BU755" s="2" t="s">
        <v>4177</v>
      </c>
      <c r="BV755" s="2" t="s">
        <v>233</v>
      </c>
      <c r="BW755" s="2" t="s">
        <v>233</v>
      </c>
      <c r="BX755" s="2" t="s">
        <v>241</v>
      </c>
      <c r="BY755" s="2" t="s">
        <v>242</v>
      </c>
      <c r="BZ755" s="2" t="s">
        <v>230</v>
      </c>
      <c r="CA755" s="2" t="s">
        <v>4178</v>
      </c>
      <c r="CB755" s="2" t="s">
        <v>2134</v>
      </c>
      <c r="CC755" s="2" t="s">
        <v>245</v>
      </c>
      <c r="CD755" s="2" t="s">
        <v>233</v>
      </c>
      <c r="CE755" s="4">
        <v>206</v>
      </c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>
        <v>150</v>
      </c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>
        <v>207</v>
      </c>
      <c r="GD755" s="4">
        <v>205</v>
      </c>
      <c r="GE755" s="4">
        <v>334</v>
      </c>
      <c r="GF755" s="4">
        <v>327</v>
      </c>
      <c r="GG755" s="4">
        <v>317</v>
      </c>
      <c r="GH755" s="4">
        <v>307</v>
      </c>
      <c r="GI755" s="4">
        <v>298</v>
      </c>
      <c r="GJ755" s="4">
        <v>271</v>
      </c>
      <c r="GK755" s="4">
        <v>269</v>
      </c>
      <c r="GL755" s="4">
        <v>267</v>
      </c>
      <c r="GM755" s="4">
        <v>265</v>
      </c>
      <c r="GN755" s="4">
        <v>263</v>
      </c>
      <c r="GO755" s="4">
        <v>261</v>
      </c>
      <c r="GP755" s="4">
        <v>255</v>
      </c>
      <c r="GQ755" s="4">
        <v>249</v>
      </c>
      <c r="GR755" s="4">
        <v>243</v>
      </c>
      <c r="GS755" s="4">
        <v>237</v>
      </c>
      <c r="GT755" s="4">
        <v>231</v>
      </c>
      <c r="GU755" s="4">
        <v>225</v>
      </c>
      <c r="GV755" s="4">
        <v>219</v>
      </c>
      <c r="GW755" s="4">
        <v>213</v>
      </c>
      <c r="GX755" s="4">
        <v>207</v>
      </c>
      <c r="GY755" s="4">
        <v>201</v>
      </c>
      <c r="GZ755" s="4">
        <v>195</v>
      </c>
      <c r="HA755" s="4">
        <v>189</v>
      </c>
      <c r="HB755" s="4">
        <v>183</v>
      </c>
      <c r="HC755" s="19">
        <v>20.7</v>
      </c>
      <c r="HD755" s="19">
        <v>17.1</v>
      </c>
      <c r="HE755" s="19">
        <v>37.1</v>
      </c>
      <c r="HF755" s="19">
        <v>23.4</v>
      </c>
      <c r="HG755" s="19">
        <v>26.4</v>
      </c>
      <c r="HH755" s="19">
        <v>30.7</v>
      </c>
      <c r="HI755" s="19">
        <v>37.3</v>
      </c>
      <c r="HJ755" s="19">
        <v>135.5</v>
      </c>
      <c r="HK755" s="19">
        <v>134.5</v>
      </c>
      <c r="HL755" s="19">
        <v>89</v>
      </c>
      <c r="HM755" s="19">
        <v>66.3</v>
      </c>
      <c r="HN755" s="19">
        <v>52.6</v>
      </c>
      <c r="HO755" s="19">
        <v>43.5</v>
      </c>
      <c r="HP755" s="19">
        <v>42.5</v>
      </c>
      <c r="HQ755" s="19">
        <v>41.5</v>
      </c>
      <c r="HR755" s="19">
        <v>40.5</v>
      </c>
      <c r="HS755" s="19">
        <v>39.5</v>
      </c>
      <c r="HT755" s="19">
        <v>38.5</v>
      </c>
      <c r="HU755" s="19">
        <v>37.5</v>
      </c>
      <c r="HV755" s="19">
        <v>36.5</v>
      </c>
      <c r="HW755" s="19">
        <v>35.5</v>
      </c>
      <c r="HX755" s="19">
        <v>34.5</v>
      </c>
      <c r="HY755" s="19">
        <v>33.5</v>
      </c>
      <c r="HZ755" s="19">
        <v>32.5</v>
      </c>
      <c r="IA755" s="19">
        <v>31.5</v>
      </c>
      <c r="IB755" s="19">
        <v>30.5</v>
      </c>
    </row>
    <row r="756">
      <c r="A756" s="2" t="s">
        <v>4179</v>
      </c>
      <c r="B756" s="2" t="s">
        <v>279</v>
      </c>
      <c r="C756" s="2" t="s">
        <v>1411</v>
      </c>
      <c r="D756" s="2" t="s">
        <v>281</v>
      </c>
      <c r="E756" s="2" t="s">
        <v>282</v>
      </c>
      <c r="F756" s="2" t="s">
        <v>4173</v>
      </c>
      <c r="G756" s="2" t="s">
        <v>4173</v>
      </c>
      <c r="H756" s="2" t="s">
        <v>4173</v>
      </c>
      <c r="I756" s="2" t="s">
        <v>2383</v>
      </c>
      <c r="J756" s="2" t="s">
        <v>247</v>
      </c>
      <c r="K756" s="2" t="s">
        <v>4174</v>
      </c>
      <c r="L756" s="3">
        <v>15.4</v>
      </c>
      <c r="M756" s="3">
        <v>16.17</v>
      </c>
      <c r="N756" s="3">
        <v>34.99</v>
      </c>
      <c r="O756" s="2" t="s">
        <v>230</v>
      </c>
      <c r="P756" s="2" t="s">
        <v>231</v>
      </c>
      <c r="Q756" s="2" t="s">
        <v>232</v>
      </c>
      <c r="R756" s="2" t="s">
        <v>233</v>
      </c>
      <c r="S756" s="2" t="s">
        <v>4175</v>
      </c>
      <c r="T756" s="2" t="s">
        <v>469</v>
      </c>
      <c r="U756" s="2" t="s">
        <v>781</v>
      </c>
      <c r="V756" s="2" t="s">
        <v>2483</v>
      </c>
      <c r="W756" s="2" t="s">
        <v>620</v>
      </c>
      <c r="X756" s="2" t="s">
        <v>233</v>
      </c>
      <c r="Y756" s="2" t="s">
        <v>4176</v>
      </c>
      <c r="Z756" s="4">
        <v>247</v>
      </c>
      <c r="AA756" s="4">
        <f>=ROUNDDOWN(117.619047619048,0)</f>
      </c>
      <c r="AB756" s="5">
        <v>2.1</v>
      </c>
      <c r="AC756" s="2" t="s">
        <v>233</v>
      </c>
      <c r="AD756" s="4"/>
      <c r="AE756" s="4"/>
      <c r="AF756" s="6">
        <v>66</v>
      </c>
      <c r="AG756" s="6"/>
      <c r="AH756" s="7">
        <v>1</v>
      </c>
      <c r="AI756" s="4"/>
      <c r="AJ756" s="4">
        <f>=ROUNDDOWN({0},0)</f>
      </c>
      <c r="AK756" s="5"/>
      <c r="AL756" s="2" t="s">
        <v>233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233</v>
      </c>
      <c r="AW756" s="8" t="s">
        <v>233</v>
      </c>
      <c r="AX756" s="4" t="s">
        <v>233</v>
      </c>
      <c r="AY756" s="8" t="s">
        <v>233</v>
      </c>
      <c r="AZ756" s="7" t="s">
        <v>233</v>
      </c>
      <c r="BA756" s="7" t="s">
        <v>233</v>
      </c>
      <c r="BB756" s="7"/>
      <c r="BC756" s="4" t="s">
        <v>233</v>
      </c>
      <c r="BD756" s="8" t="s">
        <v>233</v>
      </c>
      <c r="BE756" s="4" t="s">
        <v>233</v>
      </c>
      <c r="BF756" s="8" t="s">
        <v>233</v>
      </c>
      <c r="BG756" s="7" t="s">
        <v>233</v>
      </c>
      <c r="BH756" s="7" t="s">
        <v>233</v>
      </c>
      <c r="BI756" s="7"/>
      <c r="BJ756" s="4">
        <v>6</v>
      </c>
      <c r="BK756" s="8">
        <v>106.8</v>
      </c>
      <c r="BL756" s="2" t="s">
        <v>861</v>
      </c>
      <c r="BM756" s="7"/>
      <c r="BN756" s="7"/>
      <c r="BO756" s="4"/>
      <c r="BP756" s="8"/>
      <c r="BQ756" s="4"/>
      <c r="BR756" s="8"/>
      <c r="BS756" s="7"/>
      <c r="BT756" s="7"/>
      <c r="BU756" s="2" t="s">
        <v>4177</v>
      </c>
      <c r="BV756" s="2" t="s">
        <v>233</v>
      </c>
      <c r="BW756" s="2" t="s">
        <v>233</v>
      </c>
      <c r="BX756" s="2" t="s">
        <v>241</v>
      </c>
      <c r="BY756" s="2" t="s">
        <v>242</v>
      </c>
      <c r="BZ756" s="2" t="s">
        <v>230</v>
      </c>
      <c r="CA756" s="2" t="s">
        <v>4178</v>
      </c>
      <c r="CB756" s="2" t="s">
        <v>4180</v>
      </c>
      <c r="CC756" s="2" t="s">
        <v>245</v>
      </c>
      <c r="CD756" s="2" t="s">
        <v>233</v>
      </c>
      <c r="CE756" s="4">
        <v>247</v>
      </c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>
        <v>250</v>
      </c>
      <c r="GD756" s="4">
        <v>248</v>
      </c>
      <c r="GE756" s="4">
        <v>244</v>
      </c>
      <c r="GF756" s="4">
        <v>241</v>
      </c>
      <c r="GG756" s="4">
        <v>237</v>
      </c>
      <c r="GH756" s="4">
        <v>233</v>
      </c>
      <c r="GI756" s="4">
        <v>229</v>
      </c>
      <c r="GJ756" s="4">
        <v>220</v>
      </c>
      <c r="GK756" s="4">
        <v>219</v>
      </c>
      <c r="GL756" s="4">
        <v>218</v>
      </c>
      <c r="GM756" s="4">
        <v>217</v>
      </c>
      <c r="GN756" s="4">
        <v>214</v>
      </c>
      <c r="GO756" s="4">
        <v>211</v>
      </c>
      <c r="GP756" s="4">
        <v>208</v>
      </c>
      <c r="GQ756" s="4">
        <v>205</v>
      </c>
      <c r="GR756" s="4">
        <v>202</v>
      </c>
      <c r="GS756" s="4">
        <v>199</v>
      </c>
      <c r="GT756" s="4">
        <v>196</v>
      </c>
      <c r="GU756" s="4">
        <v>193</v>
      </c>
      <c r="GV756" s="4">
        <v>190</v>
      </c>
      <c r="GW756" s="4">
        <v>187</v>
      </c>
      <c r="GX756" s="4">
        <v>184</v>
      </c>
      <c r="GY756" s="4">
        <v>181</v>
      </c>
      <c r="GZ756" s="4">
        <v>178</v>
      </c>
      <c r="HA756" s="4">
        <v>175</v>
      </c>
      <c r="HB756" s="4">
        <v>172</v>
      </c>
      <c r="HC756" s="19">
        <v>83.3</v>
      </c>
      <c r="HD756" s="19">
        <v>62</v>
      </c>
      <c r="HE756" s="19">
        <v>61</v>
      </c>
      <c r="HF756" s="19">
        <v>48.2</v>
      </c>
      <c r="HG756" s="19">
        <v>59.3</v>
      </c>
      <c r="HH756" s="19">
        <v>58.3</v>
      </c>
      <c r="HI756" s="19">
        <v>76.3</v>
      </c>
      <c r="HJ756" s="19">
        <v>110</v>
      </c>
      <c r="HK756" s="19">
        <v>109.5</v>
      </c>
      <c r="HL756" s="19">
        <v>109</v>
      </c>
      <c r="HM756" s="19">
        <v>72.3</v>
      </c>
      <c r="HN756" s="19">
        <v>71.3</v>
      </c>
      <c r="HO756" s="19">
        <v>70.3</v>
      </c>
      <c r="HP756" s="19">
        <v>69.3</v>
      </c>
      <c r="HQ756" s="19">
        <v>68.3</v>
      </c>
      <c r="HR756" s="19">
        <v>67.3</v>
      </c>
      <c r="HS756" s="19">
        <v>66.3</v>
      </c>
      <c r="HT756" s="19">
        <v>65.3</v>
      </c>
      <c r="HU756" s="19">
        <v>64.3</v>
      </c>
      <c r="HV756" s="19">
        <v>63.3</v>
      </c>
      <c r="HW756" s="19">
        <v>62.3</v>
      </c>
      <c r="HX756" s="19">
        <v>61.3</v>
      </c>
      <c r="HY756" s="19">
        <v>60.3</v>
      </c>
      <c r="HZ756" s="19">
        <v>59.3</v>
      </c>
      <c r="IA756" s="19">
        <v>43.8</v>
      </c>
      <c r="IB756" s="19">
        <v>34.4</v>
      </c>
    </row>
    <row r="757">
      <c r="A757" s="2" t="s">
        <v>4181</v>
      </c>
      <c r="B757" s="2" t="s">
        <v>736</v>
      </c>
      <c r="C757" s="2" t="s">
        <v>280</v>
      </c>
      <c r="D757" s="2" t="s">
        <v>752</v>
      </c>
      <c r="E757" s="2" t="s">
        <v>753</v>
      </c>
      <c r="F757" s="2" t="s">
        <v>4182</v>
      </c>
      <c r="G757" s="2" t="s">
        <v>4182</v>
      </c>
      <c r="H757" s="2" t="s">
        <v>4182</v>
      </c>
      <c r="I757" s="2" t="s">
        <v>4183</v>
      </c>
      <c r="J757" s="2" t="s">
        <v>741</v>
      </c>
      <c r="K757" s="2" t="s">
        <v>629</v>
      </c>
      <c r="L757" s="3">
        <v>71.42</v>
      </c>
      <c r="M757" s="3">
        <v>75</v>
      </c>
      <c r="N757" s="3">
        <v>149.99</v>
      </c>
      <c r="O757" s="2" t="s">
        <v>230</v>
      </c>
      <c r="P757" s="2" t="s">
        <v>231</v>
      </c>
      <c r="Q757" s="2" t="s">
        <v>232</v>
      </c>
      <c r="R757" s="2" t="s">
        <v>233</v>
      </c>
      <c r="S757" s="2" t="s">
        <v>233</v>
      </c>
      <c r="T757" s="2" t="s">
        <v>233</v>
      </c>
      <c r="U757" s="2" t="s">
        <v>329</v>
      </c>
      <c r="V757" s="2" t="s">
        <v>609</v>
      </c>
      <c r="W757" s="2" t="s">
        <v>288</v>
      </c>
      <c r="X757" s="2" t="s">
        <v>288</v>
      </c>
      <c r="Y757" s="2" t="s">
        <v>4184</v>
      </c>
      <c r="Z757" s="4">
        <v>150</v>
      </c>
      <c r="AA757" s="4">
        <f>=ROUNDDOWN(30,0)</f>
      </c>
      <c r="AB757" s="5">
        <v>5</v>
      </c>
      <c r="AC757" s="2" t="s">
        <v>233</v>
      </c>
      <c r="AD757" s="4"/>
      <c r="AE757" s="4"/>
      <c r="AF757" s="6">
        <v>65</v>
      </c>
      <c r="AG757" s="6">
        <v>48</v>
      </c>
      <c r="AH757" s="7">
        <v>0</v>
      </c>
      <c r="AI757" s="4"/>
      <c r="AJ757" s="4">
        <f>=ROUNDDOWN({0},0)</f>
      </c>
      <c r="AK757" s="5"/>
      <c r="AL757" s="2" t="s">
        <v>233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233</v>
      </c>
      <c r="BM757" s="7"/>
      <c r="BN757" s="7"/>
      <c r="BO757" s="4"/>
      <c r="BP757" s="8"/>
      <c r="BQ757" s="4"/>
      <c r="BR757" s="8"/>
      <c r="BS757" s="7"/>
      <c r="BT757" s="7"/>
      <c r="BU757" s="2" t="s">
        <v>4185</v>
      </c>
      <c r="BV757" s="2" t="s">
        <v>233</v>
      </c>
      <c r="BW757" s="2" t="s">
        <v>233</v>
      </c>
      <c r="BX757" s="2" t="s">
        <v>241</v>
      </c>
      <c r="BY757" s="2" t="s">
        <v>242</v>
      </c>
      <c r="BZ757" s="2" t="s">
        <v>230</v>
      </c>
      <c r="CA757" s="2" t="s">
        <v>4186</v>
      </c>
      <c r="CB757" s="2" t="s">
        <v>4187</v>
      </c>
      <c r="CC757" s="2" t="s">
        <v>245</v>
      </c>
      <c r="CD757" s="2" t="s">
        <v>233</v>
      </c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>
        <v>150</v>
      </c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>
        <v>150</v>
      </c>
      <c r="GD757" s="4">
        <v>136</v>
      </c>
      <c r="GE757" s="4">
        <v>131</v>
      </c>
      <c r="GF757" s="4">
        <v>125</v>
      </c>
      <c r="GG757" s="4">
        <v>119</v>
      </c>
      <c r="GH757" s="4">
        <v>113</v>
      </c>
      <c r="GI757" s="4">
        <v>107</v>
      </c>
      <c r="GJ757" s="4">
        <v>102</v>
      </c>
      <c r="GK757" s="4">
        <v>97</v>
      </c>
      <c r="GL757" s="4">
        <v>92</v>
      </c>
      <c r="GM757" s="4">
        <v>87</v>
      </c>
      <c r="GN757" s="4">
        <v>82</v>
      </c>
      <c r="GO757" s="4">
        <v>77</v>
      </c>
      <c r="GP757" s="4">
        <v>72</v>
      </c>
      <c r="GQ757" s="4">
        <v>67</v>
      </c>
      <c r="GR757" s="4">
        <v>62</v>
      </c>
      <c r="GS757" s="4">
        <v>57</v>
      </c>
      <c r="GT757" s="4">
        <v>51</v>
      </c>
      <c r="GU757" s="4">
        <v>46</v>
      </c>
      <c r="GV757" s="4">
        <v>41</v>
      </c>
      <c r="GW757" s="4">
        <v>36</v>
      </c>
      <c r="GX757" s="4">
        <v>31</v>
      </c>
      <c r="GY757" s="4">
        <v>26</v>
      </c>
      <c r="GZ757" s="4">
        <v>21</v>
      </c>
      <c r="HA757" s="4">
        <v>16</v>
      </c>
      <c r="HB757" s="4">
        <v>11</v>
      </c>
      <c r="HC757" s="19">
        <v>9.4</v>
      </c>
      <c r="HD757" s="19">
        <v>11.4</v>
      </c>
      <c r="HE757" s="19">
        <v>10.9</v>
      </c>
      <c r="HF757" s="19">
        <v>10.4</v>
      </c>
      <c r="HG757" s="19">
        <v>9.9</v>
      </c>
      <c r="HH757" s="19">
        <v>11.3</v>
      </c>
      <c r="HI757" s="19">
        <v>10.7</v>
      </c>
      <c r="HJ757" s="19">
        <v>10.2</v>
      </c>
      <c r="HK757" s="19">
        <v>9.7</v>
      </c>
      <c r="HL757" s="19">
        <v>9.2</v>
      </c>
      <c r="HM757" s="19">
        <v>8.7</v>
      </c>
      <c r="HN757" s="19">
        <v>8.2</v>
      </c>
      <c r="HO757" s="19">
        <v>7.7</v>
      </c>
      <c r="HP757" s="19">
        <v>7.2</v>
      </c>
      <c r="HQ757" s="19">
        <v>6.7</v>
      </c>
      <c r="HR757" s="19">
        <v>6.2</v>
      </c>
      <c r="HS757" s="19">
        <v>5.7</v>
      </c>
      <c r="HT757" s="19">
        <v>5.1</v>
      </c>
      <c r="HU757" s="19">
        <v>4.6</v>
      </c>
      <c r="HV757" s="19">
        <v>4.1</v>
      </c>
      <c r="HW757" s="19">
        <v>3.6</v>
      </c>
      <c r="HX757" s="19">
        <v>3.1</v>
      </c>
      <c r="HY757" s="19">
        <v>2.6</v>
      </c>
      <c r="HZ757" s="19">
        <v>2.1</v>
      </c>
      <c r="IA757" s="19">
        <v>2</v>
      </c>
      <c r="IB757" s="19">
        <v>1.9</v>
      </c>
    </row>
    <row r="758">
      <c r="A758" s="2" t="s">
        <v>4188</v>
      </c>
      <c r="B758" s="2" t="s">
        <v>279</v>
      </c>
      <c r="C758" s="2" t="s">
        <v>2381</v>
      </c>
      <c r="D758" s="2" t="s">
        <v>281</v>
      </c>
      <c r="E758" s="2" t="s">
        <v>282</v>
      </c>
      <c r="F758" s="2" t="s">
        <v>4189</v>
      </c>
      <c r="G758" s="2" t="s">
        <v>4189</v>
      </c>
      <c r="H758" s="2" t="s">
        <v>4189</v>
      </c>
      <c r="I758" s="2" t="s">
        <v>345</v>
      </c>
      <c r="J758" s="2" t="s">
        <v>228</v>
      </c>
      <c r="K758" s="2" t="s">
        <v>1511</v>
      </c>
      <c r="L758" s="3">
        <v>21.62</v>
      </c>
      <c r="M758" s="3">
        <v>22.7</v>
      </c>
      <c r="N758" s="3">
        <v>46.99</v>
      </c>
      <c r="O758" s="2" t="s">
        <v>230</v>
      </c>
      <c r="P758" s="2" t="s">
        <v>231</v>
      </c>
      <c r="Q758" s="2" t="s">
        <v>232</v>
      </c>
      <c r="R758" s="2" t="s">
        <v>233</v>
      </c>
      <c r="S758" s="2" t="s">
        <v>4190</v>
      </c>
      <c r="T758" s="2" t="s">
        <v>2765</v>
      </c>
      <c r="U758" s="2" t="s">
        <v>781</v>
      </c>
      <c r="V758" s="2" t="s">
        <v>236</v>
      </c>
      <c r="W758" s="2" t="s">
        <v>237</v>
      </c>
      <c r="X758" s="2" t="s">
        <v>620</v>
      </c>
      <c r="Y758" s="2" t="s">
        <v>4191</v>
      </c>
      <c r="Z758" s="4">
        <v>190</v>
      </c>
      <c r="AA758" s="4">
        <f>=ROUNDDOWN(21.1111111111111,0)</f>
      </c>
      <c r="AB758" s="5">
        <v>9</v>
      </c>
      <c r="AC758" s="2" t="s">
        <v>233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233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233</v>
      </c>
      <c r="AW758" s="8" t="s">
        <v>233</v>
      </c>
      <c r="AX758" s="4" t="s">
        <v>233</v>
      </c>
      <c r="AY758" s="8" t="s">
        <v>233</v>
      </c>
      <c r="AZ758" s="7" t="s">
        <v>233</v>
      </c>
      <c r="BA758" s="7" t="s">
        <v>233</v>
      </c>
      <c r="BB758" s="7"/>
      <c r="BC758" s="4" t="s">
        <v>233</v>
      </c>
      <c r="BD758" s="8" t="s">
        <v>233</v>
      </c>
      <c r="BE758" s="4" t="s">
        <v>233</v>
      </c>
      <c r="BF758" s="8" t="s">
        <v>233</v>
      </c>
      <c r="BG758" s="7" t="s">
        <v>233</v>
      </c>
      <c r="BH758" s="7" t="s">
        <v>233</v>
      </c>
      <c r="BI758" s="7"/>
      <c r="BJ758" s="4">
        <v>26</v>
      </c>
      <c r="BK758" s="8">
        <v>619.32</v>
      </c>
      <c r="BL758" s="2" t="s">
        <v>4192</v>
      </c>
      <c r="BM758" s="7"/>
      <c r="BN758" s="7"/>
      <c r="BO758" s="4"/>
      <c r="BP758" s="8"/>
      <c r="BQ758" s="4"/>
      <c r="BR758" s="8"/>
      <c r="BS758" s="7"/>
      <c r="BT758" s="7"/>
      <c r="BU758" s="2" t="s">
        <v>4193</v>
      </c>
      <c r="BV758" s="2" t="s">
        <v>233</v>
      </c>
      <c r="BW758" s="2" t="s">
        <v>233</v>
      </c>
      <c r="BX758" s="2" t="s">
        <v>241</v>
      </c>
      <c r="BY758" s="2" t="s">
        <v>242</v>
      </c>
      <c r="BZ758" s="2" t="s">
        <v>230</v>
      </c>
      <c r="CA758" s="2" t="s">
        <v>4041</v>
      </c>
      <c r="CB758" s="2" t="s">
        <v>787</v>
      </c>
      <c r="CC758" s="2" t="s">
        <v>245</v>
      </c>
      <c r="CD758" s="2" t="s">
        <v>233</v>
      </c>
      <c r="CE758" s="4">
        <v>112</v>
      </c>
      <c r="CF758" s="4">
        <v>78</v>
      </c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>
        <v>197</v>
      </c>
      <c r="GD758" s="4">
        <v>134</v>
      </c>
      <c r="GE758" s="4">
        <v>124</v>
      </c>
      <c r="GF758" s="4">
        <v>113</v>
      </c>
      <c r="GG758" s="4">
        <v>94</v>
      </c>
      <c r="GH758" s="4">
        <v>86</v>
      </c>
      <c r="GI758" s="4">
        <v>73</v>
      </c>
      <c r="GJ758" s="4">
        <v>67</v>
      </c>
      <c r="GK758" s="4">
        <v>63</v>
      </c>
      <c r="GL758" s="4">
        <v>57</v>
      </c>
      <c r="GM758" s="4">
        <v>53</v>
      </c>
      <c r="GN758" s="4">
        <v>48</v>
      </c>
      <c r="GO758" s="4">
        <v>43</v>
      </c>
      <c r="GP758" s="4">
        <v>37</v>
      </c>
      <c r="GQ758" s="4">
        <v>33</v>
      </c>
      <c r="GR758" s="4">
        <v>29</v>
      </c>
      <c r="GS758" s="4">
        <v>26</v>
      </c>
      <c r="GT758" s="4">
        <v>23</v>
      </c>
      <c r="GU758" s="4">
        <v>20</v>
      </c>
      <c r="GV758" s="4">
        <v>120</v>
      </c>
      <c r="GW758" s="4">
        <v>118</v>
      </c>
      <c r="GX758" s="4">
        <v>116</v>
      </c>
      <c r="GY758" s="4">
        <v>114</v>
      </c>
      <c r="GZ758" s="4">
        <v>112</v>
      </c>
      <c r="HA758" s="4">
        <v>110</v>
      </c>
      <c r="HB758" s="4">
        <v>108</v>
      </c>
      <c r="HC758" s="19">
        <v>7.6</v>
      </c>
      <c r="HD758" s="19">
        <v>11.2</v>
      </c>
      <c r="HE758" s="19">
        <v>9.5</v>
      </c>
      <c r="HF758" s="19">
        <v>9.4</v>
      </c>
      <c r="HG758" s="19">
        <v>11.8</v>
      </c>
      <c r="HH758" s="19">
        <v>12.3</v>
      </c>
      <c r="HI758" s="19">
        <v>14.6</v>
      </c>
      <c r="HJ758" s="19">
        <v>13.4</v>
      </c>
      <c r="HK758" s="19">
        <v>12.6</v>
      </c>
      <c r="HL758" s="19">
        <v>11.4</v>
      </c>
      <c r="HM758" s="19">
        <v>10.6</v>
      </c>
      <c r="HN758" s="19">
        <v>9.6</v>
      </c>
      <c r="HO758" s="19">
        <v>10.8</v>
      </c>
      <c r="HP758" s="19">
        <v>9.3</v>
      </c>
      <c r="HQ758" s="19">
        <v>11</v>
      </c>
      <c r="HR758" s="19">
        <v>9.7</v>
      </c>
      <c r="HS758" s="19">
        <v>13</v>
      </c>
      <c r="HT758" s="19">
        <v>11.5</v>
      </c>
      <c r="HU758" s="19">
        <v>10</v>
      </c>
      <c r="HV758" s="19">
        <v>60</v>
      </c>
      <c r="HW758" s="19">
        <v>59</v>
      </c>
      <c r="HX758" s="19">
        <v>58</v>
      </c>
      <c r="HY758" s="19">
        <v>57</v>
      </c>
      <c r="HZ758" s="19">
        <v>56</v>
      </c>
      <c r="IA758" s="19">
        <v>55</v>
      </c>
      <c r="IB758" s="19">
        <v>54</v>
      </c>
    </row>
    <row r="759">
      <c r="A759" s="2" t="s">
        <v>4194</v>
      </c>
      <c r="B759" s="2" t="s">
        <v>279</v>
      </c>
      <c r="C759" s="2" t="s">
        <v>2381</v>
      </c>
      <c r="D759" s="2" t="s">
        <v>281</v>
      </c>
      <c r="E759" s="2" t="s">
        <v>282</v>
      </c>
      <c r="F759" s="2" t="s">
        <v>4189</v>
      </c>
      <c r="G759" s="2" t="s">
        <v>4189</v>
      </c>
      <c r="H759" s="2" t="s">
        <v>4189</v>
      </c>
      <c r="I759" s="2" t="s">
        <v>345</v>
      </c>
      <c r="J759" s="2" t="s">
        <v>247</v>
      </c>
      <c r="K759" s="2" t="s">
        <v>1511</v>
      </c>
      <c r="L759" s="3">
        <v>23.04</v>
      </c>
      <c r="M759" s="3">
        <v>24.19</v>
      </c>
      <c r="N759" s="3">
        <v>47.99</v>
      </c>
      <c r="O759" s="2" t="s">
        <v>230</v>
      </c>
      <c r="P759" s="2" t="s">
        <v>231</v>
      </c>
      <c r="Q759" s="2" t="s">
        <v>232</v>
      </c>
      <c r="R759" s="2" t="s">
        <v>233</v>
      </c>
      <c r="S759" s="2" t="s">
        <v>4190</v>
      </c>
      <c r="T759" s="2" t="s">
        <v>2765</v>
      </c>
      <c r="U759" s="2" t="s">
        <v>781</v>
      </c>
      <c r="V759" s="2" t="s">
        <v>236</v>
      </c>
      <c r="W759" s="2" t="s">
        <v>237</v>
      </c>
      <c r="X759" s="2" t="s">
        <v>620</v>
      </c>
      <c r="Y759" s="2" t="s">
        <v>4191</v>
      </c>
      <c r="Z759" s="4">
        <v>97</v>
      </c>
      <c r="AA759" s="4">
        <f>=ROUNDDOWN(16.1666666666667,0)</f>
      </c>
      <c r="AB759" s="5">
        <v>6</v>
      </c>
      <c r="AC759" s="2" t="s">
        <v>233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233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233</v>
      </c>
      <c r="AW759" s="8" t="s">
        <v>233</v>
      </c>
      <c r="AX759" s="4" t="s">
        <v>233</v>
      </c>
      <c r="AY759" s="8" t="s">
        <v>233</v>
      </c>
      <c r="AZ759" s="7" t="s">
        <v>233</v>
      </c>
      <c r="BA759" s="7" t="s">
        <v>233</v>
      </c>
      <c r="BB759" s="7"/>
      <c r="BC759" s="4" t="s">
        <v>233</v>
      </c>
      <c r="BD759" s="8" t="s">
        <v>233</v>
      </c>
      <c r="BE759" s="4" t="s">
        <v>233</v>
      </c>
      <c r="BF759" s="8" t="s">
        <v>233</v>
      </c>
      <c r="BG759" s="7" t="s">
        <v>233</v>
      </c>
      <c r="BH759" s="7" t="s">
        <v>233</v>
      </c>
      <c r="BI759" s="7"/>
      <c r="BJ759" s="4">
        <v>21</v>
      </c>
      <c r="BK759" s="8">
        <v>534.63</v>
      </c>
      <c r="BL759" s="2" t="s">
        <v>1658</v>
      </c>
      <c r="BM759" s="7"/>
      <c r="BN759" s="7"/>
      <c r="BO759" s="4"/>
      <c r="BP759" s="8"/>
      <c r="BQ759" s="4"/>
      <c r="BR759" s="8"/>
      <c r="BS759" s="7"/>
      <c r="BT759" s="7"/>
      <c r="BU759" s="2" t="s">
        <v>4193</v>
      </c>
      <c r="BV759" s="2" t="s">
        <v>233</v>
      </c>
      <c r="BW759" s="2" t="s">
        <v>233</v>
      </c>
      <c r="BX759" s="2" t="s">
        <v>241</v>
      </c>
      <c r="BY759" s="2" t="s">
        <v>242</v>
      </c>
      <c r="BZ759" s="2" t="s">
        <v>230</v>
      </c>
      <c r="CA759" s="2" t="s">
        <v>4041</v>
      </c>
      <c r="CB759" s="2" t="s">
        <v>2451</v>
      </c>
      <c r="CC759" s="2" t="s">
        <v>245</v>
      </c>
      <c r="CD759" s="2" t="s">
        <v>233</v>
      </c>
      <c r="CE759" s="4">
        <v>47</v>
      </c>
      <c r="CF759" s="4">
        <v>30</v>
      </c>
      <c r="CG759" s="4"/>
      <c r="CH759" s="4"/>
      <c r="CI759" s="4"/>
      <c r="CJ759" s="4"/>
      <c r="CK759" s="4"/>
      <c r="CL759" s="4">
        <v>20</v>
      </c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>
        <v>106</v>
      </c>
      <c r="GD759" s="4">
        <v>86</v>
      </c>
      <c r="GE759" s="4">
        <v>77</v>
      </c>
      <c r="GF759" s="4">
        <v>66</v>
      </c>
      <c r="GG759" s="4">
        <v>49</v>
      </c>
      <c r="GH759" s="4">
        <v>42</v>
      </c>
      <c r="GI759" s="4">
        <v>32</v>
      </c>
      <c r="GJ759" s="4">
        <v>26</v>
      </c>
      <c r="GK759" s="4">
        <v>23</v>
      </c>
      <c r="GL759" s="4">
        <v>20</v>
      </c>
      <c r="GM759" s="4">
        <v>18</v>
      </c>
      <c r="GN759" s="4">
        <v>16</v>
      </c>
      <c r="GO759" s="4">
        <v>14</v>
      </c>
      <c r="GP759" s="4">
        <v>10</v>
      </c>
      <c r="GQ759" s="4">
        <v>8</v>
      </c>
      <c r="GR759" s="4">
        <v>6</v>
      </c>
      <c r="GS759" s="4">
        <v>4</v>
      </c>
      <c r="GT759" s="4">
        <v>2</v>
      </c>
      <c r="GU759" s="4"/>
      <c r="GV759" s="4">
        <v>98</v>
      </c>
      <c r="GW759" s="4">
        <v>95</v>
      </c>
      <c r="GX759" s="4">
        <v>93</v>
      </c>
      <c r="GY759" s="4">
        <v>91</v>
      </c>
      <c r="GZ759" s="4">
        <v>89</v>
      </c>
      <c r="HA759" s="4">
        <v>87</v>
      </c>
      <c r="HB759" s="4">
        <v>85</v>
      </c>
      <c r="HC759" s="19">
        <v>7.6</v>
      </c>
      <c r="HD759" s="19">
        <v>7.8</v>
      </c>
      <c r="HE759" s="19">
        <v>7</v>
      </c>
      <c r="HF759" s="19">
        <v>6.6</v>
      </c>
      <c r="HG759" s="19">
        <v>8.2</v>
      </c>
      <c r="HH759" s="19">
        <v>7</v>
      </c>
      <c r="HI759" s="19">
        <v>8</v>
      </c>
      <c r="HJ759" s="19">
        <v>13</v>
      </c>
      <c r="HK759" s="19">
        <v>11.5</v>
      </c>
      <c r="HL759" s="19">
        <v>10</v>
      </c>
      <c r="HM759" s="19">
        <v>9</v>
      </c>
      <c r="HN759" s="19">
        <v>8</v>
      </c>
      <c r="HO759" s="19">
        <v>7</v>
      </c>
      <c r="HP759" s="19">
        <v>5</v>
      </c>
      <c r="HQ759" s="19">
        <v>4</v>
      </c>
      <c r="HR759" s="19">
        <v>3</v>
      </c>
      <c r="HS759" s="19">
        <v>2</v>
      </c>
      <c r="HT759" s="19">
        <v>1</v>
      </c>
      <c r="HU759" s="20">
        <v>0</v>
      </c>
      <c r="HV759" s="19">
        <v>49</v>
      </c>
      <c r="HW759" s="19">
        <v>47.5</v>
      </c>
      <c r="HX759" s="19">
        <v>46.5</v>
      </c>
      <c r="HY759" s="19">
        <v>45.5</v>
      </c>
      <c r="HZ759" s="19">
        <v>44.5</v>
      </c>
      <c r="IA759" s="19">
        <v>43.5</v>
      </c>
      <c r="IB759" s="19">
        <v>42.5</v>
      </c>
    </row>
    <row r="760">
      <c r="A760" s="2" t="s">
        <v>4195</v>
      </c>
      <c r="B760" s="2" t="s">
        <v>279</v>
      </c>
      <c r="C760" s="2" t="s">
        <v>2381</v>
      </c>
      <c r="D760" s="2" t="s">
        <v>281</v>
      </c>
      <c r="E760" s="2" t="s">
        <v>282</v>
      </c>
      <c r="F760" s="2" t="s">
        <v>4189</v>
      </c>
      <c r="G760" s="2" t="s">
        <v>4189</v>
      </c>
      <c r="H760" s="2" t="s">
        <v>4189</v>
      </c>
      <c r="I760" s="2" t="s">
        <v>345</v>
      </c>
      <c r="J760" s="2" t="s">
        <v>252</v>
      </c>
      <c r="K760" s="2" t="s">
        <v>1511</v>
      </c>
      <c r="L760" s="3">
        <v>25.3</v>
      </c>
      <c r="M760" s="3">
        <v>26.56</v>
      </c>
      <c r="N760" s="3">
        <v>54.99</v>
      </c>
      <c r="O760" s="2" t="s">
        <v>230</v>
      </c>
      <c r="P760" s="2" t="s">
        <v>231</v>
      </c>
      <c r="Q760" s="2" t="s">
        <v>232</v>
      </c>
      <c r="R760" s="2" t="s">
        <v>233</v>
      </c>
      <c r="S760" s="2" t="s">
        <v>4190</v>
      </c>
      <c r="T760" s="2" t="s">
        <v>2765</v>
      </c>
      <c r="U760" s="2" t="s">
        <v>287</v>
      </c>
      <c r="V760" s="2" t="s">
        <v>236</v>
      </c>
      <c r="W760" s="2" t="s">
        <v>237</v>
      </c>
      <c r="X760" s="2" t="s">
        <v>620</v>
      </c>
      <c r="Y760" s="2" t="s">
        <v>4191</v>
      </c>
      <c r="Z760" s="4">
        <v>245</v>
      </c>
      <c r="AA760" s="4">
        <f>=ROUNDDOWN(35,0)</f>
      </c>
      <c r="AB760" s="5">
        <v>7</v>
      </c>
      <c r="AC760" s="2" t="s">
        <v>233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233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233</v>
      </c>
      <c r="AW760" s="8" t="s">
        <v>233</v>
      </c>
      <c r="AX760" s="4" t="s">
        <v>233</v>
      </c>
      <c r="AY760" s="8" t="s">
        <v>233</v>
      </c>
      <c r="AZ760" s="7" t="s">
        <v>233</v>
      </c>
      <c r="BA760" s="7" t="s">
        <v>233</v>
      </c>
      <c r="BB760" s="7"/>
      <c r="BC760" s="4" t="s">
        <v>233</v>
      </c>
      <c r="BD760" s="8" t="s">
        <v>233</v>
      </c>
      <c r="BE760" s="4" t="s">
        <v>233</v>
      </c>
      <c r="BF760" s="8" t="s">
        <v>233</v>
      </c>
      <c r="BG760" s="7" t="s">
        <v>233</v>
      </c>
      <c r="BH760" s="7" t="s">
        <v>233</v>
      </c>
      <c r="BI760" s="7"/>
      <c r="BJ760" s="4">
        <v>28</v>
      </c>
      <c r="BK760" s="8">
        <v>779.6</v>
      </c>
      <c r="BL760" s="2" t="s">
        <v>1060</v>
      </c>
      <c r="BM760" s="7"/>
      <c r="BN760" s="7"/>
      <c r="BO760" s="4"/>
      <c r="BP760" s="8"/>
      <c r="BQ760" s="4"/>
      <c r="BR760" s="8"/>
      <c r="BS760" s="7"/>
      <c r="BT760" s="7"/>
      <c r="BU760" s="2" t="s">
        <v>4193</v>
      </c>
      <c r="BV760" s="2" t="s">
        <v>233</v>
      </c>
      <c r="BW760" s="2" t="s">
        <v>233</v>
      </c>
      <c r="BX760" s="2" t="s">
        <v>241</v>
      </c>
      <c r="BY760" s="2" t="s">
        <v>242</v>
      </c>
      <c r="BZ760" s="2" t="s">
        <v>230</v>
      </c>
      <c r="CA760" s="2" t="s">
        <v>4041</v>
      </c>
      <c r="CB760" s="2" t="s">
        <v>4196</v>
      </c>
      <c r="CC760" s="2" t="s">
        <v>245</v>
      </c>
      <c r="CD760" s="2" t="s">
        <v>233</v>
      </c>
      <c r="CE760" s="4">
        <v>145</v>
      </c>
      <c r="CF760" s="4">
        <v>100</v>
      </c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>
        <v>258</v>
      </c>
      <c r="GD760" s="4">
        <v>222</v>
      </c>
      <c r="GE760" s="4">
        <v>210</v>
      </c>
      <c r="GF760" s="4">
        <v>196</v>
      </c>
      <c r="GG760" s="4">
        <v>171</v>
      </c>
      <c r="GH760" s="4">
        <v>160</v>
      </c>
      <c r="GI760" s="4">
        <v>145</v>
      </c>
      <c r="GJ760" s="4">
        <v>138</v>
      </c>
      <c r="GK760" s="4">
        <v>133</v>
      </c>
      <c r="GL760" s="4">
        <v>127</v>
      </c>
      <c r="GM760" s="4">
        <v>123</v>
      </c>
      <c r="GN760" s="4">
        <v>119</v>
      </c>
      <c r="GO760" s="4">
        <v>115</v>
      </c>
      <c r="GP760" s="4">
        <v>110</v>
      </c>
      <c r="GQ760" s="4">
        <v>107</v>
      </c>
      <c r="GR760" s="4">
        <v>104</v>
      </c>
      <c r="GS760" s="4">
        <v>101</v>
      </c>
      <c r="GT760" s="4">
        <v>98</v>
      </c>
      <c r="GU760" s="4">
        <v>95</v>
      </c>
      <c r="GV760" s="4">
        <v>104</v>
      </c>
      <c r="GW760" s="4">
        <v>101</v>
      </c>
      <c r="GX760" s="4">
        <v>98</v>
      </c>
      <c r="GY760" s="4">
        <v>95</v>
      </c>
      <c r="GZ760" s="4">
        <v>93</v>
      </c>
      <c r="HA760" s="4">
        <v>91</v>
      </c>
      <c r="HB760" s="4">
        <v>89</v>
      </c>
      <c r="HC760" s="19">
        <v>11.7</v>
      </c>
      <c r="HD760" s="19">
        <v>13.9</v>
      </c>
      <c r="HE760" s="19">
        <v>13.1</v>
      </c>
      <c r="HF760" s="19">
        <v>14</v>
      </c>
      <c r="HG760" s="19">
        <v>17.1</v>
      </c>
      <c r="HH760" s="19">
        <v>20</v>
      </c>
      <c r="HI760" s="19">
        <v>24.2</v>
      </c>
      <c r="HJ760" s="19">
        <v>27.6</v>
      </c>
      <c r="HK760" s="19">
        <v>33.3</v>
      </c>
      <c r="HL760" s="19">
        <v>31.8</v>
      </c>
      <c r="HM760" s="19">
        <v>30.8</v>
      </c>
      <c r="HN760" s="19">
        <v>29.8</v>
      </c>
      <c r="HO760" s="19">
        <v>28.8</v>
      </c>
      <c r="HP760" s="19">
        <v>36.7</v>
      </c>
      <c r="HQ760" s="19">
        <v>35.7</v>
      </c>
      <c r="HR760" s="19">
        <v>34.7</v>
      </c>
      <c r="HS760" s="19">
        <v>33.7</v>
      </c>
      <c r="HT760" s="19">
        <v>32.7</v>
      </c>
      <c r="HU760" s="19">
        <v>31.7</v>
      </c>
      <c r="HV760" s="19">
        <v>34.7</v>
      </c>
      <c r="HW760" s="19">
        <v>50.5</v>
      </c>
      <c r="HX760" s="19">
        <v>49</v>
      </c>
      <c r="HY760" s="19">
        <v>47.5</v>
      </c>
      <c r="HZ760" s="19">
        <v>46.5</v>
      </c>
      <c r="IA760" s="19">
        <v>45.5</v>
      </c>
      <c r="IB760" s="19">
        <v>44.5</v>
      </c>
    </row>
    <row r="761">
      <c r="A761" s="2" t="s">
        <v>4197</v>
      </c>
      <c r="B761" s="2" t="s">
        <v>279</v>
      </c>
      <c r="C761" s="2" t="s">
        <v>2381</v>
      </c>
      <c r="D761" s="2" t="s">
        <v>281</v>
      </c>
      <c r="E761" s="2" t="s">
        <v>282</v>
      </c>
      <c r="F761" s="2" t="s">
        <v>4189</v>
      </c>
      <c r="G761" s="2" t="s">
        <v>4189</v>
      </c>
      <c r="H761" s="2" t="s">
        <v>4189</v>
      </c>
      <c r="I761" s="2" t="s">
        <v>345</v>
      </c>
      <c r="J761" s="2" t="s">
        <v>256</v>
      </c>
      <c r="K761" s="2" t="s">
        <v>1511</v>
      </c>
      <c r="L761" s="3">
        <v>31.2</v>
      </c>
      <c r="M761" s="3">
        <v>32.76</v>
      </c>
      <c r="N761" s="3">
        <v>64.99</v>
      </c>
      <c r="O761" s="2" t="s">
        <v>230</v>
      </c>
      <c r="P761" s="2" t="s">
        <v>231</v>
      </c>
      <c r="Q761" s="2" t="s">
        <v>232</v>
      </c>
      <c r="R761" s="2" t="s">
        <v>233</v>
      </c>
      <c r="S761" s="2" t="s">
        <v>4190</v>
      </c>
      <c r="T761" s="2" t="s">
        <v>2765</v>
      </c>
      <c r="U761" s="2" t="s">
        <v>287</v>
      </c>
      <c r="V761" s="2" t="s">
        <v>236</v>
      </c>
      <c r="W761" s="2" t="s">
        <v>237</v>
      </c>
      <c r="X761" s="2" t="s">
        <v>620</v>
      </c>
      <c r="Y761" s="2" t="s">
        <v>4191</v>
      </c>
      <c r="Z761" s="4">
        <v>397</v>
      </c>
      <c r="AA761" s="4">
        <f>=ROUNDDOWN(33.0833333333333,0)</f>
      </c>
      <c r="AB761" s="5">
        <v>12</v>
      </c>
      <c r="AC761" s="2" t="s">
        <v>233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233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233</v>
      </c>
      <c r="AW761" s="8" t="s">
        <v>233</v>
      </c>
      <c r="AX761" s="4" t="s">
        <v>233</v>
      </c>
      <c r="AY761" s="8" t="s">
        <v>233</v>
      </c>
      <c r="AZ761" s="7" t="s">
        <v>233</v>
      </c>
      <c r="BA761" s="7" t="s">
        <v>233</v>
      </c>
      <c r="BB761" s="7"/>
      <c r="BC761" s="4" t="s">
        <v>233</v>
      </c>
      <c r="BD761" s="8" t="s">
        <v>233</v>
      </c>
      <c r="BE761" s="4" t="s">
        <v>233</v>
      </c>
      <c r="BF761" s="8" t="s">
        <v>233</v>
      </c>
      <c r="BG761" s="7" t="s">
        <v>233</v>
      </c>
      <c r="BH761" s="7" t="s">
        <v>233</v>
      </c>
      <c r="BI761" s="7"/>
      <c r="BJ761" s="4">
        <v>29</v>
      </c>
      <c r="BK761" s="8">
        <v>996.48</v>
      </c>
      <c r="BL761" s="2" t="s">
        <v>507</v>
      </c>
      <c r="BM761" s="7"/>
      <c r="BN761" s="7"/>
      <c r="BO761" s="4"/>
      <c r="BP761" s="8"/>
      <c r="BQ761" s="4"/>
      <c r="BR761" s="8"/>
      <c r="BS761" s="7"/>
      <c r="BT761" s="7"/>
      <c r="BU761" s="2" t="s">
        <v>4193</v>
      </c>
      <c r="BV761" s="2" t="s">
        <v>233</v>
      </c>
      <c r="BW761" s="2" t="s">
        <v>233</v>
      </c>
      <c r="BX761" s="2" t="s">
        <v>241</v>
      </c>
      <c r="BY761" s="2" t="s">
        <v>242</v>
      </c>
      <c r="BZ761" s="2" t="s">
        <v>230</v>
      </c>
      <c r="CA761" s="2" t="s">
        <v>4041</v>
      </c>
      <c r="CB761" s="2" t="s">
        <v>2968</v>
      </c>
      <c r="CC761" s="2" t="s">
        <v>245</v>
      </c>
      <c r="CD761" s="2" t="s">
        <v>233</v>
      </c>
      <c r="CE761" s="4">
        <v>210</v>
      </c>
      <c r="CF761" s="4">
        <v>187</v>
      </c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>
        <v>408</v>
      </c>
      <c r="GD761" s="4">
        <v>336</v>
      </c>
      <c r="GE761" s="4">
        <v>317</v>
      </c>
      <c r="GF761" s="4">
        <v>294</v>
      </c>
      <c r="GG761" s="4">
        <v>255</v>
      </c>
      <c r="GH761" s="4">
        <v>238</v>
      </c>
      <c r="GI761" s="4">
        <v>215</v>
      </c>
      <c r="GJ761" s="4">
        <v>203</v>
      </c>
      <c r="GK761" s="4">
        <v>196</v>
      </c>
      <c r="GL761" s="4">
        <v>184</v>
      </c>
      <c r="GM761" s="4">
        <v>177</v>
      </c>
      <c r="GN761" s="4">
        <v>169</v>
      </c>
      <c r="GO761" s="4">
        <v>160</v>
      </c>
      <c r="GP761" s="4">
        <v>152</v>
      </c>
      <c r="GQ761" s="4">
        <v>146</v>
      </c>
      <c r="GR761" s="4">
        <v>141</v>
      </c>
      <c r="GS761" s="4">
        <v>137</v>
      </c>
      <c r="GT761" s="4">
        <v>133</v>
      </c>
      <c r="GU761" s="4">
        <v>129</v>
      </c>
      <c r="GV761" s="4">
        <v>172</v>
      </c>
      <c r="GW761" s="4">
        <v>168</v>
      </c>
      <c r="GX761" s="4">
        <v>164</v>
      </c>
      <c r="GY761" s="4">
        <v>160</v>
      </c>
      <c r="GZ761" s="4">
        <v>157</v>
      </c>
      <c r="HA761" s="4">
        <v>154</v>
      </c>
      <c r="HB761" s="4">
        <v>151</v>
      </c>
      <c r="HC761" s="19">
        <v>10.7</v>
      </c>
      <c r="HD761" s="19">
        <v>14</v>
      </c>
      <c r="HE761" s="19">
        <v>12.2</v>
      </c>
      <c r="HF761" s="19">
        <v>12.8</v>
      </c>
      <c r="HG761" s="19">
        <v>17</v>
      </c>
      <c r="HH761" s="19">
        <v>17</v>
      </c>
      <c r="HI761" s="19">
        <v>21.5</v>
      </c>
      <c r="HJ761" s="19">
        <v>25.4</v>
      </c>
      <c r="HK761" s="19">
        <v>21.8</v>
      </c>
      <c r="HL761" s="19">
        <v>23</v>
      </c>
      <c r="HM761" s="19">
        <v>22.1</v>
      </c>
      <c r="HN761" s="19">
        <v>24.1</v>
      </c>
      <c r="HO761" s="19">
        <v>26.7</v>
      </c>
      <c r="HP761" s="19">
        <v>30.4</v>
      </c>
      <c r="HQ761" s="19">
        <v>36.5</v>
      </c>
      <c r="HR761" s="19">
        <v>35.3</v>
      </c>
      <c r="HS761" s="19">
        <v>34.3</v>
      </c>
      <c r="HT761" s="19">
        <v>33.3</v>
      </c>
      <c r="HU761" s="19">
        <v>32.3</v>
      </c>
      <c r="HV761" s="19">
        <v>43</v>
      </c>
      <c r="HW761" s="19">
        <v>42</v>
      </c>
      <c r="HX761" s="19">
        <v>54.7</v>
      </c>
      <c r="HY761" s="19">
        <v>53.3</v>
      </c>
      <c r="HZ761" s="19">
        <v>52.3</v>
      </c>
      <c r="IA761" s="19">
        <v>51.3</v>
      </c>
      <c r="IB761" s="19">
        <v>50.3</v>
      </c>
    </row>
    <row r="762">
      <c r="A762" s="2" t="s">
        <v>4198</v>
      </c>
      <c r="B762" s="2" t="s">
        <v>279</v>
      </c>
      <c r="C762" s="2" t="s">
        <v>2381</v>
      </c>
      <c r="D762" s="2" t="s">
        <v>281</v>
      </c>
      <c r="E762" s="2" t="s">
        <v>282</v>
      </c>
      <c r="F762" s="2" t="s">
        <v>4189</v>
      </c>
      <c r="G762" s="2" t="s">
        <v>4189</v>
      </c>
      <c r="H762" s="2" t="s">
        <v>4189</v>
      </c>
      <c r="I762" s="2" t="s">
        <v>345</v>
      </c>
      <c r="J762" s="2" t="s">
        <v>285</v>
      </c>
      <c r="K762" s="2" t="s">
        <v>1511</v>
      </c>
      <c r="L762" s="3">
        <v>31.85</v>
      </c>
      <c r="M762" s="3">
        <v>33.44</v>
      </c>
      <c r="N762" s="3">
        <v>64.99</v>
      </c>
      <c r="O762" s="2" t="s">
        <v>230</v>
      </c>
      <c r="P762" s="2" t="s">
        <v>231</v>
      </c>
      <c r="Q762" s="2" t="s">
        <v>232</v>
      </c>
      <c r="R762" s="2" t="s">
        <v>233</v>
      </c>
      <c r="S762" s="2" t="s">
        <v>4190</v>
      </c>
      <c r="T762" s="2" t="s">
        <v>2765</v>
      </c>
      <c r="U762" s="2" t="s">
        <v>287</v>
      </c>
      <c r="V762" s="2" t="s">
        <v>236</v>
      </c>
      <c r="W762" s="2" t="s">
        <v>237</v>
      </c>
      <c r="X762" s="2" t="s">
        <v>620</v>
      </c>
      <c r="Y762" s="2" t="s">
        <v>4191</v>
      </c>
      <c r="Z762" s="4">
        <v>159</v>
      </c>
      <c r="AA762" s="4">
        <f>=ROUNDDOWN(26.5,0)</f>
      </c>
      <c r="AB762" s="5">
        <v>6</v>
      </c>
      <c r="AC762" s="2" t="s">
        <v>233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233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233</v>
      </c>
      <c r="AW762" s="8" t="s">
        <v>233</v>
      </c>
      <c r="AX762" s="4" t="s">
        <v>233</v>
      </c>
      <c r="AY762" s="8" t="s">
        <v>233</v>
      </c>
      <c r="AZ762" s="7" t="s">
        <v>233</v>
      </c>
      <c r="BA762" s="7" t="s">
        <v>233</v>
      </c>
      <c r="BB762" s="7"/>
      <c r="BC762" s="4" t="s">
        <v>233</v>
      </c>
      <c r="BD762" s="8" t="s">
        <v>233</v>
      </c>
      <c r="BE762" s="4" t="s">
        <v>233</v>
      </c>
      <c r="BF762" s="8" t="s">
        <v>233</v>
      </c>
      <c r="BG762" s="7" t="s">
        <v>233</v>
      </c>
      <c r="BH762" s="7" t="s">
        <v>233</v>
      </c>
      <c r="BI762" s="7"/>
      <c r="BJ762" s="4">
        <v>8</v>
      </c>
      <c r="BK762" s="8">
        <v>278.79</v>
      </c>
      <c r="BL762" s="2" t="s">
        <v>4199</v>
      </c>
      <c r="BM762" s="7"/>
      <c r="BN762" s="7"/>
      <c r="BO762" s="4"/>
      <c r="BP762" s="8"/>
      <c r="BQ762" s="4"/>
      <c r="BR762" s="8"/>
      <c r="BS762" s="7"/>
      <c r="BT762" s="7"/>
      <c r="BU762" s="2" t="s">
        <v>4193</v>
      </c>
      <c r="BV762" s="2" t="s">
        <v>233</v>
      </c>
      <c r="BW762" s="2" t="s">
        <v>233</v>
      </c>
      <c r="BX762" s="2" t="s">
        <v>241</v>
      </c>
      <c r="BY762" s="2" t="s">
        <v>242</v>
      </c>
      <c r="BZ762" s="2" t="s">
        <v>230</v>
      </c>
      <c r="CA762" s="2" t="s">
        <v>4041</v>
      </c>
      <c r="CB762" s="2" t="s">
        <v>4200</v>
      </c>
      <c r="CC762" s="2" t="s">
        <v>245</v>
      </c>
      <c r="CD762" s="2" t="s">
        <v>233</v>
      </c>
      <c r="CE762" s="4">
        <v>89</v>
      </c>
      <c r="CF762" s="4">
        <v>70</v>
      </c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>
        <v>163</v>
      </c>
      <c r="GD762" s="4">
        <v>130</v>
      </c>
      <c r="GE762" s="4">
        <v>121</v>
      </c>
      <c r="GF762" s="4">
        <v>110</v>
      </c>
      <c r="GG762" s="4">
        <v>90</v>
      </c>
      <c r="GH762" s="4">
        <v>82</v>
      </c>
      <c r="GI762" s="4">
        <v>71</v>
      </c>
      <c r="GJ762" s="4">
        <v>65</v>
      </c>
      <c r="GK762" s="4">
        <v>61</v>
      </c>
      <c r="GL762" s="4">
        <v>56</v>
      </c>
      <c r="GM762" s="4">
        <v>53</v>
      </c>
      <c r="GN762" s="4">
        <v>49</v>
      </c>
      <c r="GO762" s="4">
        <v>45</v>
      </c>
      <c r="GP762" s="4">
        <v>41</v>
      </c>
      <c r="GQ762" s="4">
        <v>38</v>
      </c>
      <c r="GR762" s="4">
        <v>35</v>
      </c>
      <c r="GS762" s="4">
        <v>32</v>
      </c>
      <c r="GT762" s="4">
        <v>29</v>
      </c>
      <c r="GU762" s="4">
        <v>26</v>
      </c>
      <c r="GV762" s="4">
        <v>94</v>
      </c>
      <c r="GW762" s="4">
        <v>92</v>
      </c>
      <c r="GX762" s="4">
        <v>90</v>
      </c>
      <c r="GY762" s="4">
        <v>88</v>
      </c>
      <c r="GZ762" s="4">
        <v>86</v>
      </c>
      <c r="HA762" s="4">
        <v>84</v>
      </c>
      <c r="HB762" s="4">
        <v>82</v>
      </c>
      <c r="HC762" s="19">
        <v>9.1</v>
      </c>
      <c r="HD762" s="19">
        <v>10.8</v>
      </c>
      <c r="HE762" s="19">
        <v>10.1</v>
      </c>
      <c r="HF762" s="19">
        <v>10</v>
      </c>
      <c r="HG762" s="19">
        <v>12.9</v>
      </c>
      <c r="HH762" s="19">
        <v>13.7</v>
      </c>
      <c r="HI762" s="19">
        <v>17.8</v>
      </c>
      <c r="HJ762" s="19">
        <v>16.3</v>
      </c>
      <c r="HK762" s="19">
        <v>15.3</v>
      </c>
      <c r="HL762" s="19">
        <v>14</v>
      </c>
      <c r="HM762" s="19">
        <v>13.3</v>
      </c>
      <c r="HN762" s="19">
        <v>12.3</v>
      </c>
      <c r="HO762" s="19">
        <v>15</v>
      </c>
      <c r="HP762" s="19">
        <v>13.7</v>
      </c>
      <c r="HQ762" s="19">
        <v>12.7</v>
      </c>
      <c r="HR762" s="19">
        <v>11.7</v>
      </c>
      <c r="HS762" s="19">
        <v>16</v>
      </c>
      <c r="HT762" s="19">
        <v>14.5</v>
      </c>
      <c r="HU762" s="19">
        <v>13</v>
      </c>
      <c r="HV762" s="19">
        <v>47</v>
      </c>
      <c r="HW762" s="19">
        <v>46</v>
      </c>
      <c r="HX762" s="19">
        <v>45</v>
      </c>
      <c r="HY762" s="19">
        <v>44</v>
      </c>
      <c r="HZ762" s="19">
        <v>43</v>
      </c>
      <c r="IA762" s="19">
        <v>42</v>
      </c>
      <c r="IB762" s="19">
        <v>41</v>
      </c>
    </row>
    <row r="763">
      <c r="A763" s="2" t="s">
        <v>4201</v>
      </c>
      <c r="B763" s="2" t="s">
        <v>279</v>
      </c>
      <c r="C763" s="2" t="s">
        <v>2381</v>
      </c>
      <c r="D763" s="2" t="s">
        <v>281</v>
      </c>
      <c r="E763" s="2" t="s">
        <v>282</v>
      </c>
      <c r="F763" s="2" t="s">
        <v>4189</v>
      </c>
      <c r="G763" s="2" t="s">
        <v>4189</v>
      </c>
      <c r="H763" s="2" t="s">
        <v>4189</v>
      </c>
      <c r="I763" s="2" t="s">
        <v>345</v>
      </c>
      <c r="J763" s="2" t="s">
        <v>252</v>
      </c>
      <c r="K763" s="2" t="s">
        <v>229</v>
      </c>
      <c r="L763" s="3">
        <v>25.3</v>
      </c>
      <c r="M763" s="3">
        <v>26.56</v>
      </c>
      <c r="N763" s="3">
        <v>54.99</v>
      </c>
      <c r="O763" s="2" t="s">
        <v>230</v>
      </c>
      <c r="P763" s="2" t="s">
        <v>586</v>
      </c>
      <c r="Q763" s="2" t="s">
        <v>232</v>
      </c>
      <c r="R763" s="2" t="s">
        <v>233</v>
      </c>
      <c r="S763" s="2" t="s">
        <v>4202</v>
      </c>
      <c r="T763" s="2" t="s">
        <v>2765</v>
      </c>
      <c r="U763" s="2" t="s">
        <v>287</v>
      </c>
      <c r="V763" s="2" t="s">
        <v>236</v>
      </c>
      <c r="W763" s="2" t="s">
        <v>237</v>
      </c>
      <c r="X763" s="2" t="s">
        <v>620</v>
      </c>
      <c r="Y763" s="2" t="s">
        <v>238</v>
      </c>
      <c r="Z763" s="4">
        <v>546</v>
      </c>
      <c r="AA763" s="4">
        <f>=ROUNDDOWN(24.8181818181818,0)</f>
      </c>
      <c r="AB763" s="5">
        <v>22</v>
      </c>
      <c r="AC763" s="2" t="s">
        <v>233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233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233</v>
      </c>
      <c r="AW763" s="8" t="s">
        <v>233</v>
      </c>
      <c r="AX763" s="4" t="s">
        <v>233</v>
      </c>
      <c r="AY763" s="8" t="s">
        <v>233</v>
      </c>
      <c r="AZ763" s="7" t="s">
        <v>233</v>
      </c>
      <c r="BA763" s="7" t="s">
        <v>233</v>
      </c>
      <c r="BB763" s="7"/>
      <c r="BC763" s="4" t="s">
        <v>233</v>
      </c>
      <c r="BD763" s="8" t="s">
        <v>233</v>
      </c>
      <c r="BE763" s="4" t="s">
        <v>233</v>
      </c>
      <c r="BF763" s="8" t="s">
        <v>233</v>
      </c>
      <c r="BG763" s="7" t="s">
        <v>233</v>
      </c>
      <c r="BH763" s="7" t="s">
        <v>233</v>
      </c>
      <c r="BI763" s="7"/>
      <c r="BJ763" s="4">
        <v>87</v>
      </c>
      <c r="BK763" s="8">
        <v>2429.16</v>
      </c>
      <c r="BL763" s="2" t="s">
        <v>4203</v>
      </c>
      <c r="BM763" s="7"/>
      <c r="BN763" s="7"/>
      <c r="BO763" s="4"/>
      <c r="BP763" s="8"/>
      <c r="BQ763" s="4"/>
      <c r="BR763" s="8"/>
      <c r="BS763" s="7"/>
      <c r="BT763" s="7"/>
      <c r="BU763" s="2" t="s">
        <v>4193</v>
      </c>
      <c r="BV763" s="2" t="s">
        <v>233</v>
      </c>
      <c r="BW763" s="2" t="s">
        <v>233</v>
      </c>
      <c r="BX763" s="2" t="s">
        <v>241</v>
      </c>
      <c r="BY763" s="2" t="s">
        <v>242</v>
      </c>
      <c r="BZ763" s="2" t="s">
        <v>230</v>
      </c>
      <c r="CA763" s="2" t="s">
        <v>243</v>
      </c>
      <c r="CB763" s="2" t="s">
        <v>4204</v>
      </c>
      <c r="CC763" s="2" t="s">
        <v>245</v>
      </c>
      <c r="CD763" s="2" t="s">
        <v>233</v>
      </c>
      <c r="CE763" s="4">
        <v>296</v>
      </c>
      <c r="CF763" s="4">
        <v>140</v>
      </c>
      <c r="CG763" s="4"/>
      <c r="CH763" s="4"/>
      <c r="CI763" s="4"/>
      <c r="CJ763" s="4"/>
      <c r="CK763" s="4"/>
      <c r="CL763" s="4">
        <v>110</v>
      </c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>
        <v>550</v>
      </c>
      <c r="GD763" s="4">
        <v>366</v>
      </c>
      <c r="GE763" s="4">
        <v>334</v>
      </c>
      <c r="GF763" s="4">
        <v>297</v>
      </c>
      <c r="GG763" s="4">
        <v>237</v>
      </c>
      <c r="GH763" s="4">
        <v>210</v>
      </c>
      <c r="GI763" s="4">
        <v>171</v>
      </c>
      <c r="GJ763" s="4">
        <v>152</v>
      </c>
      <c r="GK763" s="4">
        <v>139</v>
      </c>
      <c r="GL763" s="4">
        <v>123</v>
      </c>
      <c r="GM763" s="4">
        <v>112</v>
      </c>
      <c r="GN763" s="4">
        <v>100</v>
      </c>
      <c r="GO763" s="4">
        <v>89</v>
      </c>
      <c r="GP763" s="4">
        <v>76</v>
      </c>
      <c r="GQ763" s="4">
        <v>68</v>
      </c>
      <c r="GR763" s="4">
        <v>59</v>
      </c>
      <c r="GS763" s="4">
        <v>51</v>
      </c>
      <c r="GT763" s="4">
        <v>43</v>
      </c>
      <c r="GU763" s="4">
        <v>35</v>
      </c>
      <c r="GV763" s="4">
        <v>150</v>
      </c>
      <c r="GW763" s="4">
        <v>143</v>
      </c>
      <c r="GX763" s="4">
        <v>136</v>
      </c>
      <c r="GY763" s="4">
        <v>129</v>
      </c>
      <c r="GZ763" s="4">
        <v>123</v>
      </c>
      <c r="HA763" s="4">
        <v>117</v>
      </c>
      <c r="HB763" s="4">
        <v>111</v>
      </c>
      <c r="HC763" s="19">
        <v>7.1</v>
      </c>
      <c r="HD763" s="19">
        <v>9.4</v>
      </c>
      <c r="HE763" s="19">
        <v>8.1</v>
      </c>
      <c r="HF763" s="19">
        <v>8.3</v>
      </c>
      <c r="HG763" s="19">
        <v>9.9</v>
      </c>
      <c r="HH763" s="19">
        <v>9.5</v>
      </c>
      <c r="HI763" s="19">
        <v>11.4</v>
      </c>
      <c r="HJ763" s="19">
        <v>11.7</v>
      </c>
      <c r="HK763" s="19">
        <v>11.6</v>
      </c>
      <c r="HL763" s="19">
        <v>10.3</v>
      </c>
      <c r="HM763" s="19">
        <v>10.2</v>
      </c>
      <c r="HN763" s="19">
        <v>10</v>
      </c>
      <c r="HO763" s="19">
        <v>8.9</v>
      </c>
      <c r="HP763" s="19">
        <v>9.5</v>
      </c>
      <c r="HQ763" s="19">
        <v>8.5</v>
      </c>
      <c r="HR763" s="19">
        <v>7.4</v>
      </c>
      <c r="HS763" s="19">
        <v>6.4</v>
      </c>
      <c r="HT763" s="19">
        <v>6.1</v>
      </c>
      <c r="HU763" s="19">
        <v>5</v>
      </c>
      <c r="HV763" s="19">
        <v>21.4</v>
      </c>
      <c r="HW763" s="19">
        <v>23.8</v>
      </c>
      <c r="HX763" s="19">
        <v>22.7</v>
      </c>
      <c r="HY763" s="19">
        <v>21.5</v>
      </c>
      <c r="HZ763" s="19">
        <v>20.5</v>
      </c>
      <c r="IA763" s="19">
        <v>19.5</v>
      </c>
      <c r="IB763" s="19">
        <v>18.5</v>
      </c>
    </row>
    <row r="764">
      <c r="A764" s="2" t="s">
        <v>4205</v>
      </c>
      <c r="B764" s="2" t="s">
        <v>279</v>
      </c>
      <c r="C764" s="2" t="s">
        <v>2381</v>
      </c>
      <c r="D764" s="2" t="s">
        <v>281</v>
      </c>
      <c r="E764" s="2" t="s">
        <v>282</v>
      </c>
      <c r="F764" s="2" t="s">
        <v>4189</v>
      </c>
      <c r="G764" s="2" t="s">
        <v>4189</v>
      </c>
      <c r="H764" s="2" t="s">
        <v>4189</v>
      </c>
      <c r="I764" s="2" t="s">
        <v>345</v>
      </c>
      <c r="J764" s="2" t="s">
        <v>285</v>
      </c>
      <c r="K764" s="2" t="s">
        <v>229</v>
      </c>
      <c r="L764" s="3">
        <v>31.85</v>
      </c>
      <c r="M764" s="3">
        <v>33.44</v>
      </c>
      <c r="N764" s="3">
        <v>64.99</v>
      </c>
      <c r="O764" s="2" t="s">
        <v>230</v>
      </c>
      <c r="P764" s="2" t="s">
        <v>231</v>
      </c>
      <c r="Q764" s="2" t="s">
        <v>232</v>
      </c>
      <c r="R764" s="2" t="s">
        <v>233</v>
      </c>
      <c r="S764" s="2" t="s">
        <v>4202</v>
      </c>
      <c r="T764" s="2" t="s">
        <v>2765</v>
      </c>
      <c r="U764" s="2" t="s">
        <v>287</v>
      </c>
      <c r="V764" s="2" t="s">
        <v>236</v>
      </c>
      <c r="W764" s="2" t="s">
        <v>237</v>
      </c>
      <c r="X764" s="2" t="s">
        <v>620</v>
      </c>
      <c r="Y764" s="2" t="s">
        <v>238</v>
      </c>
      <c r="Z764" s="4">
        <v>218</v>
      </c>
      <c r="AA764" s="4">
        <f>=ROUNDDOWN(27.25,0)</f>
      </c>
      <c r="AB764" s="5">
        <v>8</v>
      </c>
      <c r="AC764" s="2" t="s">
        <v>233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233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233</v>
      </c>
      <c r="AW764" s="8" t="s">
        <v>233</v>
      </c>
      <c r="AX764" s="4" t="s">
        <v>233</v>
      </c>
      <c r="AY764" s="8" t="s">
        <v>233</v>
      </c>
      <c r="AZ764" s="7" t="s">
        <v>233</v>
      </c>
      <c r="BA764" s="7" t="s">
        <v>233</v>
      </c>
      <c r="BB764" s="7"/>
      <c r="BC764" s="4" t="s">
        <v>233</v>
      </c>
      <c r="BD764" s="8" t="s">
        <v>233</v>
      </c>
      <c r="BE764" s="4" t="s">
        <v>233</v>
      </c>
      <c r="BF764" s="8" t="s">
        <v>233</v>
      </c>
      <c r="BG764" s="7" t="s">
        <v>233</v>
      </c>
      <c r="BH764" s="7" t="s">
        <v>233</v>
      </c>
      <c r="BI764" s="7"/>
      <c r="BJ764" s="4">
        <v>27</v>
      </c>
      <c r="BK764" s="8">
        <v>934.21</v>
      </c>
      <c r="BL764" s="2" t="s">
        <v>1652</v>
      </c>
      <c r="BM764" s="7"/>
      <c r="BN764" s="7"/>
      <c r="BO764" s="4"/>
      <c r="BP764" s="8"/>
      <c r="BQ764" s="4"/>
      <c r="BR764" s="8"/>
      <c r="BS764" s="7"/>
      <c r="BT764" s="7"/>
      <c r="BU764" s="2" t="s">
        <v>4193</v>
      </c>
      <c r="BV764" s="2" t="s">
        <v>233</v>
      </c>
      <c r="BW764" s="2" t="s">
        <v>233</v>
      </c>
      <c r="BX764" s="2" t="s">
        <v>241</v>
      </c>
      <c r="BY764" s="2" t="s">
        <v>242</v>
      </c>
      <c r="BZ764" s="2" t="s">
        <v>230</v>
      </c>
      <c r="CA764" s="2" t="s">
        <v>243</v>
      </c>
      <c r="CB764" s="2" t="s">
        <v>1316</v>
      </c>
      <c r="CC764" s="2" t="s">
        <v>245</v>
      </c>
      <c r="CD764" s="2" t="s">
        <v>233</v>
      </c>
      <c r="CE764" s="4">
        <v>118</v>
      </c>
      <c r="CF764" s="4">
        <v>100</v>
      </c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>
        <v>234</v>
      </c>
      <c r="GD764" s="4">
        <v>190</v>
      </c>
      <c r="GE764" s="4">
        <v>178</v>
      </c>
      <c r="GF764" s="4">
        <v>163</v>
      </c>
      <c r="GG764" s="4">
        <v>137</v>
      </c>
      <c r="GH764" s="4">
        <v>127</v>
      </c>
      <c r="GI764" s="4">
        <v>112</v>
      </c>
      <c r="GJ764" s="4">
        <v>104</v>
      </c>
      <c r="GK764" s="4">
        <v>99</v>
      </c>
      <c r="GL764" s="4">
        <v>92</v>
      </c>
      <c r="GM764" s="4">
        <v>88</v>
      </c>
      <c r="GN764" s="4">
        <v>83</v>
      </c>
      <c r="GO764" s="4">
        <v>78</v>
      </c>
      <c r="GP764" s="4">
        <v>73</v>
      </c>
      <c r="GQ764" s="4">
        <v>70</v>
      </c>
      <c r="GR764" s="4">
        <v>67</v>
      </c>
      <c r="GS764" s="4">
        <v>64</v>
      </c>
      <c r="GT764" s="4">
        <v>61</v>
      </c>
      <c r="GU764" s="4">
        <v>58</v>
      </c>
      <c r="GV764" s="4">
        <v>55</v>
      </c>
      <c r="GW764" s="4">
        <v>52</v>
      </c>
      <c r="GX764" s="4">
        <v>49</v>
      </c>
      <c r="GY764" s="4">
        <v>46</v>
      </c>
      <c r="GZ764" s="4">
        <v>44</v>
      </c>
      <c r="HA764" s="4">
        <v>42</v>
      </c>
      <c r="HB764" s="4">
        <v>40</v>
      </c>
      <c r="HC764" s="19">
        <v>9.8</v>
      </c>
      <c r="HD764" s="19">
        <v>11.9</v>
      </c>
      <c r="HE764" s="19">
        <v>11.1</v>
      </c>
      <c r="HF764" s="19">
        <v>10.9</v>
      </c>
      <c r="HG764" s="19">
        <v>13.7</v>
      </c>
      <c r="HH764" s="19">
        <v>14.1</v>
      </c>
      <c r="HI764" s="19">
        <v>18.7</v>
      </c>
      <c r="HJ764" s="19">
        <v>20.8</v>
      </c>
      <c r="HK764" s="19">
        <v>19.8</v>
      </c>
      <c r="HL764" s="19">
        <v>18.4</v>
      </c>
      <c r="HM764" s="19">
        <v>22</v>
      </c>
      <c r="HN764" s="19">
        <v>20.8</v>
      </c>
      <c r="HO764" s="19">
        <v>19.5</v>
      </c>
      <c r="HP764" s="19">
        <v>24.3</v>
      </c>
      <c r="HQ764" s="19">
        <v>23.3</v>
      </c>
      <c r="HR764" s="19">
        <v>22.3</v>
      </c>
      <c r="HS764" s="19">
        <v>21.3</v>
      </c>
      <c r="HT764" s="19">
        <v>20.3</v>
      </c>
      <c r="HU764" s="19">
        <v>19.3</v>
      </c>
      <c r="HV764" s="19">
        <v>18.3</v>
      </c>
      <c r="HW764" s="19">
        <v>26</v>
      </c>
      <c r="HX764" s="19">
        <v>24.5</v>
      </c>
      <c r="HY764" s="19">
        <v>23</v>
      </c>
      <c r="HZ764" s="19">
        <v>22</v>
      </c>
      <c r="IA764" s="19">
        <v>21</v>
      </c>
      <c r="IB764" s="19">
        <v>20</v>
      </c>
    </row>
    <row r="765">
      <c r="A765" s="2" t="s">
        <v>4206</v>
      </c>
      <c r="B765" s="2" t="s">
        <v>279</v>
      </c>
      <c r="C765" s="2" t="s">
        <v>2381</v>
      </c>
      <c r="D765" s="2" t="s">
        <v>281</v>
      </c>
      <c r="E765" s="2" t="s">
        <v>282</v>
      </c>
      <c r="F765" s="2" t="s">
        <v>4189</v>
      </c>
      <c r="G765" s="2" t="s">
        <v>4189</v>
      </c>
      <c r="H765" s="2" t="s">
        <v>4189</v>
      </c>
      <c r="I765" s="2" t="s">
        <v>345</v>
      </c>
      <c r="J765" s="2" t="s">
        <v>228</v>
      </c>
      <c r="K765" s="2" t="s">
        <v>484</v>
      </c>
      <c r="L765" s="3">
        <v>21.62</v>
      </c>
      <c r="M765" s="3">
        <v>22.7</v>
      </c>
      <c r="N765" s="3">
        <v>46.99</v>
      </c>
      <c r="O765" s="2" t="s">
        <v>230</v>
      </c>
      <c r="P765" s="2" t="s">
        <v>231</v>
      </c>
      <c r="Q765" s="2" t="s">
        <v>232</v>
      </c>
      <c r="R765" s="2" t="s">
        <v>233</v>
      </c>
      <c r="S765" s="2" t="s">
        <v>4207</v>
      </c>
      <c r="T765" s="2" t="s">
        <v>2765</v>
      </c>
      <c r="U765" s="2" t="s">
        <v>781</v>
      </c>
      <c r="V765" s="2" t="s">
        <v>236</v>
      </c>
      <c r="W765" s="2" t="s">
        <v>237</v>
      </c>
      <c r="X765" s="2" t="s">
        <v>620</v>
      </c>
      <c r="Y765" s="2" t="s">
        <v>4208</v>
      </c>
      <c r="Z765" s="4"/>
      <c r="AA765" s="4">
        <f>=ROUNDDOWN({0},0)</f>
      </c>
      <c r="AB765" s="5">
        <v>8</v>
      </c>
      <c r="AC765" s="2" t="s">
        <v>233</v>
      </c>
      <c r="AD765" s="4"/>
      <c r="AE765" s="4"/>
      <c r="AF765" s="6">
        <v>65</v>
      </c>
      <c r="AG765" s="6"/>
      <c r="AH765" s="7">
        <v>0.9032</v>
      </c>
      <c r="AI765" s="4"/>
      <c r="AJ765" s="4">
        <f>=ROUNDDOWN({0},0)</f>
      </c>
      <c r="AK765" s="5"/>
      <c r="AL765" s="2" t="s">
        <v>233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233</v>
      </c>
      <c r="AW765" s="8" t="s">
        <v>233</v>
      </c>
      <c r="AX765" s="4" t="s">
        <v>233</v>
      </c>
      <c r="AY765" s="8" t="s">
        <v>233</v>
      </c>
      <c r="AZ765" s="7" t="s">
        <v>233</v>
      </c>
      <c r="BA765" s="7" t="s">
        <v>233</v>
      </c>
      <c r="BB765" s="7"/>
      <c r="BC765" s="4" t="s">
        <v>233</v>
      </c>
      <c r="BD765" s="8" t="s">
        <v>233</v>
      </c>
      <c r="BE765" s="4" t="s">
        <v>233</v>
      </c>
      <c r="BF765" s="8" t="s">
        <v>233</v>
      </c>
      <c r="BG765" s="7" t="s">
        <v>233</v>
      </c>
      <c r="BH765" s="7" t="s">
        <v>233</v>
      </c>
      <c r="BI765" s="7"/>
      <c r="BJ765" s="4">
        <v>94</v>
      </c>
      <c r="BK765" s="8">
        <v>2302.52</v>
      </c>
      <c r="BL765" s="2" t="s">
        <v>2199</v>
      </c>
      <c r="BM765" s="7"/>
      <c r="BN765" s="7"/>
      <c r="BO765" s="4"/>
      <c r="BP765" s="8"/>
      <c r="BQ765" s="4"/>
      <c r="BR765" s="8"/>
      <c r="BS765" s="7"/>
      <c r="BT765" s="7"/>
      <c r="BU765" s="2" t="s">
        <v>4193</v>
      </c>
      <c r="BV765" s="2" t="s">
        <v>233</v>
      </c>
      <c r="BW765" s="2" t="s">
        <v>233</v>
      </c>
      <c r="BX765" s="2" t="s">
        <v>241</v>
      </c>
      <c r="BY765" s="2" t="s">
        <v>242</v>
      </c>
      <c r="BZ765" s="2" t="s">
        <v>230</v>
      </c>
      <c r="CA765" s="2" t="s">
        <v>4209</v>
      </c>
      <c r="CB765" s="2" t="s">
        <v>443</v>
      </c>
      <c r="CC765" s="2" t="s">
        <v>245</v>
      </c>
      <c r="CD765" s="2" t="s">
        <v>233</v>
      </c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>
        <v>102</v>
      </c>
      <c r="GD765" s="4">
        <v>38</v>
      </c>
      <c r="GE765" s="4">
        <v>31</v>
      </c>
      <c r="GF765" s="4">
        <v>23</v>
      </c>
      <c r="GG765" s="4">
        <v>7</v>
      </c>
      <c r="GH765" s="4">
        <v>1</v>
      </c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>
        <v>23</v>
      </c>
      <c r="GW765" s="4">
        <v>22</v>
      </c>
      <c r="GX765" s="4">
        <v>21</v>
      </c>
      <c r="GY765" s="4">
        <v>20</v>
      </c>
      <c r="GZ765" s="4">
        <v>19</v>
      </c>
      <c r="HA765" s="4">
        <v>18</v>
      </c>
      <c r="HB765" s="4">
        <v>17</v>
      </c>
      <c r="HC765" s="19">
        <v>4.3</v>
      </c>
      <c r="HD765" s="19">
        <v>4.2</v>
      </c>
      <c r="HE765" s="19">
        <v>3.1</v>
      </c>
      <c r="HF765" s="19">
        <v>2.9</v>
      </c>
      <c r="HG765" s="19">
        <v>1.4</v>
      </c>
      <c r="HH765" s="19">
        <v>0.3</v>
      </c>
      <c r="HI765" s="20">
        <v>0</v>
      </c>
      <c r="HJ765" s="20">
        <v>0</v>
      </c>
      <c r="HK765" s="20">
        <v>0</v>
      </c>
      <c r="HL765" s="20">
        <v>0</v>
      </c>
      <c r="HM765" s="20">
        <v>0</v>
      </c>
      <c r="HN765" s="20">
        <v>0</v>
      </c>
      <c r="HO765" s="20">
        <v>0</v>
      </c>
      <c r="HP765" s="20">
        <v>0</v>
      </c>
      <c r="HQ765" s="20">
        <v>0</v>
      </c>
      <c r="HR765" s="20">
        <v>0</v>
      </c>
      <c r="HS765" s="20">
        <v>0</v>
      </c>
      <c r="HT765" s="20">
        <v>0</v>
      </c>
      <c r="HU765" s="20">
        <v>0</v>
      </c>
      <c r="HV765" s="19">
        <v>23</v>
      </c>
      <c r="HW765" s="19">
        <v>22</v>
      </c>
      <c r="HX765" s="19">
        <v>21</v>
      </c>
      <c r="HY765" s="19">
        <v>20</v>
      </c>
      <c r="HZ765" s="19">
        <v>19</v>
      </c>
      <c r="IA765" s="19">
        <v>18</v>
      </c>
      <c r="IB765" s="19">
        <v>17</v>
      </c>
    </row>
    <row r="766">
      <c r="A766" s="2" t="s">
        <v>4210</v>
      </c>
      <c r="B766" s="2" t="s">
        <v>279</v>
      </c>
      <c r="C766" s="2" t="s">
        <v>2381</v>
      </c>
      <c r="D766" s="2" t="s">
        <v>281</v>
      </c>
      <c r="E766" s="2" t="s">
        <v>282</v>
      </c>
      <c r="F766" s="2" t="s">
        <v>4189</v>
      </c>
      <c r="G766" s="2" t="s">
        <v>4189</v>
      </c>
      <c r="H766" s="2" t="s">
        <v>4189</v>
      </c>
      <c r="I766" s="2" t="s">
        <v>345</v>
      </c>
      <c r="J766" s="2" t="s">
        <v>256</v>
      </c>
      <c r="K766" s="2" t="s">
        <v>484</v>
      </c>
      <c r="L766" s="3">
        <v>31.2</v>
      </c>
      <c r="M766" s="3">
        <v>32.76</v>
      </c>
      <c r="N766" s="3">
        <v>64.99</v>
      </c>
      <c r="O766" s="2" t="s">
        <v>230</v>
      </c>
      <c r="P766" s="2" t="s">
        <v>231</v>
      </c>
      <c r="Q766" s="2" t="s">
        <v>232</v>
      </c>
      <c r="R766" s="2" t="s">
        <v>233</v>
      </c>
      <c r="S766" s="2" t="s">
        <v>4207</v>
      </c>
      <c r="T766" s="2" t="s">
        <v>2765</v>
      </c>
      <c r="U766" s="2" t="s">
        <v>287</v>
      </c>
      <c r="V766" s="2" t="s">
        <v>236</v>
      </c>
      <c r="W766" s="2" t="s">
        <v>237</v>
      </c>
      <c r="X766" s="2" t="s">
        <v>620</v>
      </c>
      <c r="Y766" s="2" t="s">
        <v>4208</v>
      </c>
      <c r="Z766" s="4">
        <v>292</v>
      </c>
      <c r="AA766" s="4">
        <f>=ROUNDDOWN(29.2,0)</f>
      </c>
      <c r="AB766" s="5">
        <v>10</v>
      </c>
      <c r="AC766" s="2" t="s">
        <v>233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233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233</v>
      </c>
      <c r="AW766" s="8" t="s">
        <v>233</v>
      </c>
      <c r="AX766" s="4" t="s">
        <v>233</v>
      </c>
      <c r="AY766" s="8" t="s">
        <v>233</v>
      </c>
      <c r="AZ766" s="7" t="s">
        <v>233</v>
      </c>
      <c r="BA766" s="7" t="s">
        <v>233</v>
      </c>
      <c r="BB766" s="7"/>
      <c r="BC766" s="4" t="s">
        <v>233</v>
      </c>
      <c r="BD766" s="8" t="s">
        <v>233</v>
      </c>
      <c r="BE766" s="4" t="s">
        <v>233</v>
      </c>
      <c r="BF766" s="8" t="s">
        <v>233</v>
      </c>
      <c r="BG766" s="7" t="s">
        <v>233</v>
      </c>
      <c r="BH766" s="7" t="s">
        <v>233</v>
      </c>
      <c r="BI766" s="7"/>
      <c r="BJ766" s="4">
        <v>40</v>
      </c>
      <c r="BK766" s="8">
        <v>1399.23</v>
      </c>
      <c r="BL766" s="2" t="s">
        <v>4211</v>
      </c>
      <c r="BM766" s="7"/>
      <c r="BN766" s="7"/>
      <c r="BO766" s="4"/>
      <c r="BP766" s="8"/>
      <c r="BQ766" s="4"/>
      <c r="BR766" s="8"/>
      <c r="BS766" s="7"/>
      <c r="BT766" s="7"/>
      <c r="BU766" s="2" t="s">
        <v>4193</v>
      </c>
      <c r="BV766" s="2" t="s">
        <v>233</v>
      </c>
      <c r="BW766" s="2" t="s">
        <v>233</v>
      </c>
      <c r="BX766" s="2" t="s">
        <v>241</v>
      </c>
      <c r="BY766" s="2" t="s">
        <v>242</v>
      </c>
      <c r="BZ766" s="2" t="s">
        <v>230</v>
      </c>
      <c r="CA766" s="2" t="s">
        <v>4209</v>
      </c>
      <c r="CB766" s="2" t="s">
        <v>456</v>
      </c>
      <c r="CC766" s="2" t="s">
        <v>245</v>
      </c>
      <c r="CD766" s="2" t="s">
        <v>233</v>
      </c>
      <c r="CE766" s="4">
        <v>156</v>
      </c>
      <c r="CF766" s="4">
        <v>136</v>
      </c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>
        <v>309</v>
      </c>
      <c r="GD766" s="4">
        <v>250</v>
      </c>
      <c r="GE766" s="4">
        <v>235</v>
      </c>
      <c r="GF766" s="4">
        <v>218</v>
      </c>
      <c r="GG766" s="4">
        <v>190</v>
      </c>
      <c r="GH766" s="4">
        <v>178</v>
      </c>
      <c r="GI766" s="4">
        <v>161</v>
      </c>
      <c r="GJ766" s="4">
        <v>153</v>
      </c>
      <c r="GK766" s="4">
        <v>147</v>
      </c>
      <c r="GL766" s="4">
        <v>139</v>
      </c>
      <c r="GM766" s="4">
        <v>133</v>
      </c>
      <c r="GN766" s="4">
        <v>127</v>
      </c>
      <c r="GO766" s="4">
        <v>121</v>
      </c>
      <c r="GP766" s="4">
        <v>115</v>
      </c>
      <c r="GQ766" s="4">
        <v>111</v>
      </c>
      <c r="GR766" s="4">
        <v>107</v>
      </c>
      <c r="GS766" s="4">
        <v>104</v>
      </c>
      <c r="GT766" s="4">
        <v>101</v>
      </c>
      <c r="GU766" s="4">
        <v>98</v>
      </c>
      <c r="GV766" s="4">
        <v>95</v>
      </c>
      <c r="GW766" s="4">
        <v>92</v>
      </c>
      <c r="GX766" s="4">
        <v>89</v>
      </c>
      <c r="GY766" s="4">
        <v>86</v>
      </c>
      <c r="GZ766" s="4">
        <v>84</v>
      </c>
      <c r="HA766" s="4">
        <v>82</v>
      </c>
      <c r="HB766" s="4">
        <v>80</v>
      </c>
      <c r="HC766" s="19">
        <v>10.3</v>
      </c>
      <c r="HD766" s="19">
        <v>13.9</v>
      </c>
      <c r="HE766" s="19">
        <v>13.1</v>
      </c>
      <c r="HF766" s="19">
        <v>13.6</v>
      </c>
      <c r="HG766" s="19">
        <v>17.3</v>
      </c>
      <c r="HH766" s="19">
        <v>17.8</v>
      </c>
      <c r="HI766" s="19">
        <v>23</v>
      </c>
      <c r="HJ766" s="19">
        <v>25.5</v>
      </c>
      <c r="HK766" s="19">
        <v>24.5</v>
      </c>
      <c r="HL766" s="19">
        <v>23.2</v>
      </c>
      <c r="HM766" s="19">
        <v>22.2</v>
      </c>
      <c r="HN766" s="19">
        <v>25.4</v>
      </c>
      <c r="HO766" s="19">
        <v>30.3</v>
      </c>
      <c r="HP766" s="19">
        <v>28.8</v>
      </c>
      <c r="HQ766" s="19">
        <v>37</v>
      </c>
      <c r="HR766" s="19">
        <v>35.7</v>
      </c>
      <c r="HS766" s="19">
        <v>34.7</v>
      </c>
      <c r="HT766" s="19">
        <v>33.7</v>
      </c>
      <c r="HU766" s="19">
        <v>32.7</v>
      </c>
      <c r="HV766" s="19">
        <v>31.7</v>
      </c>
      <c r="HW766" s="19">
        <v>46</v>
      </c>
      <c r="HX766" s="19">
        <v>44.5</v>
      </c>
      <c r="HY766" s="19">
        <v>43</v>
      </c>
      <c r="HZ766" s="19">
        <v>42</v>
      </c>
      <c r="IA766" s="19">
        <v>41</v>
      </c>
      <c r="IB766" s="19">
        <v>40</v>
      </c>
    </row>
    <row r="767">
      <c r="A767" s="2" t="s">
        <v>4212</v>
      </c>
      <c r="B767" s="2" t="s">
        <v>279</v>
      </c>
      <c r="C767" s="2" t="s">
        <v>2381</v>
      </c>
      <c r="D767" s="2" t="s">
        <v>281</v>
      </c>
      <c r="E767" s="2" t="s">
        <v>282</v>
      </c>
      <c r="F767" s="2" t="s">
        <v>4189</v>
      </c>
      <c r="G767" s="2" t="s">
        <v>4189</v>
      </c>
      <c r="H767" s="2" t="s">
        <v>4189</v>
      </c>
      <c r="I767" s="2" t="s">
        <v>345</v>
      </c>
      <c r="J767" s="2" t="s">
        <v>285</v>
      </c>
      <c r="K767" s="2" t="s">
        <v>484</v>
      </c>
      <c r="L767" s="3">
        <v>31.85</v>
      </c>
      <c r="M767" s="3">
        <v>33.44</v>
      </c>
      <c r="N767" s="3">
        <v>64.99</v>
      </c>
      <c r="O767" s="2" t="s">
        <v>230</v>
      </c>
      <c r="P767" s="2" t="s">
        <v>231</v>
      </c>
      <c r="Q767" s="2" t="s">
        <v>232</v>
      </c>
      <c r="R767" s="2" t="s">
        <v>233</v>
      </c>
      <c r="S767" s="2" t="s">
        <v>4207</v>
      </c>
      <c r="T767" s="2" t="s">
        <v>2765</v>
      </c>
      <c r="U767" s="2" t="s">
        <v>287</v>
      </c>
      <c r="V767" s="2" t="s">
        <v>236</v>
      </c>
      <c r="W767" s="2" t="s">
        <v>237</v>
      </c>
      <c r="X767" s="2" t="s">
        <v>620</v>
      </c>
      <c r="Y767" s="2" t="s">
        <v>4208</v>
      </c>
      <c r="Z767" s="4">
        <v>171</v>
      </c>
      <c r="AA767" s="4">
        <f>=ROUNDDOWN(34.2,0)</f>
      </c>
      <c r="AB767" s="5">
        <v>5</v>
      </c>
      <c r="AC767" s="2" t="s">
        <v>233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233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233</v>
      </c>
      <c r="AW767" s="8" t="s">
        <v>233</v>
      </c>
      <c r="AX767" s="4" t="s">
        <v>233</v>
      </c>
      <c r="AY767" s="8" t="s">
        <v>233</v>
      </c>
      <c r="AZ767" s="7" t="s">
        <v>233</v>
      </c>
      <c r="BA767" s="7" t="s">
        <v>233</v>
      </c>
      <c r="BB767" s="7"/>
      <c r="BC767" s="4" t="s">
        <v>233</v>
      </c>
      <c r="BD767" s="8" t="s">
        <v>233</v>
      </c>
      <c r="BE767" s="4" t="s">
        <v>233</v>
      </c>
      <c r="BF767" s="8" t="s">
        <v>233</v>
      </c>
      <c r="BG767" s="7" t="s">
        <v>233</v>
      </c>
      <c r="BH767" s="7" t="s">
        <v>233</v>
      </c>
      <c r="BI767" s="7"/>
      <c r="BJ767" s="4">
        <v>5</v>
      </c>
      <c r="BK767" s="8">
        <v>178.45</v>
      </c>
      <c r="BL767" s="2" t="s">
        <v>2199</v>
      </c>
      <c r="BM767" s="7"/>
      <c r="BN767" s="7"/>
      <c r="BO767" s="4"/>
      <c r="BP767" s="8"/>
      <c r="BQ767" s="4"/>
      <c r="BR767" s="8"/>
      <c r="BS767" s="7"/>
      <c r="BT767" s="7"/>
      <c r="BU767" s="2" t="s">
        <v>4193</v>
      </c>
      <c r="BV767" s="2" t="s">
        <v>233</v>
      </c>
      <c r="BW767" s="2" t="s">
        <v>233</v>
      </c>
      <c r="BX767" s="2" t="s">
        <v>241</v>
      </c>
      <c r="BY767" s="2" t="s">
        <v>242</v>
      </c>
      <c r="BZ767" s="2" t="s">
        <v>230</v>
      </c>
      <c r="CA767" s="2" t="s">
        <v>4209</v>
      </c>
      <c r="CB767" s="2" t="s">
        <v>3560</v>
      </c>
      <c r="CC767" s="2" t="s">
        <v>245</v>
      </c>
      <c r="CD767" s="2" t="s">
        <v>233</v>
      </c>
      <c r="CE767" s="4">
        <v>111</v>
      </c>
      <c r="CF767" s="4">
        <v>60</v>
      </c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>
        <v>173</v>
      </c>
      <c r="GD767" s="4">
        <v>141</v>
      </c>
      <c r="GE767" s="4">
        <v>134</v>
      </c>
      <c r="GF767" s="4">
        <v>125</v>
      </c>
      <c r="GG767" s="4">
        <v>111</v>
      </c>
      <c r="GH767" s="4">
        <v>105</v>
      </c>
      <c r="GI767" s="4">
        <v>96</v>
      </c>
      <c r="GJ767" s="4">
        <v>92</v>
      </c>
      <c r="GK767" s="4">
        <v>89</v>
      </c>
      <c r="GL767" s="4">
        <v>85</v>
      </c>
      <c r="GM767" s="4">
        <v>82</v>
      </c>
      <c r="GN767" s="4">
        <v>79</v>
      </c>
      <c r="GO767" s="4">
        <v>76</v>
      </c>
      <c r="GP767" s="4">
        <v>73</v>
      </c>
      <c r="GQ767" s="4">
        <v>71</v>
      </c>
      <c r="GR767" s="4">
        <v>69</v>
      </c>
      <c r="GS767" s="4">
        <v>67</v>
      </c>
      <c r="GT767" s="4">
        <v>65</v>
      </c>
      <c r="GU767" s="4">
        <v>63</v>
      </c>
      <c r="GV767" s="4">
        <v>61</v>
      </c>
      <c r="GW767" s="4">
        <v>59</v>
      </c>
      <c r="GX767" s="4">
        <v>57</v>
      </c>
      <c r="GY767" s="4">
        <v>55</v>
      </c>
      <c r="GZ767" s="4">
        <v>53</v>
      </c>
      <c r="HA767" s="4">
        <v>51</v>
      </c>
      <c r="HB767" s="4">
        <v>49</v>
      </c>
      <c r="HC767" s="19">
        <v>10.8</v>
      </c>
      <c r="HD767" s="19">
        <v>15.7</v>
      </c>
      <c r="HE767" s="19">
        <v>13.4</v>
      </c>
      <c r="HF767" s="19">
        <v>15.6</v>
      </c>
      <c r="HG767" s="19">
        <v>18.5</v>
      </c>
      <c r="HH767" s="19">
        <v>21</v>
      </c>
      <c r="HI767" s="19">
        <v>24</v>
      </c>
      <c r="HJ767" s="19">
        <v>30.7</v>
      </c>
      <c r="HK767" s="19">
        <v>29.7</v>
      </c>
      <c r="HL767" s="19">
        <v>28.3</v>
      </c>
      <c r="HM767" s="19">
        <v>27.3</v>
      </c>
      <c r="HN767" s="19">
        <v>39.5</v>
      </c>
      <c r="HO767" s="19">
        <v>38</v>
      </c>
      <c r="HP767" s="19">
        <v>36.5</v>
      </c>
      <c r="HQ767" s="19">
        <v>35.5</v>
      </c>
      <c r="HR767" s="19">
        <v>34.5</v>
      </c>
      <c r="HS767" s="19">
        <v>33.5</v>
      </c>
      <c r="HT767" s="19">
        <v>32.5</v>
      </c>
      <c r="HU767" s="19">
        <v>31.5</v>
      </c>
      <c r="HV767" s="19">
        <v>30.5</v>
      </c>
      <c r="HW767" s="19">
        <v>29.5</v>
      </c>
      <c r="HX767" s="19">
        <v>28.5</v>
      </c>
      <c r="HY767" s="19">
        <v>27.5</v>
      </c>
      <c r="HZ767" s="19">
        <v>26.5</v>
      </c>
      <c r="IA767" s="19">
        <v>25.5</v>
      </c>
      <c r="IB767" s="19">
        <v>24.5</v>
      </c>
    </row>
    <row r="768">
      <c r="A768" s="2" t="s">
        <v>4213</v>
      </c>
      <c r="B768" s="2" t="s">
        <v>279</v>
      </c>
      <c r="C768" s="2" t="s">
        <v>2381</v>
      </c>
      <c r="D768" s="2" t="s">
        <v>281</v>
      </c>
      <c r="E768" s="2" t="s">
        <v>282</v>
      </c>
      <c r="F768" s="2" t="s">
        <v>4189</v>
      </c>
      <c r="G768" s="2" t="s">
        <v>4189</v>
      </c>
      <c r="H768" s="2" t="s">
        <v>4189</v>
      </c>
      <c r="I768" s="2" t="s">
        <v>345</v>
      </c>
      <c r="J768" s="2" t="s">
        <v>228</v>
      </c>
      <c r="K768" s="2" t="s">
        <v>1525</v>
      </c>
      <c r="L768" s="3">
        <v>21.62</v>
      </c>
      <c r="M768" s="3">
        <v>22.7</v>
      </c>
      <c r="N768" s="3">
        <v>46.99</v>
      </c>
      <c r="O768" s="2" t="s">
        <v>230</v>
      </c>
      <c r="P768" s="2" t="s">
        <v>231</v>
      </c>
      <c r="Q768" s="2" t="s">
        <v>232</v>
      </c>
      <c r="R768" s="2" t="s">
        <v>233</v>
      </c>
      <c r="S768" s="2" t="s">
        <v>4214</v>
      </c>
      <c r="T768" s="2" t="s">
        <v>2765</v>
      </c>
      <c r="U768" s="2" t="s">
        <v>781</v>
      </c>
      <c r="V768" s="2" t="s">
        <v>236</v>
      </c>
      <c r="W768" s="2" t="s">
        <v>237</v>
      </c>
      <c r="X768" s="2" t="s">
        <v>620</v>
      </c>
      <c r="Y768" s="2" t="s">
        <v>238</v>
      </c>
      <c r="Z768" s="4">
        <v>160</v>
      </c>
      <c r="AA768" s="4">
        <f>=ROUNDDOWN(26.6666666666667,0)</f>
      </c>
      <c r="AB768" s="5">
        <v>6</v>
      </c>
      <c r="AC768" s="2" t="s">
        <v>233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233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233</v>
      </c>
      <c r="AW768" s="8" t="s">
        <v>233</v>
      </c>
      <c r="AX768" s="4" t="s">
        <v>233</v>
      </c>
      <c r="AY768" s="8" t="s">
        <v>233</v>
      </c>
      <c r="AZ768" s="7" t="s">
        <v>233</v>
      </c>
      <c r="BA768" s="7" t="s">
        <v>233</v>
      </c>
      <c r="BB768" s="7"/>
      <c r="BC768" s="4" t="s">
        <v>233</v>
      </c>
      <c r="BD768" s="8" t="s">
        <v>233</v>
      </c>
      <c r="BE768" s="4" t="s">
        <v>233</v>
      </c>
      <c r="BF768" s="8" t="s">
        <v>233</v>
      </c>
      <c r="BG768" s="7" t="s">
        <v>233</v>
      </c>
      <c r="BH768" s="7" t="s">
        <v>233</v>
      </c>
      <c r="BI768" s="7"/>
      <c r="BJ768" s="4">
        <v>33</v>
      </c>
      <c r="BK768" s="8">
        <v>772.6</v>
      </c>
      <c r="BL768" s="2" t="s">
        <v>1640</v>
      </c>
      <c r="BM768" s="7"/>
      <c r="BN768" s="7"/>
      <c r="BO768" s="4"/>
      <c r="BP768" s="8"/>
      <c r="BQ768" s="4"/>
      <c r="BR768" s="8"/>
      <c r="BS768" s="7"/>
      <c r="BT768" s="7"/>
      <c r="BU768" s="2" t="s">
        <v>4193</v>
      </c>
      <c r="BV768" s="2" t="s">
        <v>233</v>
      </c>
      <c r="BW768" s="2" t="s">
        <v>233</v>
      </c>
      <c r="BX768" s="2" t="s">
        <v>241</v>
      </c>
      <c r="BY768" s="2" t="s">
        <v>242</v>
      </c>
      <c r="BZ768" s="2" t="s">
        <v>230</v>
      </c>
      <c r="CA768" s="2" t="s">
        <v>243</v>
      </c>
      <c r="CB768" s="2" t="s">
        <v>4215</v>
      </c>
      <c r="CC768" s="2" t="s">
        <v>245</v>
      </c>
      <c r="CD768" s="2" t="s">
        <v>233</v>
      </c>
      <c r="CE768" s="4">
        <v>80</v>
      </c>
      <c r="CF768" s="4">
        <v>80</v>
      </c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>
        <v>169</v>
      </c>
      <c r="GD768" s="4">
        <v>143</v>
      </c>
      <c r="GE768" s="4">
        <v>136</v>
      </c>
      <c r="GF768" s="4">
        <v>128</v>
      </c>
      <c r="GG768" s="4">
        <v>114</v>
      </c>
      <c r="GH768" s="4">
        <v>108</v>
      </c>
      <c r="GI768" s="4">
        <v>99</v>
      </c>
      <c r="GJ768" s="4">
        <v>95</v>
      </c>
      <c r="GK768" s="4">
        <v>92</v>
      </c>
      <c r="GL768" s="4">
        <v>88</v>
      </c>
      <c r="GM768" s="4">
        <v>85</v>
      </c>
      <c r="GN768" s="4">
        <v>82</v>
      </c>
      <c r="GO768" s="4">
        <v>79</v>
      </c>
      <c r="GP768" s="4">
        <v>75</v>
      </c>
      <c r="GQ768" s="4">
        <v>73</v>
      </c>
      <c r="GR768" s="4">
        <v>70</v>
      </c>
      <c r="GS768" s="4">
        <v>67</v>
      </c>
      <c r="GT768" s="4">
        <v>64</v>
      </c>
      <c r="GU768" s="4">
        <v>61</v>
      </c>
      <c r="GV768" s="4">
        <v>59</v>
      </c>
      <c r="GW768" s="4">
        <v>57</v>
      </c>
      <c r="GX768" s="4">
        <v>55</v>
      </c>
      <c r="GY768" s="4">
        <v>53</v>
      </c>
      <c r="GZ768" s="4">
        <v>51</v>
      </c>
      <c r="HA768" s="4">
        <v>49</v>
      </c>
      <c r="HB768" s="4">
        <v>47</v>
      </c>
      <c r="HC768" s="19">
        <v>12.1</v>
      </c>
      <c r="HD768" s="19">
        <v>15.9</v>
      </c>
      <c r="HE768" s="19">
        <v>15.1</v>
      </c>
      <c r="HF768" s="19">
        <v>16</v>
      </c>
      <c r="HG768" s="19">
        <v>19</v>
      </c>
      <c r="HH768" s="19">
        <v>21.6</v>
      </c>
      <c r="HI768" s="19">
        <v>24.8</v>
      </c>
      <c r="HJ768" s="19">
        <v>31.7</v>
      </c>
      <c r="HK768" s="19">
        <v>30.7</v>
      </c>
      <c r="HL768" s="19">
        <v>29.3</v>
      </c>
      <c r="HM768" s="19">
        <v>28.3</v>
      </c>
      <c r="HN768" s="19">
        <v>27.3</v>
      </c>
      <c r="HO768" s="19">
        <v>26.3</v>
      </c>
      <c r="HP768" s="19">
        <v>25</v>
      </c>
      <c r="HQ768" s="19">
        <v>24.3</v>
      </c>
      <c r="HR768" s="19">
        <v>23.3</v>
      </c>
      <c r="HS768" s="19">
        <v>33.5</v>
      </c>
      <c r="HT768" s="19">
        <v>32</v>
      </c>
      <c r="HU768" s="19">
        <v>30.5</v>
      </c>
      <c r="HV768" s="19">
        <v>29.5</v>
      </c>
      <c r="HW768" s="19">
        <v>28.5</v>
      </c>
      <c r="HX768" s="19">
        <v>27.5</v>
      </c>
      <c r="HY768" s="19">
        <v>26.5</v>
      </c>
      <c r="HZ768" s="19">
        <v>25.5</v>
      </c>
      <c r="IA768" s="19">
        <v>24.5</v>
      </c>
      <c r="IB768" s="19">
        <v>23.5</v>
      </c>
    </row>
    <row r="769">
      <c r="A769" s="2" t="s">
        <v>4216</v>
      </c>
      <c r="B769" s="2" t="s">
        <v>279</v>
      </c>
      <c r="C769" s="2" t="s">
        <v>2381</v>
      </c>
      <c r="D769" s="2" t="s">
        <v>281</v>
      </c>
      <c r="E769" s="2" t="s">
        <v>282</v>
      </c>
      <c r="F769" s="2" t="s">
        <v>4189</v>
      </c>
      <c r="G769" s="2" t="s">
        <v>4189</v>
      </c>
      <c r="H769" s="2" t="s">
        <v>4189</v>
      </c>
      <c r="I769" s="2" t="s">
        <v>345</v>
      </c>
      <c r="J769" s="2" t="s">
        <v>247</v>
      </c>
      <c r="K769" s="2" t="s">
        <v>1525</v>
      </c>
      <c r="L769" s="3">
        <v>23.04</v>
      </c>
      <c r="M769" s="3">
        <v>24.19</v>
      </c>
      <c r="N769" s="3">
        <v>47.99</v>
      </c>
      <c r="O769" s="2" t="s">
        <v>230</v>
      </c>
      <c r="P769" s="2" t="s">
        <v>231</v>
      </c>
      <c r="Q769" s="2" t="s">
        <v>232</v>
      </c>
      <c r="R769" s="2" t="s">
        <v>233</v>
      </c>
      <c r="S769" s="2" t="s">
        <v>4214</v>
      </c>
      <c r="T769" s="2" t="s">
        <v>2765</v>
      </c>
      <c r="U769" s="2" t="s">
        <v>781</v>
      </c>
      <c r="V769" s="2" t="s">
        <v>236</v>
      </c>
      <c r="W769" s="2" t="s">
        <v>237</v>
      </c>
      <c r="X769" s="2" t="s">
        <v>620</v>
      </c>
      <c r="Y769" s="2" t="s">
        <v>238</v>
      </c>
      <c r="Z769" s="4">
        <v>237</v>
      </c>
      <c r="AA769" s="4">
        <f>=ROUNDDOWN(33.8571428571429,0)</f>
      </c>
      <c r="AB769" s="5">
        <v>7</v>
      </c>
      <c r="AC769" s="2" t="s">
        <v>233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233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233</v>
      </c>
      <c r="AW769" s="8" t="s">
        <v>233</v>
      </c>
      <c r="AX769" s="4" t="s">
        <v>233</v>
      </c>
      <c r="AY769" s="8" t="s">
        <v>233</v>
      </c>
      <c r="AZ769" s="7" t="s">
        <v>233</v>
      </c>
      <c r="BA769" s="7" t="s">
        <v>233</v>
      </c>
      <c r="BB769" s="7"/>
      <c r="BC769" s="4" t="s">
        <v>233</v>
      </c>
      <c r="BD769" s="8" t="s">
        <v>233</v>
      </c>
      <c r="BE769" s="4" t="s">
        <v>233</v>
      </c>
      <c r="BF769" s="8" t="s">
        <v>233</v>
      </c>
      <c r="BG769" s="7" t="s">
        <v>233</v>
      </c>
      <c r="BH769" s="7" t="s">
        <v>233</v>
      </c>
      <c r="BI769" s="7"/>
      <c r="BJ769" s="4">
        <v>51</v>
      </c>
      <c r="BK769" s="8">
        <v>1275.53</v>
      </c>
      <c r="BL769" s="2" t="s">
        <v>4217</v>
      </c>
      <c r="BM769" s="7"/>
      <c r="BN769" s="7"/>
      <c r="BO769" s="4"/>
      <c r="BP769" s="8"/>
      <c r="BQ769" s="4"/>
      <c r="BR769" s="8"/>
      <c r="BS769" s="7"/>
      <c r="BT769" s="7"/>
      <c r="BU769" s="2" t="s">
        <v>4193</v>
      </c>
      <c r="BV769" s="2" t="s">
        <v>233</v>
      </c>
      <c r="BW769" s="2" t="s">
        <v>233</v>
      </c>
      <c r="BX769" s="2" t="s">
        <v>241</v>
      </c>
      <c r="BY769" s="2" t="s">
        <v>242</v>
      </c>
      <c r="BZ769" s="2" t="s">
        <v>230</v>
      </c>
      <c r="CA769" s="2" t="s">
        <v>4218</v>
      </c>
      <c r="CB769" s="2" t="s">
        <v>4219</v>
      </c>
      <c r="CC769" s="2" t="s">
        <v>245</v>
      </c>
      <c r="CD769" s="2" t="s">
        <v>233</v>
      </c>
      <c r="CE769" s="4">
        <v>237</v>
      </c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>
        <v>257</v>
      </c>
      <c r="GD769" s="4">
        <v>240</v>
      </c>
      <c r="GE769" s="4">
        <v>232</v>
      </c>
      <c r="GF769" s="4">
        <v>221</v>
      </c>
      <c r="GG769" s="4">
        <v>199</v>
      </c>
      <c r="GH769" s="4">
        <v>190</v>
      </c>
      <c r="GI769" s="4">
        <v>178</v>
      </c>
      <c r="GJ769" s="4">
        <v>171</v>
      </c>
      <c r="GK769" s="4">
        <v>167</v>
      </c>
      <c r="GL769" s="4">
        <v>164</v>
      </c>
      <c r="GM769" s="4">
        <v>162</v>
      </c>
      <c r="GN769" s="4">
        <v>160</v>
      </c>
      <c r="GO769" s="4">
        <v>157</v>
      </c>
      <c r="GP769" s="4">
        <v>152</v>
      </c>
      <c r="GQ769" s="4">
        <v>150</v>
      </c>
      <c r="GR769" s="4">
        <v>147</v>
      </c>
      <c r="GS769" s="4">
        <v>144</v>
      </c>
      <c r="GT769" s="4">
        <v>141</v>
      </c>
      <c r="GU769" s="4">
        <v>138</v>
      </c>
      <c r="GV769" s="4">
        <v>135</v>
      </c>
      <c r="GW769" s="4">
        <v>132</v>
      </c>
      <c r="GX769" s="4">
        <v>129</v>
      </c>
      <c r="GY769" s="4">
        <v>126</v>
      </c>
      <c r="GZ769" s="4">
        <v>124</v>
      </c>
      <c r="HA769" s="4">
        <v>122</v>
      </c>
      <c r="HB769" s="4">
        <v>120</v>
      </c>
      <c r="HC769" s="19">
        <v>18.4</v>
      </c>
      <c r="HD769" s="19">
        <v>20</v>
      </c>
      <c r="HE769" s="19">
        <v>16.6</v>
      </c>
      <c r="HF769" s="19">
        <v>18.4</v>
      </c>
      <c r="HG769" s="19">
        <v>24.9</v>
      </c>
      <c r="HH769" s="19">
        <v>31.7</v>
      </c>
      <c r="HI769" s="19">
        <v>44.5</v>
      </c>
      <c r="HJ769" s="19">
        <v>57</v>
      </c>
      <c r="HK769" s="19">
        <v>83.5</v>
      </c>
      <c r="HL769" s="19">
        <v>54.7</v>
      </c>
      <c r="HM769" s="19">
        <v>54</v>
      </c>
      <c r="HN769" s="19">
        <v>53.3</v>
      </c>
      <c r="HO769" s="19">
        <v>52.3</v>
      </c>
      <c r="HP769" s="19">
        <v>50.7</v>
      </c>
      <c r="HQ769" s="19">
        <v>50</v>
      </c>
      <c r="HR769" s="19">
        <v>49</v>
      </c>
      <c r="HS769" s="19">
        <v>48</v>
      </c>
      <c r="HT769" s="19">
        <v>47</v>
      </c>
      <c r="HU769" s="19">
        <v>46</v>
      </c>
      <c r="HV769" s="19">
        <v>45</v>
      </c>
      <c r="HW769" s="19">
        <v>66</v>
      </c>
      <c r="HX769" s="19">
        <v>64.5</v>
      </c>
      <c r="HY769" s="19">
        <v>63</v>
      </c>
      <c r="HZ769" s="19">
        <v>62</v>
      </c>
      <c r="IA769" s="19">
        <v>61</v>
      </c>
      <c r="IB769" s="19">
        <v>60</v>
      </c>
    </row>
    <row r="770">
      <c r="A770" s="2" t="s">
        <v>4220</v>
      </c>
      <c r="B770" s="2" t="s">
        <v>279</v>
      </c>
      <c r="C770" s="2" t="s">
        <v>2381</v>
      </c>
      <c r="D770" s="2" t="s">
        <v>281</v>
      </c>
      <c r="E770" s="2" t="s">
        <v>282</v>
      </c>
      <c r="F770" s="2" t="s">
        <v>4189</v>
      </c>
      <c r="G770" s="2" t="s">
        <v>4189</v>
      </c>
      <c r="H770" s="2" t="s">
        <v>4189</v>
      </c>
      <c r="I770" s="2" t="s">
        <v>345</v>
      </c>
      <c r="J770" s="2" t="s">
        <v>247</v>
      </c>
      <c r="K770" s="2" t="s">
        <v>1500</v>
      </c>
      <c r="L770" s="3">
        <v>23.04</v>
      </c>
      <c r="M770" s="3">
        <v>24.19</v>
      </c>
      <c r="N770" s="3">
        <v>47.99</v>
      </c>
      <c r="O770" s="2" t="s">
        <v>230</v>
      </c>
      <c r="P770" s="2" t="s">
        <v>231</v>
      </c>
      <c r="Q770" s="2" t="s">
        <v>232</v>
      </c>
      <c r="R770" s="2" t="s">
        <v>233</v>
      </c>
      <c r="S770" s="2" t="s">
        <v>4221</v>
      </c>
      <c r="T770" s="2" t="s">
        <v>2765</v>
      </c>
      <c r="U770" s="2" t="s">
        <v>781</v>
      </c>
      <c r="V770" s="2" t="s">
        <v>236</v>
      </c>
      <c r="W770" s="2" t="s">
        <v>237</v>
      </c>
      <c r="X770" s="2" t="s">
        <v>620</v>
      </c>
      <c r="Y770" s="2" t="s">
        <v>238</v>
      </c>
      <c r="Z770" s="4">
        <v>271</v>
      </c>
      <c r="AA770" s="4">
        <f>=ROUNDDOWN(20.8461538461538,0)</f>
      </c>
      <c r="AB770" s="5">
        <v>13</v>
      </c>
      <c r="AC770" s="2" t="s">
        <v>233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233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 t="s">
        <v>233</v>
      </c>
      <c r="BD770" s="8" t="s">
        <v>233</v>
      </c>
      <c r="BE770" s="4" t="s">
        <v>233</v>
      </c>
      <c r="BF770" s="8" t="s">
        <v>233</v>
      </c>
      <c r="BG770" s="7" t="s">
        <v>233</v>
      </c>
      <c r="BH770" s="7" t="s">
        <v>233</v>
      </c>
      <c r="BI770" s="7"/>
      <c r="BJ770" s="4">
        <v>62</v>
      </c>
      <c r="BK770" s="8">
        <v>1523.5</v>
      </c>
      <c r="BL770" s="2" t="s">
        <v>1658</v>
      </c>
      <c r="BM770" s="7"/>
      <c r="BN770" s="7"/>
      <c r="BO770" s="4"/>
      <c r="BP770" s="8"/>
      <c r="BQ770" s="4"/>
      <c r="BR770" s="8"/>
      <c r="BS770" s="7"/>
      <c r="BT770" s="7"/>
      <c r="BU770" s="2" t="s">
        <v>4193</v>
      </c>
      <c r="BV770" s="2" t="s">
        <v>233</v>
      </c>
      <c r="BW770" s="2" t="s">
        <v>233</v>
      </c>
      <c r="BX770" s="2" t="s">
        <v>241</v>
      </c>
      <c r="BY770" s="2" t="s">
        <v>242</v>
      </c>
      <c r="BZ770" s="2" t="s">
        <v>230</v>
      </c>
      <c r="CA770" s="2" t="s">
        <v>243</v>
      </c>
      <c r="CB770" s="2" t="s">
        <v>4222</v>
      </c>
      <c r="CC770" s="2" t="s">
        <v>245</v>
      </c>
      <c r="CD770" s="2" t="s">
        <v>233</v>
      </c>
      <c r="CE770" s="4">
        <v>121</v>
      </c>
      <c r="CF770" s="4">
        <v>150</v>
      </c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>
        <v>290</v>
      </c>
      <c r="GD770" s="4">
        <v>255</v>
      </c>
      <c r="GE770" s="4">
        <v>236</v>
      </c>
      <c r="GF770" s="4">
        <v>213</v>
      </c>
      <c r="GG770" s="4">
        <v>179</v>
      </c>
      <c r="GH770" s="4">
        <v>163</v>
      </c>
      <c r="GI770" s="4">
        <v>142</v>
      </c>
      <c r="GJ770" s="4">
        <v>130</v>
      </c>
      <c r="GK770" s="4">
        <v>123</v>
      </c>
      <c r="GL770" s="4">
        <v>117</v>
      </c>
      <c r="GM770" s="4">
        <v>112</v>
      </c>
      <c r="GN770" s="4">
        <v>107</v>
      </c>
      <c r="GO770" s="4">
        <v>103</v>
      </c>
      <c r="GP770" s="4">
        <v>95</v>
      </c>
      <c r="GQ770" s="4">
        <v>92</v>
      </c>
      <c r="GR770" s="4">
        <v>88</v>
      </c>
      <c r="GS770" s="4">
        <v>85</v>
      </c>
      <c r="GT770" s="4">
        <v>82</v>
      </c>
      <c r="GU770" s="4">
        <v>79</v>
      </c>
      <c r="GV770" s="4">
        <v>125</v>
      </c>
      <c r="GW770" s="4">
        <v>122</v>
      </c>
      <c r="GX770" s="4">
        <v>119</v>
      </c>
      <c r="GY770" s="4">
        <v>116</v>
      </c>
      <c r="GZ770" s="4">
        <v>113</v>
      </c>
      <c r="HA770" s="4">
        <v>110</v>
      </c>
      <c r="HB770" s="4">
        <v>107</v>
      </c>
      <c r="HC770" s="19">
        <v>10.4</v>
      </c>
      <c r="HD770" s="19">
        <v>11.1</v>
      </c>
      <c r="HE770" s="19">
        <v>9.8</v>
      </c>
      <c r="HF770" s="19">
        <v>10.1</v>
      </c>
      <c r="HG770" s="19">
        <v>12.8</v>
      </c>
      <c r="HH770" s="19">
        <v>13.6</v>
      </c>
      <c r="HI770" s="19">
        <v>17.8</v>
      </c>
      <c r="HJ770" s="19">
        <v>21.7</v>
      </c>
      <c r="HK770" s="19">
        <v>24.6</v>
      </c>
      <c r="HL770" s="19">
        <v>19.5</v>
      </c>
      <c r="HM770" s="19">
        <v>22.4</v>
      </c>
      <c r="HN770" s="19">
        <v>21.4</v>
      </c>
      <c r="HO770" s="19">
        <v>25.8</v>
      </c>
      <c r="HP770" s="19">
        <v>31.7</v>
      </c>
      <c r="HQ770" s="19">
        <v>30.7</v>
      </c>
      <c r="HR770" s="19">
        <v>29.3</v>
      </c>
      <c r="HS770" s="19">
        <v>28.3</v>
      </c>
      <c r="HT770" s="19">
        <v>27.3</v>
      </c>
      <c r="HU770" s="19">
        <v>26.3</v>
      </c>
      <c r="HV770" s="19">
        <v>41.7</v>
      </c>
      <c r="HW770" s="19">
        <v>40.7</v>
      </c>
      <c r="HX770" s="19">
        <v>39.7</v>
      </c>
      <c r="HY770" s="19">
        <v>38.7</v>
      </c>
      <c r="HZ770" s="19">
        <v>37.7</v>
      </c>
      <c r="IA770" s="19">
        <v>36.7</v>
      </c>
      <c r="IB770" s="19">
        <v>35.7</v>
      </c>
    </row>
    <row r="771">
      <c r="A771" s="2" t="s">
        <v>4223</v>
      </c>
      <c r="B771" s="2" t="s">
        <v>279</v>
      </c>
      <c r="C771" s="2" t="s">
        <v>2381</v>
      </c>
      <c r="D771" s="2" t="s">
        <v>281</v>
      </c>
      <c r="E771" s="2" t="s">
        <v>282</v>
      </c>
      <c r="F771" s="2" t="s">
        <v>4189</v>
      </c>
      <c r="G771" s="2" t="s">
        <v>4189</v>
      </c>
      <c r="H771" s="2" t="s">
        <v>4189</v>
      </c>
      <c r="I771" s="2" t="s">
        <v>345</v>
      </c>
      <c r="J771" s="2" t="s">
        <v>228</v>
      </c>
      <c r="K771" s="2" t="s">
        <v>300</v>
      </c>
      <c r="L771" s="3">
        <v>21.62</v>
      </c>
      <c r="M771" s="3">
        <v>22.7</v>
      </c>
      <c r="N771" s="3">
        <v>46.99</v>
      </c>
      <c r="O771" s="2" t="s">
        <v>230</v>
      </c>
      <c r="P771" s="2" t="s">
        <v>231</v>
      </c>
      <c r="Q771" s="2" t="s">
        <v>232</v>
      </c>
      <c r="R771" s="2" t="s">
        <v>233</v>
      </c>
      <c r="S771" s="2" t="s">
        <v>4224</v>
      </c>
      <c r="T771" s="2" t="s">
        <v>2765</v>
      </c>
      <c r="U771" s="2" t="s">
        <v>781</v>
      </c>
      <c r="V771" s="2" t="s">
        <v>236</v>
      </c>
      <c r="W771" s="2" t="s">
        <v>237</v>
      </c>
      <c r="X771" s="2" t="s">
        <v>620</v>
      </c>
      <c r="Y771" s="2" t="s">
        <v>238</v>
      </c>
      <c r="Z771" s="4">
        <v>544</v>
      </c>
      <c r="AA771" s="4">
        <f>=ROUNDDOWN(23.6521739130435,0)</f>
      </c>
      <c r="AB771" s="5">
        <v>23</v>
      </c>
      <c r="AC771" s="2" t="s">
        <v>233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233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233</v>
      </c>
      <c r="AW771" s="8" t="s">
        <v>233</v>
      </c>
      <c r="AX771" s="4" t="s">
        <v>233</v>
      </c>
      <c r="AY771" s="8" t="s">
        <v>233</v>
      </c>
      <c r="AZ771" s="7" t="s">
        <v>233</v>
      </c>
      <c r="BA771" s="7" t="s">
        <v>233</v>
      </c>
      <c r="BB771" s="7"/>
      <c r="BC771" s="4" t="s">
        <v>233</v>
      </c>
      <c r="BD771" s="8" t="s">
        <v>233</v>
      </c>
      <c r="BE771" s="4" t="s">
        <v>233</v>
      </c>
      <c r="BF771" s="8" t="s">
        <v>233</v>
      </c>
      <c r="BG771" s="7" t="s">
        <v>233</v>
      </c>
      <c r="BH771" s="7" t="s">
        <v>233</v>
      </c>
      <c r="BI771" s="7"/>
      <c r="BJ771" s="4">
        <v>147</v>
      </c>
      <c r="BK771" s="8">
        <v>3474.38</v>
      </c>
      <c r="BL771" s="2" t="s">
        <v>3636</v>
      </c>
      <c r="BM771" s="7"/>
      <c r="BN771" s="7"/>
      <c r="BO771" s="4"/>
      <c r="BP771" s="8"/>
      <c r="BQ771" s="4"/>
      <c r="BR771" s="8"/>
      <c r="BS771" s="7"/>
      <c r="BT771" s="7"/>
      <c r="BU771" s="2" t="s">
        <v>4193</v>
      </c>
      <c r="BV771" s="2" t="s">
        <v>233</v>
      </c>
      <c r="BW771" s="2" t="s">
        <v>233</v>
      </c>
      <c r="BX771" s="2" t="s">
        <v>241</v>
      </c>
      <c r="BY771" s="2" t="s">
        <v>242</v>
      </c>
      <c r="BZ771" s="2" t="s">
        <v>230</v>
      </c>
      <c r="CA771" s="2" t="s">
        <v>243</v>
      </c>
      <c r="CB771" s="2" t="s">
        <v>959</v>
      </c>
      <c r="CC771" s="2" t="s">
        <v>245</v>
      </c>
      <c r="CD771" s="2" t="s">
        <v>233</v>
      </c>
      <c r="CE771" s="4">
        <v>244</v>
      </c>
      <c r="CF771" s="4">
        <v>300</v>
      </c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>
        <v>608</v>
      </c>
      <c r="GD771" s="4">
        <v>570</v>
      </c>
      <c r="GE771" s="4">
        <v>539</v>
      </c>
      <c r="GF771" s="4">
        <v>503</v>
      </c>
      <c r="GG771" s="4">
        <v>437</v>
      </c>
      <c r="GH771" s="4">
        <v>410</v>
      </c>
      <c r="GI771" s="4">
        <v>371</v>
      </c>
      <c r="GJ771" s="4">
        <v>351</v>
      </c>
      <c r="GK771" s="4">
        <v>338</v>
      </c>
      <c r="GL771" s="4">
        <v>317</v>
      </c>
      <c r="GM771" s="4">
        <v>304</v>
      </c>
      <c r="GN771" s="4">
        <v>290</v>
      </c>
      <c r="GO771" s="4">
        <v>275</v>
      </c>
      <c r="GP771" s="4">
        <v>257</v>
      </c>
      <c r="GQ771" s="4">
        <v>249</v>
      </c>
      <c r="GR771" s="4">
        <v>239</v>
      </c>
      <c r="GS771" s="4">
        <v>230</v>
      </c>
      <c r="GT771" s="4">
        <v>221</v>
      </c>
      <c r="GU771" s="4">
        <v>212</v>
      </c>
      <c r="GV771" s="4">
        <v>206</v>
      </c>
      <c r="GW771" s="4">
        <v>200</v>
      </c>
      <c r="GX771" s="4">
        <v>194</v>
      </c>
      <c r="GY771" s="4">
        <v>188</v>
      </c>
      <c r="GZ771" s="4">
        <v>184</v>
      </c>
      <c r="HA771" s="4">
        <v>180</v>
      </c>
      <c r="HB771" s="4">
        <v>176</v>
      </c>
      <c r="HC771" s="19">
        <v>14.1</v>
      </c>
      <c r="HD771" s="19">
        <v>14.3</v>
      </c>
      <c r="HE771" s="19">
        <v>12.8</v>
      </c>
      <c r="HF771" s="19">
        <v>13.2</v>
      </c>
      <c r="HG771" s="19">
        <v>17.5</v>
      </c>
      <c r="HH771" s="19">
        <v>17.8</v>
      </c>
      <c r="HI771" s="19">
        <v>21.8</v>
      </c>
      <c r="HJ771" s="19">
        <v>23.4</v>
      </c>
      <c r="HK771" s="19">
        <v>21.1</v>
      </c>
      <c r="HL771" s="19">
        <v>21.1</v>
      </c>
      <c r="HM771" s="19">
        <v>21.7</v>
      </c>
      <c r="HN771" s="19">
        <v>22.3</v>
      </c>
      <c r="HO771" s="19">
        <v>25</v>
      </c>
      <c r="HP771" s="19">
        <v>28.6</v>
      </c>
      <c r="HQ771" s="19">
        <v>27.7</v>
      </c>
      <c r="HR771" s="19">
        <v>29.9</v>
      </c>
      <c r="HS771" s="19">
        <v>28.8</v>
      </c>
      <c r="HT771" s="19">
        <v>31.6</v>
      </c>
      <c r="HU771" s="19">
        <v>35.3</v>
      </c>
      <c r="HV771" s="19">
        <v>34.3</v>
      </c>
      <c r="HW771" s="19">
        <v>40</v>
      </c>
      <c r="HX771" s="19">
        <v>48.5</v>
      </c>
      <c r="HY771" s="19">
        <v>47</v>
      </c>
      <c r="HZ771" s="19">
        <v>46</v>
      </c>
      <c r="IA771" s="19">
        <v>45</v>
      </c>
      <c r="IB771" s="19">
        <v>44</v>
      </c>
    </row>
    <row r="772">
      <c r="A772" s="2" t="s">
        <v>4225</v>
      </c>
      <c r="B772" s="2" t="s">
        <v>279</v>
      </c>
      <c r="C772" s="2" t="s">
        <v>2381</v>
      </c>
      <c r="D772" s="2" t="s">
        <v>281</v>
      </c>
      <c r="E772" s="2" t="s">
        <v>282</v>
      </c>
      <c r="F772" s="2" t="s">
        <v>4189</v>
      </c>
      <c r="G772" s="2" t="s">
        <v>4189</v>
      </c>
      <c r="H772" s="2" t="s">
        <v>4189</v>
      </c>
      <c r="I772" s="2" t="s">
        <v>345</v>
      </c>
      <c r="J772" s="2" t="s">
        <v>247</v>
      </c>
      <c r="K772" s="2" t="s">
        <v>300</v>
      </c>
      <c r="L772" s="3">
        <v>23.04</v>
      </c>
      <c r="M772" s="3">
        <v>24.19</v>
      </c>
      <c r="N772" s="3">
        <v>47.99</v>
      </c>
      <c r="O772" s="2" t="s">
        <v>230</v>
      </c>
      <c r="P772" s="2" t="s">
        <v>231</v>
      </c>
      <c r="Q772" s="2" t="s">
        <v>232</v>
      </c>
      <c r="R772" s="2" t="s">
        <v>233</v>
      </c>
      <c r="S772" s="2" t="s">
        <v>4224</v>
      </c>
      <c r="T772" s="2" t="s">
        <v>2765</v>
      </c>
      <c r="U772" s="2" t="s">
        <v>781</v>
      </c>
      <c r="V772" s="2" t="s">
        <v>236</v>
      </c>
      <c r="W772" s="2" t="s">
        <v>237</v>
      </c>
      <c r="X772" s="2" t="s">
        <v>620</v>
      </c>
      <c r="Y772" s="2" t="s">
        <v>238</v>
      </c>
      <c r="Z772" s="4">
        <v>368</v>
      </c>
      <c r="AA772" s="4">
        <f>=ROUNDDOWN(18.4,0)</f>
      </c>
      <c r="AB772" s="5">
        <v>20</v>
      </c>
      <c r="AC772" s="2" t="s">
        <v>233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233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233</v>
      </c>
      <c r="AW772" s="8" t="s">
        <v>233</v>
      </c>
      <c r="AX772" s="4" t="s">
        <v>233</v>
      </c>
      <c r="AY772" s="8" t="s">
        <v>233</v>
      </c>
      <c r="AZ772" s="7" t="s">
        <v>233</v>
      </c>
      <c r="BA772" s="7" t="s">
        <v>233</v>
      </c>
      <c r="BB772" s="7"/>
      <c r="BC772" s="4" t="s">
        <v>233</v>
      </c>
      <c r="BD772" s="8" t="s">
        <v>233</v>
      </c>
      <c r="BE772" s="4" t="s">
        <v>233</v>
      </c>
      <c r="BF772" s="8" t="s">
        <v>233</v>
      </c>
      <c r="BG772" s="7" t="s">
        <v>233</v>
      </c>
      <c r="BH772" s="7" t="s">
        <v>233</v>
      </c>
      <c r="BI772" s="7"/>
      <c r="BJ772" s="4">
        <v>184</v>
      </c>
      <c r="BK772" s="8">
        <v>4595.29</v>
      </c>
      <c r="BL772" s="2" t="s">
        <v>4217</v>
      </c>
      <c r="BM772" s="7"/>
      <c r="BN772" s="7"/>
      <c r="BO772" s="4"/>
      <c r="BP772" s="8"/>
      <c r="BQ772" s="4"/>
      <c r="BR772" s="8"/>
      <c r="BS772" s="7"/>
      <c r="BT772" s="7"/>
      <c r="BU772" s="2" t="s">
        <v>4193</v>
      </c>
      <c r="BV772" s="2" t="s">
        <v>233</v>
      </c>
      <c r="BW772" s="2" t="s">
        <v>233</v>
      </c>
      <c r="BX772" s="2" t="s">
        <v>241</v>
      </c>
      <c r="BY772" s="2" t="s">
        <v>242</v>
      </c>
      <c r="BZ772" s="2" t="s">
        <v>230</v>
      </c>
      <c r="CA772" s="2" t="s">
        <v>4218</v>
      </c>
      <c r="CB772" s="2" t="s">
        <v>4226</v>
      </c>
      <c r="CC772" s="2" t="s">
        <v>245</v>
      </c>
      <c r="CD772" s="2" t="s">
        <v>233</v>
      </c>
      <c r="CE772" s="4">
        <v>98</v>
      </c>
      <c r="CF772" s="4">
        <v>270</v>
      </c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>
        <v>394</v>
      </c>
      <c r="GD772" s="4">
        <v>369</v>
      </c>
      <c r="GE772" s="4">
        <v>340</v>
      </c>
      <c r="GF772" s="4">
        <v>305</v>
      </c>
      <c r="GG772" s="4">
        <v>239</v>
      </c>
      <c r="GH772" s="4">
        <v>213</v>
      </c>
      <c r="GI772" s="4">
        <v>178</v>
      </c>
      <c r="GJ772" s="4">
        <v>158</v>
      </c>
      <c r="GK772" s="4">
        <v>147</v>
      </c>
      <c r="GL772" s="4">
        <v>139</v>
      </c>
      <c r="GM772" s="4">
        <v>134</v>
      </c>
      <c r="GN772" s="4">
        <v>129</v>
      </c>
      <c r="GO772" s="4">
        <v>123</v>
      </c>
      <c r="GP772" s="4">
        <v>108</v>
      </c>
      <c r="GQ772" s="4">
        <v>105</v>
      </c>
      <c r="GR772" s="4">
        <v>99</v>
      </c>
      <c r="GS772" s="4">
        <v>93</v>
      </c>
      <c r="GT772" s="4">
        <v>87</v>
      </c>
      <c r="GU772" s="4">
        <v>81</v>
      </c>
      <c r="GV772" s="4">
        <v>75</v>
      </c>
      <c r="GW772" s="4">
        <v>69</v>
      </c>
      <c r="GX772" s="4">
        <v>63</v>
      </c>
      <c r="GY772" s="4">
        <v>57</v>
      </c>
      <c r="GZ772" s="4">
        <v>52</v>
      </c>
      <c r="HA772" s="4">
        <v>47</v>
      </c>
      <c r="HB772" s="4">
        <v>41</v>
      </c>
      <c r="HC772" s="19">
        <v>10.1</v>
      </c>
      <c r="HD772" s="19">
        <v>9.5</v>
      </c>
      <c r="HE772" s="19">
        <v>8.5</v>
      </c>
      <c r="HF772" s="19">
        <v>8.2</v>
      </c>
      <c r="HG772" s="19">
        <v>10.4</v>
      </c>
      <c r="HH772" s="19">
        <v>11.8</v>
      </c>
      <c r="HI772" s="19">
        <v>16.2</v>
      </c>
      <c r="HJ772" s="19">
        <v>22.6</v>
      </c>
      <c r="HK772" s="19">
        <v>24.5</v>
      </c>
      <c r="HL772" s="19">
        <v>17.4</v>
      </c>
      <c r="HM772" s="19">
        <v>19.1</v>
      </c>
      <c r="HN772" s="19">
        <v>16.1</v>
      </c>
      <c r="HO772" s="19">
        <v>15.4</v>
      </c>
      <c r="HP772" s="19">
        <v>21.6</v>
      </c>
      <c r="HQ772" s="19">
        <v>17.5</v>
      </c>
      <c r="HR772" s="19">
        <v>16.5</v>
      </c>
      <c r="HS772" s="19">
        <v>15.5</v>
      </c>
      <c r="HT772" s="19">
        <v>14.5</v>
      </c>
      <c r="HU772" s="19">
        <v>13.5</v>
      </c>
      <c r="HV772" s="19">
        <v>12.5</v>
      </c>
      <c r="HW772" s="19">
        <v>11.5</v>
      </c>
      <c r="HX772" s="19">
        <v>10.5</v>
      </c>
      <c r="HY772" s="19">
        <v>9.5</v>
      </c>
      <c r="HZ772" s="19">
        <v>8.7</v>
      </c>
      <c r="IA772" s="19">
        <v>7.8</v>
      </c>
      <c r="IB772" s="19">
        <v>6.8</v>
      </c>
    </row>
    <row r="773">
      <c r="A773" s="2" t="s">
        <v>4227</v>
      </c>
      <c r="B773" s="2" t="s">
        <v>279</v>
      </c>
      <c r="C773" s="2" t="s">
        <v>2381</v>
      </c>
      <c r="D773" s="2" t="s">
        <v>281</v>
      </c>
      <c r="E773" s="2" t="s">
        <v>282</v>
      </c>
      <c r="F773" s="2" t="s">
        <v>4189</v>
      </c>
      <c r="G773" s="2" t="s">
        <v>4189</v>
      </c>
      <c r="H773" s="2" t="s">
        <v>4189</v>
      </c>
      <c r="I773" s="2" t="s">
        <v>345</v>
      </c>
      <c r="J773" s="2" t="s">
        <v>252</v>
      </c>
      <c r="K773" s="2" t="s">
        <v>300</v>
      </c>
      <c r="L773" s="3">
        <v>25.3</v>
      </c>
      <c r="M773" s="3">
        <v>26.56</v>
      </c>
      <c r="N773" s="3">
        <v>54.99</v>
      </c>
      <c r="O773" s="2" t="s">
        <v>230</v>
      </c>
      <c r="P773" s="2" t="s">
        <v>231</v>
      </c>
      <c r="Q773" s="2" t="s">
        <v>232</v>
      </c>
      <c r="R773" s="2" t="s">
        <v>233</v>
      </c>
      <c r="S773" s="2" t="s">
        <v>4224</v>
      </c>
      <c r="T773" s="2" t="s">
        <v>2765</v>
      </c>
      <c r="U773" s="2" t="s">
        <v>287</v>
      </c>
      <c r="V773" s="2" t="s">
        <v>236</v>
      </c>
      <c r="W773" s="2" t="s">
        <v>237</v>
      </c>
      <c r="X773" s="2" t="s">
        <v>620</v>
      </c>
      <c r="Y773" s="2" t="s">
        <v>238</v>
      </c>
      <c r="Z773" s="4">
        <v>464</v>
      </c>
      <c r="AA773" s="4">
        <f>=ROUNDDOWN(22.0952380952381,0)</f>
      </c>
      <c r="AB773" s="5">
        <v>21</v>
      </c>
      <c r="AC773" s="2" t="s">
        <v>233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233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233</v>
      </c>
      <c r="AW773" s="8" t="s">
        <v>233</v>
      </c>
      <c r="AX773" s="4" t="s">
        <v>233</v>
      </c>
      <c r="AY773" s="8" t="s">
        <v>233</v>
      </c>
      <c r="AZ773" s="7" t="s">
        <v>233</v>
      </c>
      <c r="BA773" s="7" t="s">
        <v>233</v>
      </c>
      <c r="BB773" s="7"/>
      <c r="BC773" s="4" t="s">
        <v>233</v>
      </c>
      <c r="BD773" s="8" t="s">
        <v>233</v>
      </c>
      <c r="BE773" s="4" t="s">
        <v>233</v>
      </c>
      <c r="BF773" s="8" t="s">
        <v>233</v>
      </c>
      <c r="BG773" s="7" t="s">
        <v>233</v>
      </c>
      <c r="BH773" s="7" t="s">
        <v>233</v>
      </c>
      <c r="BI773" s="7"/>
      <c r="BJ773" s="4">
        <v>181</v>
      </c>
      <c r="BK773" s="8">
        <v>5014.63</v>
      </c>
      <c r="BL773" s="2" t="s">
        <v>1801</v>
      </c>
      <c r="BM773" s="7"/>
      <c r="BN773" s="7"/>
      <c r="BO773" s="4"/>
      <c r="BP773" s="8"/>
      <c r="BQ773" s="4"/>
      <c r="BR773" s="8"/>
      <c r="BS773" s="7"/>
      <c r="BT773" s="7"/>
      <c r="BU773" s="2" t="s">
        <v>4193</v>
      </c>
      <c r="BV773" s="2" t="s">
        <v>233</v>
      </c>
      <c r="BW773" s="2" t="s">
        <v>233</v>
      </c>
      <c r="BX773" s="2" t="s">
        <v>241</v>
      </c>
      <c r="BY773" s="2" t="s">
        <v>242</v>
      </c>
      <c r="BZ773" s="2" t="s">
        <v>230</v>
      </c>
      <c r="CA773" s="2" t="s">
        <v>243</v>
      </c>
      <c r="CB773" s="2" t="s">
        <v>4228</v>
      </c>
      <c r="CC773" s="2" t="s">
        <v>245</v>
      </c>
      <c r="CD773" s="2" t="s">
        <v>233</v>
      </c>
      <c r="CE773" s="4">
        <v>184</v>
      </c>
      <c r="CF773" s="4">
        <v>280</v>
      </c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>
        <v>508</v>
      </c>
      <c r="GD773" s="4">
        <v>472</v>
      </c>
      <c r="GE773" s="4">
        <v>449</v>
      </c>
      <c r="GF773" s="4">
        <v>422</v>
      </c>
      <c r="GG773" s="4">
        <v>371</v>
      </c>
      <c r="GH773" s="4">
        <v>351</v>
      </c>
      <c r="GI773" s="4">
        <v>315</v>
      </c>
      <c r="GJ773" s="4">
        <v>296</v>
      </c>
      <c r="GK773" s="4">
        <v>283</v>
      </c>
      <c r="GL773" s="4">
        <v>267</v>
      </c>
      <c r="GM773" s="4">
        <v>256</v>
      </c>
      <c r="GN773" s="4">
        <v>244</v>
      </c>
      <c r="GO773" s="4">
        <v>233</v>
      </c>
      <c r="GP773" s="4">
        <v>220</v>
      </c>
      <c r="GQ773" s="4">
        <v>212</v>
      </c>
      <c r="GR773" s="4">
        <v>203</v>
      </c>
      <c r="GS773" s="4">
        <v>196</v>
      </c>
      <c r="GT773" s="4">
        <v>189</v>
      </c>
      <c r="GU773" s="4">
        <v>182</v>
      </c>
      <c r="GV773" s="4">
        <v>176</v>
      </c>
      <c r="GW773" s="4">
        <v>170</v>
      </c>
      <c r="GX773" s="4">
        <v>164</v>
      </c>
      <c r="GY773" s="4">
        <v>158</v>
      </c>
      <c r="GZ773" s="4">
        <v>153</v>
      </c>
      <c r="HA773" s="4">
        <v>148</v>
      </c>
      <c r="HB773" s="4">
        <v>143</v>
      </c>
      <c r="HC773" s="19">
        <v>14.9</v>
      </c>
      <c r="HD773" s="19">
        <v>15.7</v>
      </c>
      <c r="HE773" s="19">
        <v>13.2</v>
      </c>
      <c r="HF773" s="19">
        <v>13.2</v>
      </c>
      <c r="HG773" s="19">
        <v>16.9</v>
      </c>
      <c r="HH773" s="19">
        <v>16.7</v>
      </c>
      <c r="HI773" s="19">
        <v>21</v>
      </c>
      <c r="HJ773" s="19">
        <v>22.8</v>
      </c>
      <c r="HK773" s="19">
        <v>23.6</v>
      </c>
      <c r="HL773" s="19">
        <v>22.3</v>
      </c>
      <c r="HM773" s="19">
        <v>23.3</v>
      </c>
      <c r="HN773" s="19">
        <v>24.4</v>
      </c>
      <c r="HO773" s="19">
        <v>25.9</v>
      </c>
      <c r="HP773" s="19">
        <v>27.5</v>
      </c>
      <c r="HQ773" s="19">
        <v>26.5</v>
      </c>
      <c r="HR773" s="19">
        <v>29</v>
      </c>
      <c r="HS773" s="19">
        <v>32.7</v>
      </c>
      <c r="HT773" s="19">
        <v>31.5</v>
      </c>
      <c r="HU773" s="19">
        <v>30.3</v>
      </c>
      <c r="HV773" s="19">
        <v>29.3</v>
      </c>
      <c r="HW773" s="19">
        <v>28.3</v>
      </c>
      <c r="HX773" s="19">
        <v>32.8</v>
      </c>
      <c r="HY773" s="19">
        <v>31.6</v>
      </c>
      <c r="HZ773" s="19">
        <v>30.6</v>
      </c>
      <c r="IA773" s="19">
        <v>29.6</v>
      </c>
      <c r="IB773" s="19">
        <v>28.6</v>
      </c>
    </row>
    <row r="774">
      <c r="A774" s="2" t="s">
        <v>4229</v>
      </c>
      <c r="B774" s="2" t="s">
        <v>279</v>
      </c>
      <c r="C774" s="2" t="s">
        <v>2381</v>
      </c>
      <c r="D774" s="2" t="s">
        <v>281</v>
      </c>
      <c r="E774" s="2" t="s">
        <v>282</v>
      </c>
      <c r="F774" s="2" t="s">
        <v>4189</v>
      </c>
      <c r="G774" s="2" t="s">
        <v>4189</v>
      </c>
      <c r="H774" s="2" t="s">
        <v>4189</v>
      </c>
      <c r="I774" s="2" t="s">
        <v>345</v>
      </c>
      <c r="J774" s="2" t="s">
        <v>336</v>
      </c>
      <c r="K774" s="2" t="s">
        <v>300</v>
      </c>
      <c r="L774" s="3">
        <v>28.2</v>
      </c>
      <c r="M774" s="3">
        <v>29.61</v>
      </c>
      <c r="N774" s="3">
        <v>59.99</v>
      </c>
      <c r="O774" s="2" t="s">
        <v>230</v>
      </c>
      <c r="P774" s="2" t="s">
        <v>1903</v>
      </c>
      <c r="Q774" s="2" t="s">
        <v>232</v>
      </c>
      <c r="R774" s="2" t="s">
        <v>233</v>
      </c>
      <c r="S774" s="2" t="s">
        <v>4224</v>
      </c>
      <c r="T774" s="2" t="s">
        <v>2765</v>
      </c>
      <c r="U774" s="2" t="s">
        <v>287</v>
      </c>
      <c r="V774" s="2" t="s">
        <v>236</v>
      </c>
      <c r="W774" s="2" t="s">
        <v>237</v>
      </c>
      <c r="X774" s="2" t="s">
        <v>620</v>
      </c>
      <c r="Y774" s="2" t="s">
        <v>238</v>
      </c>
      <c r="Z774" s="4">
        <v>1876</v>
      </c>
      <c r="AA774" s="4">
        <f>=ROUNDDOWN(33.5,0)</f>
      </c>
      <c r="AB774" s="5">
        <v>56</v>
      </c>
      <c r="AC774" s="2" t="s">
        <v>168</v>
      </c>
      <c r="AD774" s="4">
        <v>340</v>
      </c>
      <c r="AE774" s="4">
        <v>340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233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233</v>
      </c>
      <c r="AW774" s="8" t="s">
        <v>233</v>
      </c>
      <c r="AX774" s="4" t="s">
        <v>233</v>
      </c>
      <c r="AY774" s="8" t="s">
        <v>233</v>
      </c>
      <c r="AZ774" s="7" t="s">
        <v>233</v>
      </c>
      <c r="BA774" s="7" t="s">
        <v>233</v>
      </c>
      <c r="BB774" s="7"/>
      <c r="BC774" s="4" t="s">
        <v>233</v>
      </c>
      <c r="BD774" s="8" t="s">
        <v>233</v>
      </c>
      <c r="BE774" s="4" t="s">
        <v>233</v>
      </c>
      <c r="BF774" s="8" t="s">
        <v>233</v>
      </c>
      <c r="BG774" s="7" t="s">
        <v>233</v>
      </c>
      <c r="BH774" s="7" t="s">
        <v>233</v>
      </c>
      <c r="BI774" s="7"/>
      <c r="BJ774" s="4">
        <v>195</v>
      </c>
      <c r="BK774" s="8">
        <v>6047.71</v>
      </c>
      <c r="BL774" s="2" t="s">
        <v>4230</v>
      </c>
      <c r="BM774" s="7"/>
      <c r="BN774" s="7"/>
      <c r="BO774" s="4"/>
      <c r="BP774" s="8"/>
      <c r="BQ774" s="4"/>
      <c r="BR774" s="8"/>
      <c r="BS774" s="7"/>
      <c r="BT774" s="7"/>
      <c r="BU774" s="2" t="s">
        <v>4193</v>
      </c>
      <c r="BV774" s="2" t="s">
        <v>233</v>
      </c>
      <c r="BW774" s="2" t="s">
        <v>233</v>
      </c>
      <c r="BX774" s="2" t="s">
        <v>241</v>
      </c>
      <c r="BY774" s="2" t="s">
        <v>242</v>
      </c>
      <c r="BZ774" s="2" t="s">
        <v>230</v>
      </c>
      <c r="CA774" s="2" t="s">
        <v>243</v>
      </c>
      <c r="CB774" s="2" t="s">
        <v>1062</v>
      </c>
      <c r="CC774" s="2" t="s">
        <v>245</v>
      </c>
      <c r="CD774" s="2" t="s">
        <v>233</v>
      </c>
      <c r="CE774" s="4">
        <v>920</v>
      </c>
      <c r="CF774" s="4">
        <v>506</v>
      </c>
      <c r="CG774" s="4"/>
      <c r="CH774" s="4"/>
      <c r="CI774" s="4"/>
      <c r="CJ774" s="4"/>
      <c r="CK774" s="4"/>
      <c r="CL774" s="4">
        <v>450</v>
      </c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>
        <v>340</v>
      </c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>
        <v>1951</v>
      </c>
      <c r="GD774" s="4">
        <v>1646</v>
      </c>
      <c r="GE774" s="4">
        <v>1539</v>
      </c>
      <c r="GF774" s="4">
        <v>1411</v>
      </c>
      <c r="GG774" s="4">
        <v>1202</v>
      </c>
      <c r="GH774" s="4">
        <v>1087</v>
      </c>
      <c r="GI774" s="4">
        <v>941</v>
      </c>
      <c r="GJ774" s="4">
        <v>1195</v>
      </c>
      <c r="GK774" s="4">
        <v>1143</v>
      </c>
      <c r="GL774" s="4">
        <v>1085</v>
      </c>
      <c r="GM774" s="4">
        <v>1045</v>
      </c>
      <c r="GN774" s="4">
        <v>1002</v>
      </c>
      <c r="GO774" s="4">
        <v>961</v>
      </c>
      <c r="GP774" s="4">
        <v>917</v>
      </c>
      <c r="GQ774" s="4">
        <v>888</v>
      </c>
      <c r="GR774" s="4">
        <v>856</v>
      </c>
      <c r="GS774" s="4">
        <v>832</v>
      </c>
      <c r="GT774" s="4">
        <v>808</v>
      </c>
      <c r="GU774" s="4">
        <v>784</v>
      </c>
      <c r="GV774" s="4">
        <v>767</v>
      </c>
      <c r="GW774" s="4">
        <v>750</v>
      </c>
      <c r="GX774" s="4">
        <v>733</v>
      </c>
      <c r="GY774" s="4">
        <v>716</v>
      </c>
      <c r="GZ774" s="4">
        <v>702</v>
      </c>
      <c r="HA774" s="4">
        <v>688</v>
      </c>
      <c r="HB774" s="4">
        <v>674</v>
      </c>
      <c r="HC774" s="19">
        <v>10.4</v>
      </c>
      <c r="HD774" s="19">
        <v>11.8</v>
      </c>
      <c r="HE774" s="19">
        <v>10.3</v>
      </c>
      <c r="HF774" s="19">
        <v>10.2</v>
      </c>
      <c r="HG774" s="19">
        <v>12</v>
      </c>
      <c r="HH774" s="19">
        <v>12.6</v>
      </c>
      <c r="HI774" s="19">
        <v>15.9</v>
      </c>
      <c r="HJ774" s="19">
        <v>24.9</v>
      </c>
      <c r="HK774" s="19">
        <v>24.8</v>
      </c>
      <c r="HL774" s="19">
        <v>25.8</v>
      </c>
      <c r="HM774" s="19">
        <v>26.8</v>
      </c>
      <c r="HN774" s="19">
        <v>27.8</v>
      </c>
      <c r="HO774" s="19">
        <v>30</v>
      </c>
      <c r="HP774" s="19">
        <v>34</v>
      </c>
      <c r="HQ774" s="19">
        <v>34.2</v>
      </c>
      <c r="HR774" s="19">
        <v>38.9</v>
      </c>
      <c r="HS774" s="19">
        <v>41.6</v>
      </c>
      <c r="HT774" s="19">
        <v>42.5</v>
      </c>
      <c r="HU774" s="19">
        <v>46.1</v>
      </c>
      <c r="HV774" s="19">
        <v>47.9</v>
      </c>
      <c r="HW774" s="19">
        <v>46.9</v>
      </c>
      <c r="HX774" s="19">
        <v>48.9</v>
      </c>
      <c r="HY774" s="19">
        <v>51.1</v>
      </c>
      <c r="HZ774" s="19">
        <v>50.1</v>
      </c>
      <c r="IA774" s="19">
        <v>49.1</v>
      </c>
      <c r="IB774" s="19">
        <v>48.1</v>
      </c>
    </row>
    <row r="775">
      <c r="A775" s="2" t="s">
        <v>4231</v>
      </c>
      <c r="B775" s="2" t="s">
        <v>279</v>
      </c>
      <c r="C775" s="2" t="s">
        <v>2381</v>
      </c>
      <c r="D775" s="2" t="s">
        <v>281</v>
      </c>
      <c r="E775" s="2" t="s">
        <v>282</v>
      </c>
      <c r="F775" s="2" t="s">
        <v>4189</v>
      </c>
      <c r="G775" s="2" t="s">
        <v>4189</v>
      </c>
      <c r="H775" s="2" t="s">
        <v>4189</v>
      </c>
      <c r="I775" s="2" t="s">
        <v>345</v>
      </c>
      <c r="J775" s="2" t="s">
        <v>285</v>
      </c>
      <c r="K775" s="2" t="s">
        <v>300</v>
      </c>
      <c r="L775" s="3">
        <v>31.85</v>
      </c>
      <c r="M775" s="3">
        <v>33.44</v>
      </c>
      <c r="N775" s="3">
        <v>64.99</v>
      </c>
      <c r="O775" s="2" t="s">
        <v>230</v>
      </c>
      <c r="P775" s="2" t="s">
        <v>586</v>
      </c>
      <c r="Q775" s="2" t="s">
        <v>232</v>
      </c>
      <c r="R775" s="2" t="s">
        <v>233</v>
      </c>
      <c r="S775" s="2" t="s">
        <v>4224</v>
      </c>
      <c r="T775" s="2" t="s">
        <v>2765</v>
      </c>
      <c r="U775" s="2" t="s">
        <v>287</v>
      </c>
      <c r="V775" s="2" t="s">
        <v>236</v>
      </c>
      <c r="W775" s="2" t="s">
        <v>237</v>
      </c>
      <c r="X775" s="2" t="s">
        <v>620</v>
      </c>
      <c r="Y775" s="2" t="s">
        <v>238</v>
      </c>
      <c r="Z775" s="4">
        <v>520</v>
      </c>
      <c r="AA775" s="4">
        <f>=ROUNDDOWN(26,0)</f>
      </c>
      <c r="AB775" s="5">
        <v>20</v>
      </c>
      <c r="AC775" s="2" t="s">
        <v>233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233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233</v>
      </c>
      <c r="AW775" s="8" t="s">
        <v>233</v>
      </c>
      <c r="AX775" s="4" t="s">
        <v>233</v>
      </c>
      <c r="AY775" s="8" t="s">
        <v>233</v>
      </c>
      <c r="AZ775" s="7" t="s">
        <v>233</v>
      </c>
      <c r="BA775" s="7" t="s">
        <v>233</v>
      </c>
      <c r="BB775" s="7"/>
      <c r="BC775" s="4" t="s">
        <v>233</v>
      </c>
      <c r="BD775" s="8" t="s">
        <v>233</v>
      </c>
      <c r="BE775" s="4" t="s">
        <v>233</v>
      </c>
      <c r="BF775" s="8" t="s">
        <v>233</v>
      </c>
      <c r="BG775" s="7" t="s">
        <v>233</v>
      </c>
      <c r="BH775" s="7" t="s">
        <v>233</v>
      </c>
      <c r="BI775" s="7"/>
      <c r="BJ775" s="4">
        <v>86</v>
      </c>
      <c r="BK775" s="8">
        <v>2967.06</v>
      </c>
      <c r="BL775" s="2" t="s">
        <v>4232</v>
      </c>
      <c r="BM775" s="7"/>
      <c r="BN775" s="7"/>
      <c r="BO775" s="4"/>
      <c r="BP775" s="8"/>
      <c r="BQ775" s="4"/>
      <c r="BR775" s="8"/>
      <c r="BS775" s="7"/>
      <c r="BT775" s="7"/>
      <c r="BU775" s="2" t="s">
        <v>4193</v>
      </c>
      <c r="BV775" s="2" t="s">
        <v>233</v>
      </c>
      <c r="BW775" s="2" t="s">
        <v>233</v>
      </c>
      <c r="BX775" s="2" t="s">
        <v>241</v>
      </c>
      <c r="BY775" s="2" t="s">
        <v>242</v>
      </c>
      <c r="BZ775" s="2" t="s">
        <v>230</v>
      </c>
      <c r="CA775" s="2" t="s">
        <v>4218</v>
      </c>
      <c r="CB775" s="2" t="s">
        <v>2581</v>
      </c>
      <c r="CC775" s="2" t="s">
        <v>245</v>
      </c>
      <c r="CD775" s="2" t="s">
        <v>233</v>
      </c>
      <c r="CE775" s="4">
        <v>261</v>
      </c>
      <c r="CF775" s="4">
        <v>149</v>
      </c>
      <c r="CG775" s="4"/>
      <c r="CH775" s="4"/>
      <c r="CI775" s="4"/>
      <c r="CJ775" s="4"/>
      <c r="CK775" s="4"/>
      <c r="CL775" s="4">
        <v>110</v>
      </c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>
        <v>542</v>
      </c>
      <c r="GD775" s="4">
        <v>453</v>
      </c>
      <c r="GE775" s="4">
        <v>425</v>
      </c>
      <c r="GF775" s="4">
        <v>392</v>
      </c>
      <c r="GG775" s="4">
        <v>337</v>
      </c>
      <c r="GH775" s="4">
        <v>313</v>
      </c>
      <c r="GI775" s="4">
        <v>279</v>
      </c>
      <c r="GJ775" s="4">
        <v>261</v>
      </c>
      <c r="GK775" s="4">
        <v>250</v>
      </c>
      <c r="GL775" s="4">
        <v>235</v>
      </c>
      <c r="GM775" s="4">
        <v>225</v>
      </c>
      <c r="GN775" s="4">
        <v>214</v>
      </c>
      <c r="GO775" s="4">
        <v>203</v>
      </c>
      <c r="GP775" s="4">
        <v>191</v>
      </c>
      <c r="GQ775" s="4">
        <v>183</v>
      </c>
      <c r="GR775" s="4">
        <v>175</v>
      </c>
      <c r="GS775" s="4">
        <v>169</v>
      </c>
      <c r="GT775" s="4">
        <v>163</v>
      </c>
      <c r="GU775" s="4">
        <v>157</v>
      </c>
      <c r="GV775" s="4">
        <v>152</v>
      </c>
      <c r="GW775" s="4">
        <v>147</v>
      </c>
      <c r="GX775" s="4">
        <v>142</v>
      </c>
      <c r="GY775" s="4">
        <v>137</v>
      </c>
      <c r="GZ775" s="4">
        <v>133</v>
      </c>
      <c r="HA775" s="4">
        <v>129</v>
      </c>
      <c r="HB775" s="4">
        <v>125</v>
      </c>
      <c r="HC775" s="19">
        <v>10.6</v>
      </c>
      <c r="HD775" s="19">
        <v>12.9</v>
      </c>
      <c r="HE775" s="19">
        <v>11.8</v>
      </c>
      <c r="HF775" s="19">
        <v>11.9</v>
      </c>
      <c r="HG775" s="19">
        <v>15.3</v>
      </c>
      <c r="HH775" s="19">
        <v>15.7</v>
      </c>
      <c r="HI775" s="19">
        <v>19.9</v>
      </c>
      <c r="HJ775" s="19">
        <v>21.8</v>
      </c>
      <c r="HK775" s="19">
        <v>20.8</v>
      </c>
      <c r="HL775" s="19">
        <v>21.4</v>
      </c>
      <c r="HM775" s="19">
        <v>22.5</v>
      </c>
      <c r="HN775" s="19">
        <v>21.4</v>
      </c>
      <c r="HO775" s="19">
        <v>25.4</v>
      </c>
      <c r="HP775" s="19">
        <v>27.3</v>
      </c>
      <c r="HQ775" s="19">
        <v>30.5</v>
      </c>
      <c r="HR775" s="19">
        <v>29.2</v>
      </c>
      <c r="HS775" s="19">
        <v>28.2</v>
      </c>
      <c r="HT775" s="19">
        <v>32.6</v>
      </c>
      <c r="HU775" s="19">
        <v>31.4</v>
      </c>
      <c r="HV775" s="19">
        <v>30.4</v>
      </c>
      <c r="HW775" s="19">
        <v>36.8</v>
      </c>
      <c r="HX775" s="19">
        <v>35.5</v>
      </c>
      <c r="HY775" s="19">
        <v>34.3</v>
      </c>
      <c r="HZ775" s="19">
        <v>33.3</v>
      </c>
      <c r="IA775" s="19">
        <v>32.3</v>
      </c>
      <c r="IB775" s="19">
        <v>31.3</v>
      </c>
    </row>
    <row r="776">
      <c r="A776" s="2" t="s">
        <v>4233</v>
      </c>
      <c r="B776" s="2" t="s">
        <v>279</v>
      </c>
      <c r="C776" s="2" t="s">
        <v>2381</v>
      </c>
      <c r="D776" s="2" t="s">
        <v>281</v>
      </c>
      <c r="E776" s="2" t="s">
        <v>282</v>
      </c>
      <c r="F776" s="2" t="s">
        <v>4189</v>
      </c>
      <c r="G776" s="2" t="s">
        <v>4189</v>
      </c>
      <c r="H776" s="2" t="s">
        <v>4189</v>
      </c>
      <c r="I776" s="2" t="s">
        <v>345</v>
      </c>
      <c r="J776" s="2" t="s">
        <v>228</v>
      </c>
      <c r="K776" s="2" t="s">
        <v>2490</v>
      </c>
      <c r="L776" s="3">
        <v>24</v>
      </c>
      <c r="M776" s="3">
        <v>25.2</v>
      </c>
      <c r="N776" s="3">
        <v>49.99</v>
      </c>
      <c r="O776" s="2" t="s">
        <v>230</v>
      </c>
      <c r="P776" s="2" t="s">
        <v>231</v>
      </c>
      <c r="Q776" s="2" t="s">
        <v>232</v>
      </c>
      <c r="R776" s="2" t="s">
        <v>233</v>
      </c>
      <c r="S776" s="2" t="s">
        <v>4234</v>
      </c>
      <c r="T776" s="2" t="s">
        <v>2765</v>
      </c>
      <c r="U776" s="2" t="s">
        <v>781</v>
      </c>
      <c r="V776" s="2" t="s">
        <v>782</v>
      </c>
      <c r="W776" s="2" t="s">
        <v>237</v>
      </c>
      <c r="X776" s="2" t="s">
        <v>620</v>
      </c>
      <c r="Y776" s="2" t="s">
        <v>1937</v>
      </c>
      <c r="Z776" s="4">
        <v>211</v>
      </c>
      <c r="AA776" s="4">
        <f>=ROUNDDOWN(42.2,0)</f>
      </c>
      <c r="AB776" s="5">
        <v>5</v>
      </c>
      <c r="AC776" s="2" t="s">
        <v>233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233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233</v>
      </c>
      <c r="AW776" s="8" t="s">
        <v>233</v>
      </c>
      <c r="AX776" s="4" t="s">
        <v>233</v>
      </c>
      <c r="AY776" s="8" t="s">
        <v>233</v>
      </c>
      <c r="AZ776" s="7" t="s">
        <v>233</v>
      </c>
      <c r="BA776" s="7" t="s">
        <v>233</v>
      </c>
      <c r="BB776" s="7"/>
      <c r="BC776" s="4" t="s">
        <v>233</v>
      </c>
      <c r="BD776" s="8" t="s">
        <v>233</v>
      </c>
      <c r="BE776" s="4" t="s">
        <v>233</v>
      </c>
      <c r="BF776" s="8" t="s">
        <v>233</v>
      </c>
      <c r="BG776" s="7" t="s">
        <v>233</v>
      </c>
      <c r="BH776" s="7" t="s">
        <v>233</v>
      </c>
      <c r="BI776" s="7"/>
      <c r="BJ776" s="4">
        <v>12</v>
      </c>
      <c r="BK776" s="8">
        <v>313.64</v>
      </c>
      <c r="BL776" s="2" t="s">
        <v>981</v>
      </c>
      <c r="BM776" s="7"/>
      <c r="BN776" s="7"/>
      <c r="BO776" s="4"/>
      <c r="BP776" s="8"/>
      <c r="BQ776" s="4"/>
      <c r="BR776" s="8"/>
      <c r="BS776" s="7"/>
      <c r="BT776" s="7"/>
      <c r="BU776" s="2" t="s">
        <v>4193</v>
      </c>
      <c r="BV776" s="2" t="s">
        <v>233</v>
      </c>
      <c r="BW776" s="2" t="s">
        <v>233</v>
      </c>
      <c r="BX776" s="2" t="s">
        <v>241</v>
      </c>
      <c r="BY776" s="2" t="s">
        <v>242</v>
      </c>
      <c r="BZ776" s="2" t="s">
        <v>230</v>
      </c>
      <c r="CA776" s="2" t="s">
        <v>4209</v>
      </c>
      <c r="CB776" s="2" t="s">
        <v>589</v>
      </c>
      <c r="CC776" s="2" t="s">
        <v>245</v>
      </c>
      <c r="CD776" s="2" t="s">
        <v>233</v>
      </c>
      <c r="CE776" s="4">
        <v>133</v>
      </c>
      <c r="CF776" s="4">
        <v>78</v>
      </c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>
        <v>214</v>
      </c>
      <c r="GD776" s="4">
        <v>208</v>
      </c>
      <c r="GE776" s="4">
        <v>201</v>
      </c>
      <c r="GF776" s="4">
        <v>192</v>
      </c>
      <c r="GG776" s="4">
        <v>175</v>
      </c>
      <c r="GH776" s="4">
        <v>169</v>
      </c>
      <c r="GI776" s="4">
        <v>160</v>
      </c>
      <c r="GJ776" s="4">
        <v>156</v>
      </c>
      <c r="GK776" s="4">
        <v>154</v>
      </c>
      <c r="GL776" s="4">
        <v>150</v>
      </c>
      <c r="GM776" s="4">
        <v>148</v>
      </c>
      <c r="GN776" s="4">
        <v>145</v>
      </c>
      <c r="GO776" s="4">
        <v>142</v>
      </c>
      <c r="GP776" s="4">
        <v>138</v>
      </c>
      <c r="GQ776" s="4">
        <v>136</v>
      </c>
      <c r="GR776" s="4">
        <v>134</v>
      </c>
      <c r="GS776" s="4">
        <v>132</v>
      </c>
      <c r="GT776" s="4">
        <v>130</v>
      </c>
      <c r="GU776" s="4">
        <v>128</v>
      </c>
      <c r="GV776" s="4">
        <v>127</v>
      </c>
      <c r="GW776" s="4">
        <v>126</v>
      </c>
      <c r="GX776" s="4">
        <v>125</v>
      </c>
      <c r="GY776" s="4">
        <v>124</v>
      </c>
      <c r="GZ776" s="4">
        <v>123</v>
      </c>
      <c r="HA776" s="4">
        <v>122</v>
      </c>
      <c r="HB776" s="4">
        <v>121</v>
      </c>
      <c r="HC776" s="19">
        <v>21.4</v>
      </c>
      <c r="HD776" s="19">
        <v>20.8</v>
      </c>
      <c r="HE776" s="19">
        <v>20.1</v>
      </c>
      <c r="HF776" s="19">
        <v>21.3</v>
      </c>
      <c r="HG776" s="19">
        <v>35</v>
      </c>
      <c r="HH776" s="19">
        <v>33.8</v>
      </c>
      <c r="HI776" s="19">
        <v>53.3</v>
      </c>
      <c r="HJ776" s="19">
        <v>52</v>
      </c>
      <c r="HK776" s="19">
        <v>51.3</v>
      </c>
      <c r="HL776" s="19">
        <v>50</v>
      </c>
      <c r="HM776" s="19">
        <v>49.3</v>
      </c>
      <c r="HN776" s="19">
        <v>48.3</v>
      </c>
      <c r="HO776" s="19">
        <v>71</v>
      </c>
      <c r="HP776" s="19">
        <v>69</v>
      </c>
      <c r="HQ776" s="19">
        <v>68</v>
      </c>
      <c r="HR776" s="19">
        <v>67</v>
      </c>
      <c r="HS776" s="19">
        <v>66</v>
      </c>
      <c r="HT776" s="19">
        <v>130</v>
      </c>
      <c r="HU776" s="19">
        <v>128</v>
      </c>
      <c r="HV776" s="19">
        <v>127</v>
      </c>
      <c r="HW776" s="19">
        <v>126</v>
      </c>
      <c r="HX776" s="19">
        <v>125</v>
      </c>
      <c r="HY776" s="19">
        <v>124</v>
      </c>
      <c r="HZ776" s="19">
        <v>123</v>
      </c>
      <c r="IA776" s="19">
        <v>122</v>
      </c>
      <c r="IB776" s="19">
        <v>121</v>
      </c>
    </row>
    <row r="777">
      <c r="A777" s="2" t="s">
        <v>4235</v>
      </c>
      <c r="B777" s="2" t="s">
        <v>279</v>
      </c>
      <c r="C777" s="2" t="s">
        <v>2381</v>
      </c>
      <c r="D777" s="2" t="s">
        <v>281</v>
      </c>
      <c r="E777" s="2" t="s">
        <v>282</v>
      </c>
      <c r="F777" s="2" t="s">
        <v>4189</v>
      </c>
      <c r="G777" s="2" t="s">
        <v>4189</v>
      </c>
      <c r="H777" s="2" t="s">
        <v>4189</v>
      </c>
      <c r="I777" s="2" t="s">
        <v>345</v>
      </c>
      <c r="J777" s="2" t="s">
        <v>252</v>
      </c>
      <c r="K777" s="2" t="s">
        <v>2490</v>
      </c>
      <c r="L777" s="3">
        <v>28.2</v>
      </c>
      <c r="M777" s="3">
        <v>29.61</v>
      </c>
      <c r="N777" s="3">
        <v>59.99</v>
      </c>
      <c r="O777" s="2" t="s">
        <v>230</v>
      </c>
      <c r="P777" s="2" t="s">
        <v>231</v>
      </c>
      <c r="Q777" s="2" t="s">
        <v>232</v>
      </c>
      <c r="R777" s="2" t="s">
        <v>233</v>
      </c>
      <c r="S777" s="2" t="s">
        <v>4234</v>
      </c>
      <c r="T777" s="2" t="s">
        <v>2765</v>
      </c>
      <c r="U777" s="2" t="s">
        <v>287</v>
      </c>
      <c r="V777" s="2" t="s">
        <v>782</v>
      </c>
      <c r="W777" s="2" t="s">
        <v>237</v>
      </c>
      <c r="X777" s="2" t="s">
        <v>620</v>
      </c>
      <c r="Y777" s="2" t="s">
        <v>1937</v>
      </c>
      <c r="Z777" s="4">
        <v>299</v>
      </c>
      <c r="AA777" s="4">
        <f>=ROUNDDOWN(42.7142857142857,0)</f>
      </c>
      <c r="AB777" s="5">
        <v>7</v>
      </c>
      <c r="AC777" s="2" t="s">
        <v>233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233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233</v>
      </c>
      <c r="AW777" s="8" t="s">
        <v>233</v>
      </c>
      <c r="AX777" s="4" t="s">
        <v>233</v>
      </c>
      <c r="AY777" s="8" t="s">
        <v>233</v>
      </c>
      <c r="AZ777" s="7" t="s">
        <v>233</v>
      </c>
      <c r="BA777" s="7" t="s">
        <v>233</v>
      </c>
      <c r="BB777" s="7"/>
      <c r="BC777" s="4" t="s">
        <v>233</v>
      </c>
      <c r="BD777" s="8" t="s">
        <v>233</v>
      </c>
      <c r="BE777" s="4" t="s">
        <v>233</v>
      </c>
      <c r="BF777" s="8" t="s">
        <v>233</v>
      </c>
      <c r="BG777" s="7" t="s">
        <v>233</v>
      </c>
      <c r="BH777" s="7" t="s">
        <v>233</v>
      </c>
      <c r="BI777" s="7"/>
      <c r="BJ777" s="4">
        <v>18</v>
      </c>
      <c r="BK777" s="8">
        <v>474.09</v>
      </c>
      <c r="BL777" s="2" t="s">
        <v>2299</v>
      </c>
      <c r="BM777" s="7"/>
      <c r="BN777" s="7"/>
      <c r="BO777" s="4"/>
      <c r="BP777" s="8"/>
      <c r="BQ777" s="4"/>
      <c r="BR777" s="8"/>
      <c r="BS777" s="7"/>
      <c r="BT777" s="7"/>
      <c r="BU777" s="2" t="s">
        <v>4193</v>
      </c>
      <c r="BV777" s="2" t="s">
        <v>233</v>
      </c>
      <c r="BW777" s="2" t="s">
        <v>233</v>
      </c>
      <c r="BX777" s="2" t="s">
        <v>241</v>
      </c>
      <c r="BY777" s="2" t="s">
        <v>242</v>
      </c>
      <c r="BZ777" s="2" t="s">
        <v>230</v>
      </c>
      <c r="CA777" s="2" t="s">
        <v>4209</v>
      </c>
      <c r="CB777" s="2" t="s">
        <v>1561</v>
      </c>
      <c r="CC777" s="2" t="s">
        <v>245</v>
      </c>
      <c r="CD777" s="2" t="s">
        <v>233</v>
      </c>
      <c r="CE777" s="4">
        <v>182</v>
      </c>
      <c r="CF777" s="4">
        <v>117</v>
      </c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>
        <v>306</v>
      </c>
      <c r="GD777" s="4">
        <v>265</v>
      </c>
      <c r="GE777" s="4">
        <v>253</v>
      </c>
      <c r="GF777" s="4">
        <v>239</v>
      </c>
      <c r="GG777" s="4">
        <v>214</v>
      </c>
      <c r="GH777" s="4">
        <v>203</v>
      </c>
      <c r="GI777" s="4">
        <v>188</v>
      </c>
      <c r="GJ777" s="4">
        <v>181</v>
      </c>
      <c r="GK777" s="4">
        <v>176</v>
      </c>
      <c r="GL777" s="4">
        <v>170</v>
      </c>
      <c r="GM777" s="4">
        <v>166</v>
      </c>
      <c r="GN777" s="4">
        <v>162</v>
      </c>
      <c r="GO777" s="4">
        <v>158</v>
      </c>
      <c r="GP777" s="4">
        <v>153</v>
      </c>
      <c r="GQ777" s="4">
        <v>150</v>
      </c>
      <c r="GR777" s="4">
        <v>147</v>
      </c>
      <c r="GS777" s="4">
        <v>144</v>
      </c>
      <c r="GT777" s="4">
        <v>141</v>
      </c>
      <c r="GU777" s="4">
        <v>138</v>
      </c>
      <c r="GV777" s="4">
        <v>135</v>
      </c>
      <c r="GW777" s="4">
        <v>132</v>
      </c>
      <c r="GX777" s="4">
        <v>129</v>
      </c>
      <c r="GY777" s="4">
        <v>126</v>
      </c>
      <c r="GZ777" s="4">
        <v>124</v>
      </c>
      <c r="HA777" s="4">
        <v>122</v>
      </c>
      <c r="HB777" s="4">
        <v>120</v>
      </c>
      <c r="HC777" s="19">
        <v>13.3</v>
      </c>
      <c r="HD777" s="19">
        <v>16.6</v>
      </c>
      <c r="HE777" s="19">
        <v>15.8</v>
      </c>
      <c r="HF777" s="19">
        <v>17.1</v>
      </c>
      <c r="HG777" s="19">
        <v>21.4</v>
      </c>
      <c r="HH777" s="19">
        <v>25.4</v>
      </c>
      <c r="HI777" s="19">
        <v>31.3</v>
      </c>
      <c r="HJ777" s="19">
        <v>36.2</v>
      </c>
      <c r="HK777" s="19">
        <v>44</v>
      </c>
      <c r="HL777" s="19">
        <v>42.5</v>
      </c>
      <c r="HM777" s="19">
        <v>41.5</v>
      </c>
      <c r="HN777" s="19">
        <v>40.5</v>
      </c>
      <c r="HO777" s="19">
        <v>39.5</v>
      </c>
      <c r="HP777" s="19">
        <v>51</v>
      </c>
      <c r="HQ777" s="19">
        <v>50</v>
      </c>
      <c r="HR777" s="19">
        <v>49</v>
      </c>
      <c r="HS777" s="19">
        <v>48</v>
      </c>
      <c r="HT777" s="19">
        <v>47</v>
      </c>
      <c r="HU777" s="19">
        <v>46</v>
      </c>
      <c r="HV777" s="19">
        <v>45</v>
      </c>
      <c r="HW777" s="19">
        <v>66</v>
      </c>
      <c r="HX777" s="19">
        <v>64.5</v>
      </c>
      <c r="HY777" s="19">
        <v>63</v>
      </c>
      <c r="HZ777" s="19">
        <v>62</v>
      </c>
      <c r="IA777" s="19">
        <v>61</v>
      </c>
      <c r="IB777" s="19">
        <v>60</v>
      </c>
    </row>
    <row r="778">
      <c r="A778" s="2" t="s">
        <v>4236</v>
      </c>
      <c r="B778" s="2" t="s">
        <v>279</v>
      </c>
      <c r="C778" s="2" t="s">
        <v>2381</v>
      </c>
      <c r="D778" s="2" t="s">
        <v>281</v>
      </c>
      <c r="E778" s="2" t="s">
        <v>282</v>
      </c>
      <c r="F778" s="2" t="s">
        <v>4189</v>
      </c>
      <c r="G778" s="2" t="s">
        <v>4189</v>
      </c>
      <c r="H778" s="2" t="s">
        <v>4189</v>
      </c>
      <c r="I778" s="2" t="s">
        <v>345</v>
      </c>
      <c r="J778" s="2" t="s">
        <v>256</v>
      </c>
      <c r="K778" s="2" t="s">
        <v>2490</v>
      </c>
      <c r="L778" s="3">
        <v>34.5</v>
      </c>
      <c r="M778" s="3">
        <v>36.23</v>
      </c>
      <c r="N778" s="3">
        <v>74.99</v>
      </c>
      <c r="O778" s="2" t="s">
        <v>230</v>
      </c>
      <c r="P778" s="2" t="s">
        <v>231</v>
      </c>
      <c r="Q778" s="2" t="s">
        <v>232</v>
      </c>
      <c r="R778" s="2" t="s">
        <v>233</v>
      </c>
      <c r="S778" s="2" t="s">
        <v>4234</v>
      </c>
      <c r="T778" s="2" t="s">
        <v>2765</v>
      </c>
      <c r="U778" s="2" t="s">
        <v>287</v>
      </c>
      <c r="V778" s="2" t="s">
        <v>782</v>
      </c>
      <c r="W778" s="2" t="s">
        <v>237</v>
      </c>
      <c r="X778" s="2" t="s">
        <v>620</v>
      </c>
      <c r="Y778" s="2" t="s">
        <v>1937</v>
      </c>
      <c r="Z778" s="4">
        <v>365</v>
      </c>
      <c r="AA778" s="4">
        <f>=ROUNDDOWN(36.5,0)</f>
      </c>
      <c r="AB778" s="5">
        <v>10</v>
      </c>
      <c r="AC778" s="2" t="s">
        <v>233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233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233</v>
      </c>
      <c r="AW778" s="8" t="s">
        <v>233</v>
      </c>
      <c r="AX778" s="4" t="s">
        <v>233</v>
      </c>
      <c r="AY778" s="8" t="s">
        <v>233</v>
      </c>
      <c r="AZ778" s="7" t="s">
        <v>233</v>
      </c>
      <c r="BA778" s="7" t="s">
        <v>233</v>
      </c>
      <c r="BB778" s="7"/>
      <c r="BC778" s="4" t="s">
        <v>233</v>
      </c>
      <c r="BD778" s="8" t="s">
        <v>233</v>
      </c>
      <c r="BE778" s="4" t="s">
        <v>233</v>
      </c>
      <c r="BF778" s="8" t="s">
        <v>233</v>
      </c>
      <c r="BG778" s="7" t="s">
        <v>233</v>
      </c>
      <c r="BH778" s="7" t="s">
        <v>233</v>
      </c>
      <c r="BI778" s="7"/>
      <c r="BJ778" s="4">
        <v>30</v>
      </c>
      <c r="BK778" s="8">
        <v>1056.4</v>
      </c>
      <c r="BL778" s="2" t="s">
        <v>868</v>
      </c>
      <c r="BM778" s="7"/>
      <c r="BN778" s="7"/>
      <c r="BO778" s="4"/>
      <c r="BP778" s="8"/>
      <c r="BQ778" s="4"/>
      <c r="BR778" s="8"/>
      <c r="BS778" s="7"/>
      <c r="BT778" s="7"/>
      <c r="BU778" s="2" t="s">
        <v>4193</v>
      </c>
      <c r="BV778" s="2" t="s">
        <v>233</v>
      </c>
      <c r="BW778" s="2" t="s">
        <v>233</v>
      </c>
      <c r="BX778" s="2" t="s">
        <v>241</v>
      </c>
      <c r="BY778" s="2" t="s">
        <v>242</v>
      </c>
      <c r="BZ778" s="2" t="s">
        <v>230</v>
      </c>
      <c r="CA778" s="2" t="s">
        <v>4209</v>
      </c>
      <c r="CB778" s="2" t="s">
        <v>2453</v>
      </c>
      <c r="CC778" s="2" t="s">
        <v>245</v>
      </c>
      <c r="CD778" s="2" t="s">
        <v>233</v>
      </c>
      <c r="CE778" s="4">
        <v>216</v>
      </c>
      <c r="CF778" s="4">
        <v>149</v>
      </c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>
        <v>374</v>
      </c>
      <c r="GD778" s="4">
        <v>324</v>
      </c>
      <c r="GE778" s="4">
        <v>307</v>
      </c>
      <c r="GF778" s="4">
        <v>285</v>
      </c>
      <c r="GG778" s="4">
        <v>247</v>
      </c>
      <c r="GH778" s="4">
        <v>232</v>
      </c>
      <c r="GI778" s="4">
        <v>211</v>
      </c>
      <c r="GJ778" s="4">
        <v>199</v>
      </c>
      <c r="GK778" s="4">
        <v>193</v>
      </c>
      <c r="GL778" s="4">
        <v>182</v>
      </c>
      <c r="GM778" s="4">
        <v>176</v>
      </c>
      <c r="GN778" s="4">
        <v>169</v>
      </c>
      <c r="GO778" s="4">
        <v>161</v>
      </c>
      <c r="GP778" s="4">
        <v>154</v>
      </c>
      <c r="GQ778" s="4">
        <v>149</v>
      </c>
      <c r="GR778" s="4">
        <v>145</v>
      </c>
      <c r="GS778" s="4">
        <v>141</v>
      </c>
      <c r="GT778" s="4">
        <v>137</v>
      </c>
      <c r="GU778" s="4">
        <v>133</v>
      </c>
      <c r="GV778" s="4">
        <v>129</v>
      </c>
      <c r="GW778" s="4">
        <v>125</v>
      </c>
      <c r="GX778" s="4">
        <v>121</v>
      </c>
      <c r="GY778" s="4">
        <v>117</v>
      </c>
      <c r="GZ778" s="4">
        <v>114</v>
      </c>
      <c r="HA778" s="4">
        <v>111</v>
      </c>
      <c r="HB778" s="4">
        <v>108</v>
      </c>
      <c r="HC778" s="19">
        <v>11.7</v>
      </c>
      <c r="HD778" s="19">
        <v>14.1</v>
      </c>
      <c r="HE778" s="19">
        <v>12.8</v>
      </c>
      <c r="HF778" s="19">
        <v>13</v>
      </c>
      <c r="HG778" s="19">
        <v>17.6</v>
      </c>
      <c r="HH778" s="19">
        <v>19.3</v>
      </c>
      <c r="HI778" s="19">
        <v>23.4</v>
      </c>
      <c r="HJ778" s="19">
        <v>24.9</v>
      </c>
      <c r="HK778" s="19">
        <v>24.1</v>
      </c>
      <c r="HL778" s="19">
        <v>26</v>
      </c>
      <c r="HM778" s="19">
        <v>25.1</v>
      </c>
      <c r="HN778" s="19">
        <v>28.2</v>
      </c>
      <c r="HO778" s="19">
        <v>32.2</v>
      </c>
      <c r="HP778" s="19">
        <v>38.5</v>
      </c>
      <c r="HQ778" s="19">
        <v>37.3</v>
      </c>
      <c r="HR778" s="19">
        <v>36.3</v>
      </c>
      <c r="HS778" s="19">
        <v>35.3</v>
      </c>
      <c r="HT778" s="19">
        <v>34.3</v>
      </c>
      <c r="HU778" s="19">
        <v>33.3</v>
      </c>
      <c r="HV778" s="19">
        <v>32.3</v>
      </c>
      <c r="HW778" s="19">
        <v>31.3</v>
      </c>
      <c r="HX778" s="19">
        <v>40.3</v>
      </c>
      <c r="HY778" s="19">
        <v>39</v>
      </c>
      <c r="HZ778" s="19">
        <v>38</v>
      </c>
      <c r="IA778" s="19">
        <v>37</v>
      </c>
      <c r="IB778" s="19">
        <v>36</v>
      </c>
    </row>
    <row r="779">
      <c r="A779" s="2" t="s">
        <v>4237</v>
      </c>
      <c r="B779" s="2" t="s">
        <v>279</v>
      </c>
      <c r="C779" s="2" t="s">
        <v>2381</v>
      </c>
      <c r="D779" s="2" t="s">
        <v>281</v>
      </c>
      <c r="E779" s="2" t="s">
        <v>282</v>
      </c>
      <c r="F779" s="2" t="s">
        <v>4189</v>
      </c>
      <c r="G779" s="2" t="s">
        <v>4189</v>
      </c>
      <c r="H779" s="2" t="s">
        <v>4189</v>
      </c>
      <c r="I779" s="2" t="s">
        <v>345</v>
      </c>
      <c r="J779" s="2" t="s">
        <v>256</v>
      </c>
      <c r="K779" s="2" t="s">
        <v>2343</v>
      </c>
      <c r="L779" s="3">
        <v>34.5</v>
      </c>
      <c r="M779" s="3">
        <v>36.22</v>
      </c>
      <c r="N779" s="3">
        <v>74.99</v>
      </c>
      <c r="O779" s="2" t="s">
        <v>230</v>
      </c>
      <c r="P779" s="2" t="s">
        <v>586</v>
      </c>
      <c r="Q779" s="2" t="s">
        <v>232</v>
      </c>
      <c r="R779" s="2" t="s">
        <v>233</v>
      </c>
      <c r="S779" s="2" t="s">
        <v>4238</v>
      </c>
      <c r="T779" s="2" t="s">
        <v>2765</v>
      </c>
      <c r="U779" s="2" t="s">
        <v>287</v>
      </c>
      <c r="V779" s="2" t="s">
        <v>914</v>
      </c>
      <c r="W779" s="2" t="s">
        <v>237</v>
      </c>
      <c r="X779" s="2" t="s">
        <v>620</v>
      </c>
      <c r="Y779" s="2" t="s">
        <v>238</v>
      </c>
      <c r="Z779" s="4">
        <v>618</v>
      </c>
      <c r="AA779" s="4">
        <f>=ROUNDDOWN(25.75,0)</f>
      </c>
      <c r="AB779" s="5">
        <v>24</v>
      </c>
      <c r="AC779" s="2" t="s">
        <v>233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233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 t="s">
        <v>233</v>
      </c>
      <c r="BD779" s="8" t="s">
        <v>233</v>
      </c>
      <c r="BE779" s="4" t="s">
        <v>233</v>
      </c>
      <c r="BF779" s="8" t="s">
        <v>233</v>
      </c>
      <c r="BG779" s="7" t="s">
        <v>233</v>
      </c>
      <c r="BH779" s="7" t="s">
        <v>233</v>
      </c>
      <c r="BI779" s="7"/>
      <c r="BJ779" s="4">
        <v>88</v>
      </c>
      <c r="BK779" s="8">
        <v>3286.84</v>
      </c>
      <c r="BL779" s="2" t="s">
        <v>4239</v>
      </c>
      <c r="BM779" s="7"/>
      <c r="BN779" s="7"/>
      <c r="BO779" s="4"/>
      <c r="BP779" s="8"/>
      <c r="BQ779" s="4"/>
      <c r="BR779" s="8"/>
      <c r="BS779" s="7"/>
      <c r="BT779" s="7"/>
      <c r="BU779" s="2" t="s">
        <v>4193</v>
      </c>
      <c r="BV779" s="2" t="s">
        <v>233</v>
      </c>
      <c r="BW779" s="2" t="s">
        <v>233</v>
      </c>
      <c r="BX779" s="2" t="s">
        <v>241</v>
      </c>
      <c r="BY779" s="2" t="s">
        <v>242</v>
      </c>
      <c r="BZ779" s="2" t="s">
        <v>230</v>
      </c>
      <c r="CA779" s="2" t="s">
        <v>4240</v>
      </c>
      <c r="CB779" s="2" t="s">
        <v>2569</v>
      </c>
      <c r="CC779" s="2" t="s">
        <v>245</v>
      </c>
      <c r="CD779" s="2" t="s">
        <v>233</v>
      </c>
      <c r="CE779" s="4">
        <v>325</v>
      </c>
      <c r="CF779" s="4">
        <v>293</v>
      </c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>
        <v>650</v>
      </c>
      <c r="GD779" s="4">
        <v>523</v>
      </c>
      <c r="GE779" s="4">
        <v>491</v>
      </c>
      <c r="GF779" s="4">
        <v>453</v>
      </c>
      <c r="GG779" s="4">
        <v>393</v>
      </c>
      <c r="GH779" s="4">
        <v>366</v>
      </c>
      <c r="GI779" s="4">
        <v>328</v>
      </c>
      <c r="GJ779" s="4">
        <v>309</v>
      </c>
      <c r="GK779" s="4">
        <v>297</v>
      </c>
      <c r="GL779" s="4">
        <v>279</v>
      </c>
      <c r="GM779" s="4">
        <v>267</v>
      </c>
      <c r="GN779" s="4">
        <v>254</v>
      </c>
      <c r="GO779" s="4">
        <v>240</v>
      </c>
      <c r="GP779" s="4">
        <v>227</v>
      </c>
      <c r="GQ779" s="4">
        <v>217</v>
      </c>
      <c r="GR779" s="4">
        <v>208</v>
      </c>
      <c r="GS779" s="4">
        <v>201</v>
      </c>
      <c r="GT779" s="4">
        <v>194</v>
      </c>
      <c r="GU779" s="4">
        <v>187</v>
      </c>
      <c r="GV779" s="4">
        <v>262</v>
      </c>
      <c r="GW779" s="4">
        <v>255</v>
      </c>
      <c r="GX779" s="4">
        <v>248</v>
      </c>
      <c r="GY779" s="4">
        <v>241</v>
      </c>
      <c r="GZ779" s="4">
        <v>236</v>
      </c>
      <c r="HA779" s="4">
        <v>231</v>
      </c>
      <c r="HB779" s="4">
        <v>226</v>
      </c>
      <c r="HC779" s="19">
        <v>10.2</v>
      </c>
      <c r="HD779" s="19">
        <v>13.4</v>
      </c>
      <c r="HE779" s="19">
        <v>12</v>
      </c>
      <c r="HF779" s="19">
        <v>12.6</v>
      </c>
      <c r="HG779" s="19">
        <v>16.4</v>
      </c>
      <c r="HH779" s="19">
        <v>16.6</v>
      </c>
      <c r="HI779" s="19">
        <v>21.9</v>
      </c>
      <c r="HJ779" s="19">
        <v>22.1</v>
      </c>
      <c r="HK779" s="19">
        <v>21.2</v>
      </c>
      <c r="HL779" s="19">
        <v>21.5</v>
      </c>
      <c r="HM779" s="19">
        <v>22.3</v>
      </c>
      <c r="HN779" s="19">
        <v>21.2</v>
      </c>
      <c r="HO779" s="19">
        <v>24</v>
      </c>
      <c r="HP779" s="19">
        <v>28.4</v>
      </c>
      <c r="HQ779" s="19">
        <v>27.1</v>
      </c>
      <c r="HR779" s="19">
        <v>29.7</v>
      </c>
      <c r="HS779" s="19">
        <v>28.7</v>
      </c>
      <c r="HT779" s="19">
        <v>27.7</v>
      </c>
      <c r="HU779" s="19">
        <v>26.7</v>
      </c>
      <c r="HV779" s="19">
        <v>43.7</v>
      </c>
      <c r="HW779" s="19">
        <v>42.5</v>
      </c>
      <c r="HX779" s="19">
        <v>41.3</v>
      </c>
      <c r="HY779" s="19">
        <v>48.2</v>
      </c>
      <c r="HZ779" s="19">
        <v>47.2</v>
      </c>
      <c r="IA779" s="19">
        <v>46.2</v>
      </c>
      <c r="IB779" s="19">
        <v>45.2</v>
      </c>
    </row>
    <row r="780">
      <c r="A780" s="2" t="s">
        <v>4241</v>
      </c>
      <c r="B780" s="2" t="s">
        <v>279</v>
      </c>
      <c r="C780" s="2" t="s">
        <v>2381</v>
      </c>
      <c r="D780" s="2" t="s">
        <v>281</v>
      </c>
      <c r="E780" s="2" t="s">
        <v>282</v>
      </c>
      <c r="F780" s="2" t="s">
        <v>4189</v>
      </c>
      <c r="G780" s="2" t="s">
        <v>4189</v>
      </c>
      <c r="H780" s="2" t="s">
        <v>4189</v>
      </c>
      <c r="I780" s="2" t="s">
        <v>345</v>
      </c>
      <c r="J780" s="2" t="s">
        <v>228</v>
      </c>
      <c r="K780" s="2" t="s">
        <v>4242</v>
      </c>
      <c r="L780" s="3">
        <v>24</v>
      </c>
      <c r="M780" s="3">
        <v>25.2</v>
      </c>
      <c r="N780" s="3">
        <v>49.99</v>
      </c>
      <c r="O780" s="2" t="s">
        <v>230</v>
      </c>
      <c r="P780" s="2" t="s">
        <v>231</v>
      </c>
      <c r="Q780" s="2" t="s">
        <v>232</v>
      </c>
      <c r="R780" s="2" t="s">
        <v>233</v>
      </c>
      <c r="S780" s="2" t="s">
        <v>4243</v>
      </c>
      <c r="T780" s="2" t="s">
        <v>2765</v>
      </c>
      <c r="U780" s="2" t="s">
        <v>781</v>
      </c>
      <c r="V780" s="2" t="s">
        <v>2311</v>
      </c>
      <c r="W780" s="2" t="s">
        <v>237</v>
      </c>
      <c r="X780" s="2" t="s">
        <v>620</v>
      </c>
      <c r="Y780" s="2" t="s">
        <v>1937</v>
      </c>
      <c r="Z780" s="4">
        <v>324</v>
      </c>
      <c r="AA780" s="4">
        <f>=ROUNDDOWN(32.4,0)</f>
      </c>
      <c r="AB780" s="5">
        <v>10</v>
      </c>
      <c r="AC780" s="2" t="s">
        <v>233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233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/>
      <c r="AW780" s="8"/>
      <c r="AX780" s="4"/>
      <c r="AY780" s="8"/>
      <c r="AZ780" s="7"/>
      <c r="BA780" s="7"/>
      <c r="BB780" s="7"/>
      <c r="BC780" s="4" t="s">
        <v>233</v>
      </c>
      <c r="BD780" s="8" t="s">
        <v>233</v>
      </c>
      <c r="BE780" s="4" t="s">
        <v>233</v>
      </c>
      <c r="BF780" s="8" t="s">
        <v>233</v>
      </c>
      <c r="BG780" s="7" t="s">
        <v>233</v>
      </c>
      <c r="BH780" s="7" t="s">
        <v>233</v>
      </c>
      <c r="BI780" s="7"/>
      <c r="BJ780" s="4">
        <v>26</v>
      </c>
      <c r="BK780" s="8">
        <v>646.56</v>
      </c>
      <c r="BL780" s="2" t="s">
        <v>981</v>
      </c>
      <c r="BM780" s="7"/>
      <c r="BN780" s="7"/>
      <c r="BO780" s="4"/>
      <c r="BP780" s="8"/>
      <c r="BQ780" s="4"/>
      <c r="BR780" s="8"/>
      <c r="BS780" s="7"/>
      <c r="BT780" s="7"/>
      <c r="BU780" s="2" t="s">
        <v>4193</v>
      </c>
      <c r="BV780" s="2" t="s">
        <v>233</v>
      </c>
      <c r="BW780" s="2" t="s">
        <v>233</v>
      </c>
      <c r="BX780" s="2" t="s">
        <v>241</v>
      </c>
      <c r="BY780" s="2" t="s">
        <v>242</v>
      </c>
      <c r="BZ780" s="2" t="s">
        <v>230</v>
      </c>
      <c r="CA780" s="2" t="s">
        <v>4209</v>
      </c>
      <c r="CB780" s="2" t="s">
        <v>589</v>
      </c>
      <c r="CC780" s="2" t="s">
        <v>245</v>
      </c>
      <c r="CD780" s="2" t="s">
        <v>233</v>
      </c>
      <c r="CE780" s="4">
        <v>188</v>
      </c>
      <c r="CF780" s="4">
        <v>136</v>
      </c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>
        <v>340</v>
      </c>
      <c r="GD780" s="4">
        <v>298</v>
      </c>
      <c r="GE780" s="4">
        <v>286</v>
      </c>
      <c r="GF780" s="4">
        <v>272</v>
      </c>
      <c r="GG780" s="4">
        <v>247</v>
      </c>
      <c r="GH780" s="4">
        <v>236</v>
      </c>
      <c r="GI780" s="4">
        <v>220</v>
      </c>
      <c r="GJ780" s="4">
        <v>212</v>
      </c>
      <c r="GK780" s="4">
        <v>206</v>
      </c>
      <c r="GL780" s="4">
        <v>197</v>
      </c>
      <c r="GM780" s="4">
        <v>191</v>
      </c>
      <c r="GN780" s="4">
        <v>185</v>
      </c>
      <c r="GO780" s="4">
        <v>179</v>
      </c>
      <c r="GP780" s="4">
        <v>172</v>
      </c>
      <c r="GQ780" s="4">
        <v>169</v>
      </c>
      <c r="GR780" s="4">
        <v>165</v>
      </c>
      <c r="GS780" s="4">
        <v>161</v>
      </c>
      <c r="GT780" s="4">
        <v>157</v>
      </c>
      <c r="GU780" s="4">
        <v>153</v>
      </c>
      <c r="GV780" s="4">
        <v>150</v>
      </c>
      <c r="GW780" s="4">
        <v>147</v>
      </c>
      <c r="GX780" s="4">
        <v>144</v>
      </c>
      <c r="GY780" s="4">
        <v>141</v>
      </c>
      <c r="GZ780" s="4">
        <v>139</v>
      </c>
      <c r="HA780" s="4">
        <v>137</v>
      </c>
      <c r="HB780" s="4">
        <v>135</v>
      </c>
      <c r="HC780" s="19">
        <v>14.8</v>
      </c>
      <c r="HD780" s="19">
        <v>18.6</v>
      </c>
      <c r="HE780" s="19">
        <v>17.9</v>
      </c>
      <c r="HF780" s="19">
        <v>18.1</v>
      </c>
      <c r="HG780" s="19">
        <v>24.7</v>
      </c>
      <c r="HH780" s="19">
        <v>23.6</v>
      </c>
      <c r="HI780" s="19">
        <v>31.4</v>
      </c>
      <c r="HJ780" s="19">
        <v>30.3</v>
      </c>
      <c r="HK780" s="19">
        <v>29.4</v>
      </c>
      <c r="HL780" s="19">
        <v>32.8</v>
      </c>
      <c r="HM780" s="19">
        <v>31.8</v>
      </c>
      <c r="HN780" s="19">
        <v>37</v>
      </c>
      <c r="HO780" s="19">
        <v>44.8</v>
      </c>
      <c r="HP780" s="19">
        <v>43</v>
      </c>
      <c r="HQ780" s="19">
        <v>42.3</v>
      </c>
      <c r="HR780" s="19">
        <v>41.3</v>
      </c>
      <c r="HS780" s="19">
        <v>40.3</v>
      </c>
      <c r="HT780" s="19">
        <v>52.3</v>
      </c>
      <c r="HU780" s="19">
        <v>51</v>
      </c>
      <c r="HV780" s="19">
        <v>50</v>
      </c>
      <c r="HW780" s="19">
        <v>73.5</v>
      </c>
      <c r="HX780" s="19">
        <v>72</v>
      </c>
      <c r="HY780" s="19">
        <v>70.5</v>
      </c>
      <c r="HZ780" s="19">
        <v>69.5</v>
      </c>
      <c r="IA780" s="19">
        <v>68.5</v>
      </c>
      <c r="IB780" s="19">
        <v>67.5</v>
      </c>
    </row>
    <row r="781">
      <c r="A781" s="2" t="s">
        <v>4244</v>
      </c>
      <c r="B781" s="2" t="s">
        <v>279</v>
      </c>
      <c r="C781" s="2" t="s">
        <v>2381</v>
      </c>
      <c r="D781" s="2" t="s">
        <v>281</v>
      </c>
      <c r="E781" s="2" t="s">
        <v>282</v>
      </c>
      <c r="F781" s="2" t="s">
        <v>4189</v>
      </c>
      <c r="G781" s="2" t="s">
        <v>4189</v>
      </c>
      <c r="H781" s="2" t="s">
        <v>4189</v>
      </c>
      <c r="I781" s="2" t="s">
        <v>345</v>
      </c>
      <c r="J781" s="2" t="s">
        <v>247</v>
      </c>
      <c r="K781" s="2" t="s">
        <v>452</v>
      </c>
      <c r="L781" s="3">
        <v>23.04</v>
      </c>
      <c r="M781" s="3">
        <v>24.19</v>
      </c>
      <c r="N781" s="3">
        <v>47.99</v>
      </c>
      <c r="O781" s="2" t="s">
        <v>230</v>
      </c>
      <c r="P781" s="2" t="s">
        <v>231</v>
      </c>
      <c r="Q781" s="2" t="s">
        <v>232</v>
      </c>
      <c r="R781" s="2" t="s">
        <v>233</v>
      </c>
      <c r="S781" s="2" t="s">
        <v>4245</v>
      </c>
      <c r="T781" s="2" t="s">
        <v>2765</v>
      </c>
      <c r="U781" s="2" t="s">
        <v>781</v>
      </c>
      <c r="V781" s="2" t="s">
        <v>236</v>
      </c>
      <c r="W781" s="2" t="s">
        <v>237</v>
      </c>
      <c r="X781" s="2" t="s">
        <v>620</v>
      </c>
      <c r="Y781" s="2" t="s">
        <v>238</v>
      </c>
      <c r="Z781" s="4">
        <v>141</v>
      </c>
      <c r="AA781" s="4">
        <f>=ROUNDDOWN(20.1428571428571,0)</f>
      </c>
      <c r="AB781" s="5">
        <v>7</v>
      </c>
      <c r="AC781" s="2" t="s">
        <v>233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233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233</v>
      </c>
      <c r="AW781" s="8" t="s">
        <v>233</v>
      </c>
      <c r="AX781" s="4" t="s">
        <v>233</v>
      </c>
      <c r="AY781" s="8" t="s">
        <v>233</v>
      </c>
      <c r="AZ781" s="7" t="s">
        <v>233</v>
      </c>
      <c r="BA781" s="7" t="s">
        <v>233</v>
      </c>
      <c r="BB781" s="7"/>
      <c r="BC781" s="4" t="s">
        <v>233</v>
      </c>
      <c r="BD781" s="8" t="s">
        <v>233</v>
      </c>
      <c r="BE781" s="4" t="s">
        <v>233</v>
      </c>
      <c r="BF781" s="8" t="s">
        <v>233</v>
      </c>
      <c r="BG781" s="7" t="s">
        <v>233</v>
      </c>
      <c r="BH781" s="7" t="s">
        <v>233</v>
      </c>
      <c r="BI781" s="7"/>
      <c r="BJ781" s="4">
        <v>64</v>
      </c>
      <c r="BK781" s="8">
        <v>1584.75</v>
      </c>
      <c r="BL781" s="2" t="s">
        <v>1549</v>
      </c>
      <c r="BM781" s="7"/>
      <c r="BN781" s="7"/>
      <c r="BO781" s="4"/>
      <c r="BP781" s="8"/>
      <c r="BQ781" s="4"/>
      <c r="BR781" s="8"/>
      <c r="BS781" s="7"/>
      <c r="BT781" s="7"/>
      <c r="BU781" s="2" t="s">
        <v>4193</v>
      </c>
      <c r="BV781" s="2" t="s">
        <v>233</v>
      </c>
      <c r="BW781" s="2" t="s">
        <v>233</v>
      </c>
      <c r="BX781" s="2" t="s">
        <v>241</v>
      </c>
      <c r="BY781" s="2" t="s">
        <v>242</v>
      </c>
      <c r="BZ781" s="2" t="s">
        <v>230</v>
      </c>
      <c r="CA781" s="2" t="s">
        <v>243</v>
      </c>
      <c r="CB781" s="2" t="s">
        <v>4246</v>
      </c>
      <c r="CC781" s="2" t="s">
        <v>245</v>
      </c>
      <c r="CD781" s="2" t="s">
        <v>233</v>
      </c>
      <c r="CE781" s="4">
        <v>51</v>
      </c>
      <c r="CF781" s="4">
        <v>90</v>
      </c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>
        <v>155</v>
      </c>
      <c r="GD781" s="4">
        <v>150</v>
      </c>
      <c r="GE781" s="4">
        <v>142</v>
      </c>
      <c r="GF781" s="4">
        <v>133</v>
      </c>
      <c r="GG781" s="4">
        <v>115</v>
      </c>
      <c r="GH781" s="4">
        <v>108</v>
      </c>
      <c r="GI781" s="4">
        <v>96</v>
      </c>
      <c r="GJ781" s="4">
        <v>89</v>
      </c>
      <c r="GK781" s="4">
        <v>85</v>
      </c>
      <c r="GL781" s="4">
        <v>82</v>
      </c>
      <c r="GM781" s="4">
        <v>80</v>
      </c>
      <c r="GN781" s="4">
        <v>78</v>
      </c>
      <c r="GO781" s="4">
        <v>75</v>
      </c>
      <c r="GP781" s="4">
        <v>70</v>
      </c>
      <c r="GQ781" s="4">
        <v>68</v>
      </c>
      <c r="GR781" s="4">
        <v>65</v>
      </c>
      <c r="GS781" s="4">
        <v>62</v>
      </c>
      <c r="GT781" s="4">
        <v>59</v>
      </c>
      <c r="GU781" s="4">
        <v>56</v>
      </c>
      <c r="GV781" s="4">
        <v>53</v>
      </c>
      <c r="GW781" s="4">
        <v>50</v>
      </c>
      <c r="GX781" s="4">
        <v>47</v>
      </c>
      <c r="GY781" s="4">
        <v>44</v>
      </c>
      <c r="GZ781" s="4">
        <v>42</v>
      </c>
      <c r="HA781" s="4">
        <v>40</v>
      </c>
      <c r="HB781" s="4">
        <v>38</v>
      </c>
      <c r="HC781" s="19">
        <v>15.5</v>
      </c>
      <c r="HD781" s="19">
        <v>15</v>
      </c>
      <c r="HE781" s="19">
        <v>11.8</v>
      </c>
      <c r="HF781" s="19">
        <v>12.1</v>
      </c>
      <c r="HG781" s="19">
        <v>14.4</v>
      </c>
      <c r="HH781" s="19">
        <v>18</v>
      </c>
      <c r="HI781" s="19">
        <v>24</v>
      </c>
      <c r="HJ781" s="19">
        <v>29.7</v>
      </c>
      <c r="HK781" s="19">
        <v>42.5</v>
      </c>
      <c r="HL781" s="19">
        <v>27.3</v>
      </c>
      <c r="HM781" s="19">
        <v>26.7</v>
      </c>
      <c r="HN781" s="19">
        <v>26</v>
      </c>
      <c r="HO781" s="19">
        <v>25</v>
      </c>
      <c r="HP781" s="19">
        <v>23.3</v>
      </c>
      <c r="HQ781" s="19">
        <v>22.7</v>
      </c>
      <c r="HR781" s="19">
        <v>21.7</v>
      </c>
      <c r="HS781" s="19">
        <v>20.7</v>
      </c>
      <c r="HT781" s="19">
        <v>19.7</v>
      </c>
      <c r="HU781" s="19">
        <v>18.7</v>
      </c>
      <c r="HV781" s="19">
        <v>17.7</v>
      </c>
      <c r="HW781" s="19">
        <v>25</v>
      </c>
      <c r="HX781" s="19">
        <v>23.5</v>
      </c>
      <c r="HY781" s="19">
        <v>22</v>
      </c>
      <c r="HZ781" s="19">
        <v>21</v>
      </c>
      <c r="IA781" s="19">
        <v>20</v>
      </c>
      <c r="IB781" s="19">
        <v>19</v>
      </c>
    </row>
    <row r="782">
      <c r="A782" s="2" t="s">
        <v>4247</v>
      </c>
      <c r="B782" s="2" t="s">
        <v>279</v>
      </c>
      <c r="C782" s="2" t="s">
        <v>2381</v>
      </c>
      <c r="D782" s="2" t="s">
        <v>281</v>
      </c>
      <c r="E782" s="2" t="s">
        <v>282</v>
      </c>
      <c r="F782" s="2" t="s">
        <v>4189</v>
      </c>
      <c r="G782" s="2" t="s">
        <v>4189</v>
      </c>
      <c r="H782" s="2" t="s">
        <v>4189</v>
      </c>
      <c r="I782" s="2" t="s">
        <v>345</v>
      </c>
      <c r="J782" s="2" t="s">
        <v>285</v>
      </c>
      <c r="K782" s="2" t="s">
        <v>452</v>
      </c>
      <c r="L782" s="3">
        <v>31.85</v>
      </c>
      <c r="M782" s="3">
        <v>33.44</v>
      </c>
      <c r="N782" s="3">
        <v>64.99</v>
      </c>
      <c r="O782" s="2" t="s">
        <v>230</v>
      </c>
      <c r="P782" s="2" t="s">
        <v>231</v>
      </c>
      <c r="Q782" s="2" t="s">
        <v>232</v>
      </c>
      <c r="R782" s="2" t="s">
        <v>233</v>
      </c>
      <c r="S782" s="2" t="s">
        <v>4245</v>
      </c>
      <c r="T782" s="2" t="s">
        <v>2765</v>
      </c>
      <c r="U782" s="2" t="s">
        <v>287</v>
      </c>
      <c r="V782" s="2" t="s">
        <v>236</v>
      </c>
      <c r="W782" s="2" t="s">
        <v>237</v>
      </c>
      <c r="X782" s="2" t="s">
        <v>620</v>
      </c>
      <c r="Y782" s="2" t="s">
        <v>238</v>
      </c>
      <c r="Z782" s="4">
        <v>361</v>
      </c>
      <c r="AA782" s="4">
        <f>=ROUNDDOWN(32.8181818181818,0)</f>
      </c>
      <c r="AB782" s="5">
        <v>11</v>
      </c>
      <c r="AC782" s="2" t="s">
        <v>233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233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233</v>
      </c>
      <c r="AW782" s="8" t="s">
        <v>233</v>
      </c>
      <c r="AX782" s="4" t="s">
        <v>233</v>
      </c>
      <c r="AY782" s="8" t="s">
        <v>233</v>
      </c>
      <c r="AZ782" s="7" t="s">
        <v>233</v>
      </c>
      <c r="BA782" s="7" t="s">
        <v>233</v>
      </c>
      <c r="BB782" s="7"/>
      <c r="BC782" s="4" t="s">
        <v>233</v>
      </c>
      <c r="BD782" s="8" t="s">
        <v>233</v>
      </c>
      <c r="BE782" s="4" t="s">
        <v>233</v>
      </c>
      <c r="BF782" s="8" t="s">
        <v>233</v>
      </c>
      <c r="BG782" s="7" t="s">
        <v>233</v>
      </c>
      <c r="BH782" s="7" t="s">
        <v>233</v>
      </c>
      <c r="BI782" s="7"/>
      <c r="BJ782" s="4">
        <v>19</v>
      </c>
      <c r="BK782" s="8">
        <v>686.52</v>
      </c>
      <c r="BL782" s="2" t="s">
        <v>4248</v>
      </c>
      <c r="BM782" s="7"/>
      <c r="BN782" s="7"/>
      <c r="BO782" s="4"/>
      <c r="BP782" s="8"/>
      <c r="BQ782" s="4"/>
      <c r="BR782" s="8"/>
      <c r="BS782" s="7"/>
      <c r="BT782" s="7"/>
      <c r="BU782" s="2" t="s">
        <v>4193</v>
      </c>
      <c r="BV782" s="2" t="s">
        <v>233</v>
      </c>
      <c r="BW782" s="2" t="s">
        <v>233</v>
      </c>
      <c r="BX782" s="2" t="s">
        <v>241</v>
      </c>
      <c r="BY782" s="2" t="s">
        <v>242</v>
      </c>
      <c r="BZ782" s="2" t="s">
        <v>230</v>
      </c>
      <c r="CA782" s="2" t="s">
        <v>243</v>
      </c>
      <c r="CB782" s="2" t="s">
        <v>4249</v>
      </c>
      <c r="CC782" s="2" t="s">
        <v>245</v>
      </c>
      <c r="CD782" s="2" t="s">
        <v>233</v>
      </c>
      <c r="CE782" s="4">
        <v>221</v>
      </c>
      <c r="CF782" s="4">
        <v>140</v>
      </c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>
        <v>365</v>
      </c>
      <c r="GD782" s="4">
        <v>270</v>
      </c>
      <c r="GE782" s="4">
        <v>257</v>
      </c>
      <c r="GF782" s="4">
        <v>242</v>
      </c>
      <c r="GG782" s="4">
        <v>218</v>
      </c>
      <c r="GH782" s="4">
        <v>207</v>
      </c>
      <c r="GI782" s="4">
        <v>191</v>
      </c>
      <c r="GJ782" s="4">
        <v>183</v>
      </c>
      <c r="GK782" s="4">
        <v>178</v>
      </c>
      <c r="GL782" s="4">
        <v>172</v>
      </c>
      <c r="GM782" s="4">
        <v>168</v>
      </c>
      <c r="GN782" s="4">
        <v>163</v>
      </c>
      <c r="GO782" s="4">
        <v>158</v>
      </c>
      <c r="GP782" s="4">
        <v>153</v>
      </c>
      <c r="GQ782" s="4">
        <v>149</v>
      </c>
      <c r="GR782" s="4">
        <v>145</v>
      </c>
      <c r="GS782" s="4">
        <v>141</v>
      </c>
      <c r="GT782" s="4">
        <v>137</v>
      </c>
      <c r="GU782" s="4">
        <v>133</v>
      </c>
      <c r="GV782" s="4">
        <v>130</v>
      </c>
      <c r="GW782" s="4">
        <v>127</v>
      </c>
      <c r="GX782" s="4">
        <v>124</v>
      </c>
      <c r="GY782" s="4">
        <v>121</v>
      </c>
      <c r="GZ782" s="4">
        <v>118</v>
      </c>
      <c r="HA782" s="4">
        <v>115</v>
      </c>
      <c r="HB782" s="4">
        <v>112</v>
      </c>
      <c r="HC782" s="19">
        <v>9.9</v>
      </c>
      <c r="HD782" s="19">
        <v>16.9</v>
      </c>
      <c r="HE782" s="19">
        <v>16.1</v>
      </c>
      <c r="HF782" s="19">
        <v>16.1</v>
      </c>
      <c r="HG782" s="19">
        <v>21.8</v>
      </c>
      <c r="HH782" s="19">
        <v>23</v>
      </c>
      <c r="HI782" s="19">
        <v>31.8</v>
      </c>
      <c r="HJ782" s="19">
        <v>36.6</v>
      </c>
      <c r="HK782" s="19">
        <v>35.6</v>
      </c>
      <c r="HL782" s="19">
        <v>34.4</v>
      </c>
      <c r="HM782" s="19">
        <v>33.6</v>
      </c>
      <c r="HN782" s="19">
        <v>40.8</v>
      </c>
      <c r="HO782" s="19">
        <v>39.5</v>
      </c>
      <c r="HP782" s="19">
        <v>38.3</v>
      </c>
      <c r="HQ782" s="19">
        <v>37.3</v>
      </c>
      <c r="HR782" s="19">
        <v>36.3</v>
      </c>
      <c r="HS782" s="19">
        <v>35.3</v>
      </c>
      <c r="HT782" s="19">
        <v>45.7</v>
      </c>
      <c r="HU782" s="19">
        <v>44.3</v>
      </c>
      <c r="HV782" s="19">
        <v>43.3</v>
      </c>
      <c r="HW782" s="19">
        <v>42.3</v>
      </c>
      <c r="HX782" s="19">
        <v>41.3</v>
      </c>
      <c r="HY782" s="19">
        <v>40.3</v>
      </c>
      <c r="HZ782" s="19">
        <v>39.3</v>
      </c>
      <c r="IA782" s="19">
        <v>38.3</v>
      </c>
      <c r="IB782" s="19">
        <v>37.3</v>
      </c>
    </row>
    <row r="783">
      <c r="A783" s="2" t="s">
        <v>4250</v>
      </c>
      <c r="B783" s="2" t="s">
        <v>279</v>
      </c>
      <c r="C783" s="2" t="s">
        <v>2381</v>
      </c>
      <c r="D783" s="2" t="s">
        <v>281</v>
      </c>
      <c r="E783" s="2" t="s">
        <v>282</v>
      </c>
      <c r="F783" s="2" t="s">
        <v>4189</v>
      </c>
      <c r="G783" s="2" t="s">
        <v>4189</v>
      </c>
      <c r="H783" s="2" t="s">
        <v>4189</v>
      </c>
      <c r="I783" s="2" t="s">
        <v>345</v>
      </c>
      <c r="J783" s="2" t="s">
        <v>228</v>
      </c>
      <c r="K783" s="2" t="s">
        <v>534</v>
      </c>
      <c r="L783" s="3">
        <v>21.62</v>
      </c>
      <c r="M783" s="3">
        <v>22.7</v>
      </c>
      <c r="N783" s="3">
        <v>46.99</v>
      </c>
      <c r="O783" s="2" t="s">
        <v>230</v>
      </c>
      <c r="P783" s="2" t="s">
        <v>231</v>
      </c>
      <c r="Q783" s="2" t="s">
        <v>232</v>
      </c>
      <c r="R783" s="2" t="s">
        <v>233</v>
      </c>
      <c r="S783" s="2" t="s">
        <v>4251</v>
      </c>
      <c r="T783" s="2" t="s">
        <v>2765</v>
      </c>
      <c r="U783" s="2" t="s">
        <v>781</v>
      </c>
      <c r="V783" s="2" t="s">
        <v>236</v>
      </c>
      <c r="W783" s="2" t="s">
        <v>237</v>
      </c>
      <c r="X783" s="2" t="s">
        <v>620</v>
      </c>
      <c r="Y783" s="2" t="s">
        <v>238</v>
      </c>
      <c r="Z783" s="4">
        <v>126</v>
      </c>
      <c r="AA783" s="4">
        <f>=ROUNDDOWN(15.75,0)</f>
      </c>
      <c r="AB783" s="5">
        <v>8</v>
      </c>
      <c r="AC783" s="2" t="s">
        <v>233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233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233</v>
      </c>
      <c r="AW783" s="8" t="s">
        <v>233</v>
      </c>
      <c r="AX783" s="4" t="s">
        <v>233</v>
      </c>
      <c r="AY783" s="8" t="s">
        <v>233</v>
      </c>
      <c r="AZ783" s="7" t="s">
        <v>233</v>
      </c>
      <c r="BA783" s="7" t="s">
        <v>233</v>
      </c>
      <c r="BB783" s="7"/>
      <c r="BC783" s="4" t="s">
        <v>233</v>
      </c>
      <c r="BD783" s="8" t="s">
        <v>233</v>
      </c>
      <c r="BE783" s="4" t="s">
        <v>233</v>
      </c>
      <c r="BF783" s="8" t="s">
        <v>233</v>
      </c>
      <c r="BG783" s="7" t="s">
        <v>233</v>
      </c>
      <c r="BH783" s="7" t="s">
        <v>233</v>
      </c>
      <c r="BI783" s="7"/>
      <c r="BJ783" s="4">
        <v>62</v>
      </c>
      <c r="BK783" s="8">
        <v>1458.29</v>
      </c>
      <c r="BL783" s="2" t="s">
        <v>3306</v>
      </c>
      <c r="BM783" s="7"/>
      <c r="BN783" s="7"/>
      <c r="BO783" s="4"/>
      <c r="BP783" s="8"/>
      <c r="BQ783" s="4"/>
      <c r="BR783" s="8"/>
      <c r="BS783" s="7"/>
      <c r="BT783" s="7"/>
      <c r="BU783" s="2" t="s">
        <v>4193</v>
      </c>
      <c r="BV783" s="2" t="s">
        <v>233</v>
      </c>
      <c r="BW783" s="2" t="s">
        <v>233</v>
      </c>
      <c r="BX783" s="2" t="s">
        <v>241</v>
      </c>
      <c r="BY783" s="2" t="s">
        <v>242</v>
      </c>
      <c r="BZ783" s="2" t="s">
        <v>230</v>
      </c>
      <c r="CA783" s="2" t="s">
        <v>243</v>
      </c>
      <c r="CB783" s="2" t="s">
        <v>4252</v>
      </c>
      <c r="CC783" s="2" t="s">
        <v>245</v>
      </c>
      <c r="CD783" s="2" t="s">
        <v>233</v>
      </c>
      <c r="CE783" s="4">
        <v>46</v>
      </c>
      <c r="CF783" s="4">
        <v>80</v>
      </c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>
        <v>140</v>
      </c>
      <c r="GD783" s="4">
        <v>106</v>
      </c>
      <c r="GE783" s="4">
        <v>97</v>
      </c>
      <c r="GF783" s="4">
        <v>87</v>
      </c>
      <c r="GG783" s="4">
        <v>69</v>
      </c>
      <c r="GH783" s="4">
        <v>61</v>
      </c>
      <c r="GI783" s="4">
        <v>49</v>
      </c>
      <c r="GJ783" s="4">
        <v>44</v>
      </c>
      <c r="GK783" s="4">
        <v>40</v>
      </c>
      <c r="GL783" s="4">
        <v>34</v>
      </c>
      <c r="GM783" s="4">
        <v>30</v>
      </c>
      <c r="GN783" s="4">
        <v>25</v>
      </c>
      <c r="GO783" s="4">
        <v>21</v>
      </c>
      <c r="GP783" s="4">
        <v>16</v>
      </c>
      <c r="GQ783" s="4">
        <v>13</v>
      </c>
      <c r="GR783" s="4">
        <v>10</v>
      </c>
      <c r="GS783" s="4">
        <v>7</v>
      </c>
      <c r="GT783" s="4">
        <v>4</v>
      </c>
      <c r="GU783" s="4">
        <v>1</v>
      </c>
      <c r="GV783" s="4">
        <v>59</v>
      </c>
      <c r="GW783" s="4">
        <v>56</v>
      </c>
      <c r="GX783" s="4">
        <v>54</v>
      </c>
      <c r="GY783" s="4">
        <v>52</v>
      </c>
      <c r="GZ783" s="4">
        <v>50</v>
      </c>
      <c r="HA783" s="4">
        <v>48</v>
      </c>
      <c r="HB783" s="4">
        <v>46</v>
      </c>
      <c r="HC783" s="19">
        <v>7.8</v>
      </c>
      <c r="HD783" s="19">
        <v>9.6</v>
      </c>
      <c r="HE783" s="19">
        <v>8.1</v>
      </c>
      <c r="HF783" s="19">
        <v>7.9</v>
      </c>
      <c r="HG783" s="19">
        <v>9.9</v>
      </c>
      <c r="HH783" s="19">
        <v>8.7</v>
      </c>
      <c r="HI783" s="19">
        <v>9.8</v>
      </c>
      <c r="HJ783" s="19">
        <v>8.8</v>
      </c>
      <c r="HK783" s="19">
        <v>8</v>
      </c>
      <c r="HL783" s="19">
        <v>8.5</v>
      </c>
      <c r="HM783" s="19">
        <v>7.5</v>
      </c>
      <c r="HN783" s="19">
        <v>6.3</v>
      </c>
      <c r="HO783" s="19">
        <v>5.3</v>
      </c>
      <c r="HP783" s="19">
        <v>5.3</v>
      </c>
      <c r="HQ783" s="19">
        <v>4.3</v>
      </c>
      <c r="HR783" s="19">
        <v>5</v>
      </c>
      <c r="HS783" s="19">
        <v>3.5</v>
      </c>
      <c r="HT783" s="19">
        <v>2</v>
      </c>
      <c r="HU783" s="19">
        <v>0.5</v>
      </c>
      <c r="HV783" s="19">
        <v>29.5</v>
      </c>
      <c r="HW783" s="19">
        <v>28</v>
      </c>
      <c r="HX783" s="19">
        <v>27</v>
      </c>
      <c r="HY783" s="19">
        <v>26</v>
      </c>
      <c r="HZ783" s="19">
        <v>25</v>
      </c>
      <c r="IA783" s="19">
        <v>24</v>
      </c>
      <c r="IB783" s="19">
        <v>23</v>
      </c>
    </row>
    <row r="784">
      <c r="A784" s="2" t="s">
        <v>4253</v>
      </c>
      <c r="B784" s="2" t="s">
        <v>279</v>
      </c>
      <c r="C784" s="2" t="s">
        <v>2381</v>
      </c>
      <c r="D784" s="2" t="s">
        <v>281</v>
      </c>
      <c r="E784" s="2" t="s">
        <v>282</v>
      </c>
      <c r="F784" s="2" t="s">
        <v>4189</v>
      </c>
      <c r="G784" s="2" t="s">
        <v>4189</v>
      </c>
      <c r="H784" s="2" t="s">
        <v>4189</v>
      </c>
      <c r="I784" s="2" t="s">
        <v>345</v>
      </c>
      <c r="J784" s="2" t="s">
        <v>247</v>
      </c>
      <c r="K784" s="2" t="s">
        <v>534</v>
      </c>
      <c r="L784" s="3">
        <v>23.04</v>
      </c>
      <c r="M784" s="3">
        <v>24.19</v>
      </c>
      <c r="N784" s="3">
        <v>47.99</v>
      </c>
      <c r="O784" s="2" t="s">
        <v>230</v>
      </c>
      <c r="P784" s="2" t="s">
        <v>231</v>
      </c>
      <c r="Q784" s="2" t="s">
        <v>232</v>
      </c>
      <c r="R784" s="2" t="s">
        <v>233</v>
      </c>
      <c r="S784" s="2" t="s">
        <v>4251</v>
      </c>
      <c r="T784" s="2" t="s">
        <v>2765</v>
      </c>
      <c r="U784" s="2" t="s">
        <v>781</v>
      </c>
      <c r="V784" s="2" t="s">
        <v>236</v>
      </c>
      <c r="W784" s="2" t="s">
        <v>237</v>
      </c>
      <c r="X784" s="2" t="s">
        <v>620</v>
      </c>
      <c r="Y784" s="2" t="s">
        <v>238</v>
      </c>
      <c r="Z784" s="4">
        <v>171</v>
      </c>
      <c r="AA784" s="4">
        <f>=ROUNDDOWN(21.375,0)</f>
      </c>
      <c r="AB784" s="5">
        <v>8</v>
      </c>
      <c r="AC784" s="2" t="s">
        <v>233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233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233</v>
      </c>
      <c r="AW784" s="8" t="s">
        <v>233</v>
      </c>
      <c r="AX784" s="4" t="s">
        <v>233</v>
      </c>
      <c r="AY784" s="8" t="s">
        <v>233</v>
      </c>
      <c r="AZ784" s="7" t="s">
        <v>233</v>
      </c>
      <c r="BA784" s="7" t="s">
        <v>233</v>
      </c>
      <c r="BB784" s="7"/>
      <c r="BC784" s="4" t="s">
        <v>233</v>
      </c>
      <c r="BD784" s="8" t="s">
        <v>233</v>
      </c>
      <c r="BE784" s="4" t="s">
        <v>233</v>
      </c>
      <c r="BF784" s="8" t="s">
        <v>233</v>
      </c>
      <c r="BG784" s="7" t="s">
        <v>233</v>
      </c>
      <c r="BH784" s="7" t="s">
        <v>233</v>
      </c>
      <c r="BI784" s="7"/>
      <c r="BJ784" s="4">
        <v>41</v>
      </c>
      <c r="BK784" s="8">
        <v>1026.47</v>
      </c>
      <c r="BL784" s="2" t="s">
        <v>1640</v>
      </c>
      <c r="BM784" s="7"/>
      <c r="BN784" s="7"/>
      <c r="BO784" s="4"/>
      <c r="BP784" s="8"/>
      <c r="BQ784" s="4"/>
      <c r="BR784" s="8"/>
      <c r="BS784" s="7"/>
      <c r="BT784" s="7"/>
      <c r="BU784" s="2" t="s">
        <v>4193</v>
      </c>
      <c r="BV784" s="2" t="s">
        <v>233</v>
      </c>
      <c r="BW784" s="2" t="s">
        <v>233</v>
      </c>
      <c r="BX784" s="2" t="s">
        <v>241</v>
      </c>
      <c r="BY784" s="2" t="s">
        <v>242</v>
      </c>
      <c r="BZ784" s="2" t="s">
        <v>230</v>
      </c>
      <c r="CA784" s="2" t="s">
        <v>4218</v>
      </c>
      <c r="CB784" s="2" t="s">
        <v>4254</v>
      </c>
      <c r="CC784" s="2" t="s">
        <v>245</v>
      </c>
      <c r="CD784" s="2" t="s">
        <v>233</v>
      </c>
      <c r="CE784" s="4">
        <v>71</v>
      </c>
      <c r="CF784" s="4">
        <v>100</v>
      </c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>
        <v>197</v>
      </c>
      <c r="GD784" s="4">
        <v>183</v>
      </c>
      <c r="GE784" s="4">
        <v>172</v>
      </c>
      <c r="GF784" s="4">
        <v>158</v>
      </c>
      <c r="GG784" s="4">
        <v>135</v>
      </c>
      <c r="GH784" s="4">
        <v>125</v>
      </c>
      <c r="GI784" s="4">
        <v>112</v>
      </c>
      <c r="GJ784" s="4">
        <v>105</v>
      </c>
      <c r="GK784" s="4">
        <v>100</v>
      </c>
      <c r="GL784" s="4">
        <v>96</v>
      </c>
      <c r="GM784" s="4">
        <v>93</v>
      </c>
      <c r="GN784" s="4">
        <v>90</v>
      </c>
      <c r="GO784" s="4">
        <v>87</v>
      </c>
      <c r="GP784" s="4">
        <v>82</v>
      </c>
      <c r="GQ784" s="4">
        <v>80</v>
      </c>
      <c r="GR784" s="4">
        <v>77</v>
      </c>
      <c r="GS784" s="4">
        <v>74</v>
      </c>
      <c r="GT784" s="4">
        <v>71</v>
      </c>
      <c r="GU784" s="4">
        <v>68</v>
      </c>
      <c r="GV784" s="4">
        <v>73</v>
      </c>
      <c r="GW784" s="4">
        <v>70</v>
      </c>
      <c r="GX784" s="4">
        <v>67</v>
      </c>
      <c r="GY784" s="4">
        <v>64</v>
      </c>
      <c r="GZ784" s="4">
        <v>62</v>
      </c>
      <c r="HA784" s="4">
        <v>60</v>
      </c>
      <c r="HB784" s="4">
        <v>58</v>
      </c>
      <c r="HC784" s="19">
        <v>12.3</v>
      </c>
      <c r="HD784" s="19">
        <v>13.1</v>
      </c>
      <c r="HE784" s="19">
        <v>11.5</v>
      </c>
      <c r="HF784" s="19">
        <v>12.2</v>
      </c>
      <c r="HG784" s="19">
        <v>15</v>
      </c>
      <c r="HH784" s="19">
        <v>17.9</v>
      </c>
      <c r="HI784" s="19">
        <v>22.4</v>
      </c>
      <c r="HJ784" s="19">
        <v>26.3</v>
      </c>
      <c r="HK784" s="19">
        <v>33.3</v>
      </c>
      <c r="HL784" s="19">
        <v>24</v>
      </c>
      <c r="HM784" s="19">
        <v>31</v>
      </c>
      <c r="HN784" s="19">
        <v>30</v>
      </c>
      <c r="HO784" s="19">
        <v>29</v>
      </c>
      <c r="HP784" s="19">
        <v>27.3</v>
      </c>
      <c r="HQ784" s="9"/>
      <c r="HR784" s="19">
        <v>25.7</v>
      </c>
      <c r="HS784" s="19">
        <v>24.7</v>
      </c>
      <c r="HT784" s="19">
        <v>23.7</v>
      </c>
      <c r="HU784" s="19">
        <v>22.7</v>
      </c>
      <c r="HV784" s="19">
        <v>24.3</v>
      </c>
      <c r="HW784" s="19">
        <v>35</v>
      </c>
      <c r="HX784" s="19">
        <v>33.5</v>
      </c>
      <c r="HY784" s="19">
        <v>32</v>
      </c>
      <c r="HZ784" s="19">
        <v>31</v>
      </c>
      <c r="IA784" s="19">
        <v>30</v>
      </c>
      <c r="IB784" s="19">
        <v>29</v>
      </c>
    </row>
    <row r="785">
      <c r="A785" s="2" t="s">
        <v>4255</v>
      </c>
      <c r="B785" s="2" t="s">
        <v>279</v>
      </c>
      <c r="C785" s="2" t="s">
        <v>2381</v>
      </c>
      <c r="D785" s="2" t="s">
        <v>281</v>
      </c>
      <c r="E785" s="2" t="s">
        <v>282</v>
      </c>
      <c r="F785" s="2" t="s">
        <v>4189</v>
      </c>
      <c r="G785" s="2" t="s">
        <v>4189</v>
      </c>
      <c r="H785" s="2" t="s">
        <v>4189</v>
      </c>
      <c r="I785" s="2" t="s">
        <v>345</v>
      </c>
      <c r="J785" s="2" t="s">
        <v>256</v>
      </c>
      <c r="K785" s="2" t="s">
        <v>534</v>
      </c>
      <c r="L785" s="3">
        <v>31.2</v>
      </c>
      <c r="M785" s="3">
        <v>32.76</v>
      </c>
      <c r="N785" s="3">
        <v>64.99</v>
      </c>
      <c r="O785" s="2" t="s">
        <v>230</v>
      </c>
      <c r="P785" s="2" t="s">
        <v>586</v>
      </c>
      <c r="Q785" s="2" t="s">
        <v>232</v>
      </c>
      <c r="R785" s="2" t="s">
        <v>233</v>
      </c>
      <c r="S785" s="2" t="s">
        <v>4251</v>
      </c>
      <c r="T785" s="2" t="s">
        <v>2765</v>
      </c>
      <c r="U785" s="2" t="s">
        <v>287</v>
      </c>
      <c r="V785" s="2" t="s">
        <v>236</v>
      </c>
      <c r="W785" s="2" t="s">
        <v>237</v>
      </c>
      <c r="X785" s="2" t="s">
        <v>620</v>
      </c>
      <c r="Y785" s="2" t="s">
        <v>238</v>
      </c>
      <c r="Z785" s="4">
        <v>492</v>
      </c>
      <c r="AA785" s="4">
        <f>=ROUNDDOWN(24.6,0)</f>
      </c>
      <c r="AB785" s="5">
        <v>20</v>
      </c>
      <c r="AC785" s="2" t="s">
        <v>233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233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233</v>
      </c>
      <c r="AW785" s="8" t="s">
        <v>233</v>
      </c>
      <c r="AX785" s="4" t="s">
        <v>233</v>
      </c>
      <c r="AY785" s="8" t="s">
        <v>233</v>
      </c>
      <c r="AZ785" s="7" t="s">
        <v>233</v>
      </c>
      <c r="BA785" s="7" t="s">
        <v>233</v>
      </c>
      <c r="BB785" s="7"/>
      <c r="BC785" s="4" t="s">
        <v>233</v>
      </c>
      <c r="BD785" s="8" t="s">
        <v>233</v>
      </c>
      <c r="BE785" s="4" t="s">
        <v>233</v>
      </c>
      <c r="BF785" s="8" t="s">
        <v>233</v>
      </c>
      <c r="BG785" s="7" t="s">
        <v>233</v>
      </c>
      <c r="BH785" s="7" t="s">
        <v>233</v>
      </c>
      <c r="BI785" s="7"/>
      <c r="BJ785" s="4">
        <v>123</v>
      </c>
      <c r="BK785" s="8">
        <v>4187.54</v>
      </c>
      <c r="BL785" s="2" t="s">
        <v>4256</v>
      </c>
      <c r="BM785" s="7"/>
      <c r="BN785" s="7"/>
      <c r="BO785" s="4"/>
      <c r="BP785" s="8"/>
      <c r="BQ785" s="4"/>
      <c r="BR785" s="8"/>
      <c r="BS785" s="7"/>
      <c r="BT785" s="7"/>
      <c r="BU785" s="2" t="s">
        <v>4193</v>
      </c>
      <c r="BV785" s="2" t="s">
        <v>233</v>
      </c>
      <c r="BW785" s="2" t="s">
        <v>233</v>
      </c>
      <c r="BX785" s="2" t="s">
        <v>241</v>
      </c>
      <c r="BY785" s="2" t="s">
        <v>242</v>
      </c>
      <c r="BZ785" s="2" t="s">
        <v>230</v>
      </c>
      <c r="CA785" s="2" t="s">
        <v>243</v>
      </c>
      <c r="CB785" s="2" t="s">
        <v>3822</v>
      </c>
      <c r="CC785" s="2" t="s">
        <v>245</v>
      </c>
      <c r="CD785" s="2" t="s">
        <v>233</v>
      </c>
      <c r="CE785" s="4">
        <v>202</v>
      </c>
      <c r="CF785" s="4">
        <v>170</v>
      </c>
      <c r="CG785" s="4"/>
      <c r="CH785" s="4"/>
      <c r="CI785" s="4"/>
      <c r="CJ785" s="4"/>
      <c r="CK785" s="4"/>
      <c r="CL785" s="4">
        <v>120</v>
      </c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>
        <v>510</v>
      </c>
      <c r="GD785" s="4">
        <v>466</v>
      </c>
      <c r="GE785" s="4">
        <v>434</v>
      </c>
      <c r="GF785" s="4">
        <v>395</v>
      </c>
      <c r="GG785" s="4">
        <v>329</v>
      </c>
      <c r="GH785" s="4">
        <v>302</v>
      </c>
      <c r="GI785" s="4">
        <v>264</v>
      </c>
      <c r="GJ785" s="4">
        <v>244</v>
      </c>
      <c r="GK785" s="4">
        <v>232</v>
      </c>
      <c r="GL785" s="4">
        <v>213</v>
      </c>
      <c r="GM785" s="4">
        <v>201</v>
      </c>
      <c r="GN785" s="4">
        <v>188</v>
      </c>
      <c r="GO785" s="4">
        <v>174</v>
      </c>
      <c r="GP785" s="4">
        <v>161</v>
      </c>
      <c r="GQ785" s="4">
        <v>152</v>
      </c>
      <c r="GR785" s="4">
        <v>144</v>
      </c>
      <c r="GS785" s="4">
        <v>137</v>
      </c>
      <c r="GT785" s="4">
        <v>130</v>
      </c>
      <c r="GU785" s="4">
        <v>123</v>
      </c>
      <c r="GV785" s="4">
        <v>196</v>
      </c>
      <c r="GW785" s="4">
        <v>189</v>
      </c>
      <c r="GX785" s="4">
        <v>182</v>
      </c>
      <c r="GY785" s="4">
        <v>175</v>
      </c>
      <c r="GZ785" s="4">
        <v>170</v>
      </c>
      <c r="HA785" s="4">
        <v>165</v>
      </c>
      <c r="HB785" s="4">
        <v>160</v>
      </c>
      <c r="HC785" s="19">
        <v>11.3</v>
      </c>
      <c r="HD785" s="19">
        <v>11.4</v>
      </c>
      <c r="HE785" s="19">
        <v>10.3</v>
      </c>
      <c r="HF785" s="19">
        <v>10.4</v>
      </c>
      <c r="HG785" s="19">
        <v>13.7</v>
      </c>
      <c r="HH785" s="19">
        <v>13.7</v>
      </c>
      <c r="HI785" s="19">
        <v>16.5</v>
      </c>
      <c r="HJ785" s="19">
        <v>17.4</v>
      </c>
      <c r="HK785" s="19">
        <v>16.6</v>
      </c>
      <c r="HL785" s="19">
        <v>16.4</v>
      </c>
      <c r="HM785" s="19">
        <v>16.8</v>
      </c>
      <c r="HN785" s="19">
        <v>17.1</v>
      </c>
      <c r="HO785" s="19">
        <v>19.3</v>
      </c>
      <c r="HP785" s="19">
        <v>20.1</v>
      </c>
      <c r="HQ785" s="19">
        <v>21.7</v>
      </c>
      <c r="HR785" s="19">
        <v>20.6</v>
      </c>
      <c r="HS785" s="19">
        <v>19.6</v>
      </c>
      <c r="HT785" s="19">
        <v>18.6</v>
      </c>
      <c r="HU785" s="19">
        <v>17.6</v>
      </c>
      <c r="HV785" s="19">
        <v>32.7</v>
      </c>
      <c r="HW785" s="19">
        <v>31.5</v>
      </c>
      <c r="HX785" s="19">
        <v>30.3</v>
      </c>
      <c r="HY785" s="19">
        <v>35</v>
      </c>
      <c r="HZ785" s="19">
        <v>34</v>
      </c>
      <c r="IA785" s="19">
        <v>33</v>
      </c>
      <c r="IB785" s="19">
        <v>32</v>
      </c>
    </row>
    <row r="786">
      <c r="A786" s="2" t="s">
        <v>4257</v>
      </c>
      <c r="B786" s="2" t="s">
        <v>279</v>
      </c>
      <c r="C786" s="2" t="s">
        <v>2381</v>
      </c>
      <c r="D786" s="2" t="s">
        <v>281</v>
      </c>
      <c r="E786" s="2" t="s">
        <v>282</v>
      </c>
      <c r="F786" s="2" t="s">
        <v>4189</v>
      </c>
      <c r="G786" s="2" t="s">
        <v>4189</v>
      </c>
      <c r="H786" s="2" t="s">
        <v>4189</v>
      </c>
      <c r="I786" s="2" t="s">
        <v>345</v>
      </c>
      <c r="J786" s="2" t="s">
        <v>228</v>
      </c>
      <c r="K786" s="2" t="s">
        <v>1777</v>
      </c>
      <c r="L786" s="3">
        <v>21.62</v>
      </c>
      <c r="M786" s="3">
        <v>22.7</v>
      </c>
      <c r="N786" s="3">
        <v>46.99</v>
      </c>
      <c r="O786" s="2" t="s">
        <v>230</v>
      </c>
      <c r="P786" s="2" t="s">
        <v>597</v>
      </c>
      <c r="Q786" s="2" t="s">
        <v>232</v>
      </c>
      <c r="R786" s="2" t="s">
        <v>233</v>
      </c>
      <c r="S786" s="2" t="s">
        <v>4258</v>
      </c>
      <c r="T786" s="2" t="s">
        <v>2765</v>
      </c>
      <c r="U786" s="2" t="s">
        <v>781</v>
      </c>
      <c r="V786" s="2" t="s">
        <v>236</v>
      </c>
      <c r="W786" s="2" t="s">
        <v>237</v>
      </c>
      <c r="X786" s="2" t="s">
        <v>620</v>
      </c>
      <c r="Y786" s="2" t="s">
        <v>238</v>
      </c>
      <c r="Z786" s="4">
        <v>790</v>
      </c>
      <c r="AA786" s="4">
        <f>=ROUNDDOWN(17.5555555555556,0)</f>
      </c>
      <c r="AB786" s="5">
        <v>45</v>
      </c>
      <c r="AC786" s="2" t="s">
        <v>233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233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233</v>
      </c>
      <c r="AW786" s="8" t="s">
        <v>233</v>
      </c>
      <c r="AX786" s="4" t="s">
        <v>233</v>
      </c>
      <c r="AY786" s="8" t="s">
        <v>233</v>
      </c>
      <c r="AZ786" s="7" t="s">
        <v>233</v>
      </c>
      <c r="BA786" s="7" t="s">
        <v>233</v>
      </c>
      <c r="BB786" s="7"/>
      <c r="BC786" s="4" t="s">
        <v>233</v>
      </c>
      <c r="BD786" s="8" t="s">
        <v>233</v>
      </c>
      <c r="BE786" s="4" t="s">
        <v>233</v>
      </c>
      <c r="BF786" s="8" t="s">
        <v>233</v>
      </c>
      <c r="BG786" s="7" t="s">
        <v>233</v>
      </c>
      <c r="BH786" s="7" t="s">
        <v>233</v>
      </c>
      <c r="BI786" s="7"/>
      <c r="BJ786" s="4">
        <v>167</v>
      </c>
      <c r="BK786" s="8">
        <v>3963.92</v>
      </c>
      <c r="BL786" s="2" t="s">
        <v>4259</v>
      </c>
      <c r="BM786" s="7"/>
      <c r="BN786" s="7"/>
      <c r="BO786" s="4"/>
      <c r="BP786" s="8"/>
      <c r="BQ786" s="4"/>
      <c r="BR786" s="8"/>
      <c r="BS786" s="7"/>
      <c r="BT786" s="7"/>
      <c r="BU786" s="2" t="s">
        <v>4193</v>
      </c>
      <c r="BV786" s="2" t="s">
        <v>233</v>
      </c>
      <c r="BW786" s="2" t="s">
        <v>233</v>
      </c>
      <c r="BX786" s="2" t="s">
        <v>241</v>
      </c>
      <c r="BY786" s="2" t="s">
        <v>242</v>
      </c>
      <c r="BZ786" s="2" t="s">
        <v>230</v>
      </c>
      <c r="CA786" s="2" t="s">
        <v>243</v>
      </c>
      <c r="CB786" s="2" t="s">
        <v>4260</v>
      </c>
      <c r="CC786" s="2" t="s">
        <v>245</v>
      </c>
      <c r="CD786" s="2" t="s">
        <v>233</v>
      </c>
      <c r="CE786" s="4">
        <v>354</v>
      </c>
      <c r="CF786" s="4">
        <v>436</v>
      </c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>
        <v>990</v>
      </c>
      <c r="GD786" s="4">
        <v>616</v>
      </c>
      <c r="GE786" s="4">
        <v>579</v>
      </c>
      <c r="GF786" s="4">
        <v>535</v>
      </c>
      <c r="GG786" s="4">
        <v>468</v>
      </c>
      <c r="GH786" s="4">
        <v>437</v>
      </c>
      <c r="GI786" s="4">
        <v>380</v>
      </c>
      <c r="GJ786" s="4">
        <v>357</v>
      </c>
      <c r="GK786" s="4">
        <v>337</v>
      </c>
      <c r="GL786" s="4">
        <v>311</v>
      </c>
      <c r="GM786" s="4">
        <v>291</v>
      </c>
      <c r="GN786" s="4">
        <v>270</v>
      </c>
      <c r="GO786" s="4">
        <v>250</v>
      </c>
      <c r="GP786" s="4">
        <v>228</v>
      </c>
      <c r="GQ786" s="4">
        <v>213</v>
      </c>
      <c r="GR786" s="4">
        <v>197</v>
      </c>
      <c r="GS786" s="4">
        <v>184</v>
      </c>
      <c r="GT786" s="4">
        <v>171</v>
      </c>
      <c r="GU786" s="4">
        <v>158</v>
      </c>
      <c r="GV786" s="4">
        <v>147</v>
      </c>
      <c r="GW786" s="4">
        <v>136</v>
      </c>
      <c r="GX786" s="4">
        <v>125</v>
      </c>
      <c r="GY786" s="4">
        <v>114</v>
      </c>
      <c r="GZ786" s="4">
        <v>105</v>
      </c>
      <c r="HA786" s="4">
        <v>96</v>
      </c>
      <c r="HB786" s="4">
        <v>87</v>
      </c>
      <c r="HC786" s="19">
        <v>7.6</v>
      </c>
      <c r="HD786" s="19">
        <v>13.7</v>
      </c>
      <c r="HE786" s="19">
        <v>11.6</v>
      </c>
      <c r="HF786" s="19">
        <v>12.2</v>
      </c>
      <c r="HG786" s="19">
        <v>14.2</v>
      </c>
      <c r="HH786" s="19">
        <v>13.7</v>
      </c>
      <c r="HI786" s="19">
        <v>17.3</v>
      </c>
      <c r="HJ786" s="19">
        <v>16.2</v>
      </c>
      <c r="HK786" s="19">
        <v>15.3</v>
      </c>
      <c r="HL786" s="19">
        <v>14.8</v>
      </c>
      <c r="HM786" s="19">
        <v>14.6</v>
      </c>
      <c r="HN786" s="19">
        <v>15</v>
      </c>
      <c r="HO786" s="19">
        <v>15.6</v>
      </c>
      <c r="HP786" s="19">
        <v>16.3</v>
      </c>
      <c r="HQ786" s="19">
        <v>15.2</v>
      </c>
      <c r="HR786" s="19">
        <v>16.4</v>
      </c>
      <c r="HS786" s="19">
        <v>15.3</v>
      </c>
      <c r="HT786" s="19">
        <v>14.3</v>
      </c>
      <c r="HU786" s="19">
        <v>14.4</v>
      </c>
      <c r="HV786" s="19">
        <v>14.7</v>
      </c>
      <c r="HW786" s="19">
        <v>13.6</v>
      </c>
      <c r="HX786" s="19">
        <v>12.5</v>
      </c>
      <c r="HY786" s="19">
        <v>12.7</v>
      </c>
      <c r="HZ786" s="19">
        <v>11.7</v>
      </c>
      <c r="IA786" s="19">
        <v>10.7</v>
      </c>
      <c r="IB786" s="19">
        <v>9.7</v>
      </c>
    </row>
    <row r="787">
      <c r="A787" s="2" t="s">
        <v>4261</v>
      </c>
      <c r="B787" s="2" t="s">
        <v>279</v>
      </c>
      <c r="C787" s="2" t="s">
        <v>2381</v>
      </c>
      <c r="D787" s="2" t="s">
        <v>281</v>
      </c>
      <c r="E787" s="2" t="s">
        <v>282</v>
      </c>
      <c r="F787" s="2" t="s">
        <v>4189</v>
      </c>
      <c r="G787" s="2" t="s">
        <v>4189</v>
      </c>
      <c r="H787" s="2" t="s">
        <v>4189</v>
      </c>
      <c r="I787" s="2" t="s">
        <v>345</v>
      </c>
      <c r="J787" s="2" t="s">
        <v>285</v>
      </c>
      <c r="K787" s="2" t="s">
        <v>1777</v>
      </c>
      <c r="L787" s="3">
        <v>31.85</v>
      </c>
      <c r="M787" s="3">
        <v>33.44</v>
      </c>
      <c r="N787" s="3">
        <v>64.99</v>
      </c>
      <c r="O787" s="2" t="s">
        <v>230</v>
      </c>
      <c r="P787" s="2" t="s">
        <v>231</v>
      </c>
      <c r="Q787" s="2" t="s">
        <v>232</v>
      </c>
      <c r="R787" s="2" t="s">
        <v>233</v>
      </c>
      <c r="S787" s="2" t="s">
        <v>4258</v>
      </c>
      <c r="T787" s="2" t="s">
        <v>2765</v>
      </c>
      <c r="U787" s="2" t="s">
        <v>287</v>
      </c>
      <c r="V787" s="2" t="s">
        <v>236</v>
      </c>
      <c r="W787" s="2" t="s">
        <v>237</v>
      </c>
      <c r="X787" s="2" t="s">
        <v>620</v>
      </c>
      <c r="Y787" s="2" t="s">
        <v>238</v>
      </c>
      <c r="Z787" s="4">
        <v>195</v>
      </c>
      <c r="AA787" s="4">
        <f>=ROUNDDOWN(24.375,0)</f>
      </c>
      <c r="AB787" s="5">
        <v>8</v>
      </c>
      <c r="AC787" s="2" t="s">
        <v>233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233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233</v>
      </c>
      <c r="AW787" s="8" t="s">
        <v>233</v>
      </c>
      <c r="AX787" s="4" t="s">
        <v>233</v>
      </c>
      <c r="AY787" s="8" t="s">
        <v>233</v>
      </c>
      <c r="AZ787" s="7" t="s">
        <v>233</v>
      </c>
      <c r="BA787" s="7" t="s">
        <v>233</v>
      </c>
      <c r="BB787" s="7"/>
      <c r="BC787" s="4" t="s">
        <v>233</v>
      </c>
      <c r="BD787" s="8" t="s">
        <v>233</v>
      </c>
      <c r="BE787" s="4" t="s">
        <v>233</v>
      </c>
      <c r="BF787" s="8" t="s">
        <v>233</v>
      </c>
      <c r="BG787" s="7" t="s">
        <v>233</v>
      </c>
      <c r="BH787" s="7" t="s">
        <v>233</v>
      </c>
      <c r="BI787" s="7"/>
      <c r="BJ787" s="4">
        <v>23</v>
      </c>
      <c r="BK787" s="8">
        <v>785.44</v>
      </c>
      <c r="BL787" s="2" t="s">
        <v>4217</v>
      </c>
      <c r="BM787" s="7"/>
      <c r="BN787" s="7"/>
      <c r="BO787" s="4"/>
      <c r="BP787" s="8"/>
      <c r="BQ787" s="4"/>
      <c r="BR787" s="8"/>
      <c r="BS787" s="7"/>
      <c r="BT787" s="7"/>
      <c r="BU787" s="2" t="s">
        <v>4193</v>
      </c>
      <c r="BV787" s="2" t="s">
        <v>233</v>
      </c>
      <c r="BW787" s="2" t="s">
        <v>233</v>
      </c>
      <c r="BX787" s="2" t="s">
        <v>241</v>
      </c>
      <c r="BY787" s="2" t="s">
        <v>242</v>
      </c>
      <c r="BZ787" s="2" t="s">
        <v>230</v>
      </c>
      <c r="CA787" s="2" t="s">
        <v>243</v>
      </c>
      <c r="CB787" s="2" t="s">
        <v>505</v>
      </c>
      <c r="CC787" s="2" t="s">
        <v>245</v>
      </c>
      <c r="CD787" s="2" t="s">
        <v>233</v>
      </c>
      <c r="CE787" s="4">
        <v>106</v>
      </c>
      <c r="CF787" s="4">
        <v>89</v>
      </c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>
        <v>218</v>
      </c>
      <c r="GD787" s="4">
        <v>181</v>
      </c>
      <c r="GE787" s="4">
        <v>170</v>
      </c>
      <c r="GF787" s="4">
        <v>157</v>
      </c>
      <c r="GG787" s="4">
        <v>135</v>
      </c>
      <c r="GH787" s="4">
        <v>126</v>
      </c>
      <c r="GI787" s="4">
        <v>113</v>
      </c>
      <c r="GJ787" s="4">
        <v>106</v>
      </c>
      <c r="GK787" s="4">
        <v>101</v>
      </c>
      <c r="GL787" s="4">
        <v>95</v>
      </c>
      <c r="GM787" s="4">
        <v>91</v>
      </c>
      <c r="GN787" s="4">
        <v>86</v>
      </c>
      <c r="GO787" s="4">
        <v>81</v>
      </c>
      <c r="GP787" s="4">
        <v>76</v>
      </c>
      <c r="GQ787" s="4">
        <v>72</v>
      </c>
      <c r="GR787" s="4">
        <v>68</v>
      </c>
      <c r="GS787" s="4">
        <v>65</v>
      </c>
      <c r="GT787" s="4">
        <v>62</v>
      </c>
      <c r="GU787" s="4">
        <v>59</v>
      </c>
      <c r="GV787" s="4">
        <v>57</v>
      </c>
      <c r="GW787" s="4">
        <v>55</v>
      </c>
      <c r="GX787" s="4">
        <v>53</v>
      </c>
      <c r="GY787" s="4">
        <v>51</v>
      </c>
      <c r="GZ787" s="4">
        <v>49</v>
      </c>
      <c r="HA787" s="4">
        <v>47</v>
      </c>
      <c r="HB787" s="4">
        <v>45</v>
      </c>
      <c r="HC787" s="19">
        <v>10.4</v>
      </c>
      <c r="HD787" s="19">
        <v>12.9</v>
      </c>
      <c r="HE787" s="19">
        <v>12.1</v>
      </c>
      <c r="HF787" s="19">
        <v>12.1</v>
      </c>
      <c r="HG787" s="19">
        <v>16.9</v>
      </c>
      <c r="HH787" s="19">
        <v>15.8</v>
      </c>
      <c r="HI787" s="19">
        <v>18.8</v>
      </c>
      <c r="HJ787" s="19">
        <v>21.2</v>
      </c>
      <c r="HK787" s="19">
        <v>20.2</v>
      </c>
      <c r="HL787" s="19">
        <v>19</v>
      </c>
      <c r="HM787" s="19">
        <v>18.2</v>
      </c>
      <c r="HN787" s="19">
        <v>21.5</v>
      </c>
      <c r="HO787" s="19">
        <v>20.3</v>
      </c>
      <c r="HP787" s="19">
        <v>19</v>
      </c>
      <c r="HQ787" s="19">
        <v>24</v>
      </c>
      <c r="HR787" s="19">
        <v>22.7</v>
      </c>
      <c r="HS787" s="19">
        <v>32.5</v>
      </c>
      <c r="HT787" s="19">
        <v>31</v>
      </c>
      <c r="HU787" s="19">
        <v>29.5</v>
      </c>
      <c r="HV787" s="19">
        <v>28.5</v>
      </c>
      <c r="HW787" s="19">
        <v>27.5</v>
      </c>
      <c r="HX787" s="19">
        <v>26.5</v>
      </c>
      <c r="HY787" s="19">
        <v>25.5</v>
      </c>
      <c r="HZ787" s="19">
        <v>24.5</v>
      </c>
      <c r="IA787" s="19">
        <v>23.5</v>
      </c>
      <c r="IB787" s="19">
        <v>22.5</v>
      </c>
    </row>
    <row r="788">
      <c r="A788" s="2" t="s">
        <v>4262</v>
      </c>
      <c r="B788" s="2" t="s">
        <v>279</v>
      </c>
      <c r="C788" s="2" t="s">
        <v>2381</v>
      </c>
      <c r="D788" s="2" t="s">
        <v>281</v>
      </c>
      <c r="E788" s="2" t="s">
        <v>282</v>
      </c>
      <c r="F788" s="2" t="s">
        <v>4189</v>
      </c>
      <c r="G788" s="2" t="s">
        <v>4189</v>
      </c>
      <c r="H788" s="2" t="s">
        <v>4189</v>
      </c>
      <c r="I788" s="2" t="s">
        <v>345</v>
      </c>
      <c r="J788" s="2" t="s">
        <v>228</v>
      </c>
      <c r="K788" s="2" t="s">
        <v>1121</v>
      </c>
      <c r="L788" s="3">
        <v>21.62</v>
      </c>
      <c r="M788" s="3">
        <v>22.7</v>
      </c>
      <c r="N788" s="3">
        <v>46.99</v>
      </c>
      <c r="O788" s="2" t="s">
        <v>230</v>
      </c>
      <c r="P788" s="2" t="s">
        <v>231</v>
      </c>
      <c r="Q788" s="2" t="s">
        <v>232</v>
      </c>
      <c r="R788" s="2" t="s">
        <v>233</v>
      </c>
      <c r="S788" s="2" t="s">
        <v>4263</v>
      </c>
      <c r="T788" s="2" t="s">
        <v>2765</v>
      </c>
      <c r="U788" s="2" t="s">
        <v>781</v>
      </c>
      <c r="V788" s="2" t="s">
        <v>236</v>
      </c>
      <c r="W788" s="2" t="s">
        <v>237</v>
      </c>
      <c r="X788" s="2" t="s">
        <v>620</v>
      </c>
      <c r="Y788" s="2" t="s">
        <v>238</v>
      </c>
      <c r="Z788" s="4">
        <v>293</v>
      </c>
      <c r="AA788" s="4">
        <f>=ROUNDDOWN(22.5384615384615,0)</f>
      </c>
      <c r="AB788" s="5">
        <v>13</v>
      </c>
      <c r="AC788" s="2" t="s">
        <v>233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233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233</v>
      </c>
      <c r="AW788" s="8" t="s">
        <v>233</v>
      </c>
      <c r="AX788" s="4" t="s">
        <v>233</v>
      </c>
      <c r="AY788" s="8" t="s">
        <v>233</v>
      </c>
      <c r="AZ788" s="7" t="s">
        <v>233</v>
      </c>
      <c r="BA788" s="7" t="s">
        <v>233</v>
      </c>
      <c r="BB788" s="7"/>
      <c r="BC788" s="4" t="s">
        <v>233</v>
      </c>
      <c r="BD788" s="8" t="s">
        <v>233</v>
      </c>
      <c r="BE788" s="4" t="s">
        <v>233</v>
      </c>
      <c r="BF788" s="8" t="s">
        <v>233</v>
      </c>
      <c r="BG788" s="7" t="s">
        <v>233</v>
      </c>
      <c r="BH788" s="7" t="s">
        <v>233</v>
      </c>
      <c r="BI788" s="7"/>
      <c r="BJ788" s="4">
        <v>44</v>
      </c>
      <c r="BK788" s="8">
        <v>1042.24</v>
      </c>
      <c r="BL788" s="2" t="s">
        <v>1549</v>
      </c>
      <c r="BM788" s="7"/>
      <c r="BN788" s="7"/>
      <c r="BO788" s="4"/>
      <c r="BP788" s="8"/>
      <c r="BQ788" s="4"/>
      <c r="BR788" s="8"/>
      <c r="BS788" s="7"/>
      <c r="BT788" s="7"/>
      <c r="BU788" s="2" t="s">
        <v>4193</v>
      </c>
      <c r="BV788" s="2" t="s">
        <v>233</v>
      </c>
      <c r="BW788" s="2" t="s">
        <v>233</v>
      </c>
      <c r="BX788" s="2" t="s">
        <v>241</v>
      </c>
      <c r="BY788" s="2" t="s">
        <v>242</v>
      </c>
      <c r="BZ788" s="2" t="s">
        <v>230</v>
      </c>
      <c r="CA788" s="2" t="s">
        <v>243</v>
      </c>
      <c r="CB788" s="2" t="s">
        <v>472</v>
      </c>
      <c r="CC788" s="2" t="s">
        <v>245</v>
      </c>
      <c r="CD788" s="2" t="s">
        <v>233</v>
      </c>
      <c r="CE788" s="4">
        <v>155</v>
      </c>
      <c r="CF788" s="4">
        <v>138</v>
      </c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>
        <v>338</v>
      </c>
      <c r="GD788" s="4">
        <v>246</v>
      </c>
      <c r="GE788" s="4">
        <v>234</v>
      </c>
      <c r="GF788" s="4">
        <v>221</v>
      </c>
      <c r="GG788" s="4">
        <v>200</v>
      </c>
      <c r="GH788" s="4">
        <v>190</v>
      </c>
      <c r="GI788" s="4">
        <v>173</v>
      </c>
      <c r="GJ788" s="4">
        <v>166</v>
      </c>
      <c r="GK788" s="4">
        <v>160</v>
      </c>
      <c r="GL788" s="4">
        <v>152</v>
      </c>
      <c r="GM788" s="4">
        <v>146</v>
      </c>
      <c r="GN788" s="4">
        <v>139</v>
      </c>
      <c r="GO788" s="4">
        <v>133</v>
      </c>
      <c r="GP788" s="4">
        <v>126</v>
      </c>
      <c r="GQ788" s="4">
        <v>121</v>
      </c>
      <c r="GR788" s="4">
        <v>116</v>
      </c>
      <c r="GS788" s="4">
        <v>112</v>
      </c>
      <c r="GT788" s="4">
        <v>108</v>
      </c>
      <c r="GU788" s="4">
        <v>104</v>
      </c>
      <c r="GV788" s="4">
        <v>101</v>
      </c>
      <c r="GW788" s="4">
        <v>98</v>
      </c>
      <c r="GX788" s="4">
        <v>95</v>
      </c>
      <c r="GY788" s="4">
        <v>92</v>
      </c>
      <c r="GZ788" s="4">
        <v>89</v>
      </c>
      <c r="HA788" s="4">
        <v>86</v>
      </c>
      <c r="HB788" s="4">
        <v>83</v>
      </c>
      <c r="HC788" s="19">
        <v>9.9</v>
      </c>
      <c r="HD788" s="19">
        <v>17.6</v>
      </c>
      <c r="HE788" s="19">
        <v>15.6</v>
      </c>
      <c r="HF788" s="19">
        <v>15.8</v>
      </c>
      <c r="HG788" s="19">
        <v>20</v>
      </c>
      <c r="HH788" s="19">
        <v>19</v>
      </c>
      <c r="HI788" s="19">
        <v>24.7</v>
      </c>
      <c r="HJ788" s="19">
        <v>23.7</v>
      </c>
      <c r="HK788" s="19">
        <v>22.9</v>
      </c>
      <c r="HL788" s="19">
        <v>25.3</v>
      </c>
      <c r="HM788" s="19">
        <v>24.3</v>
      </c>
      <c r="HN788" s="19">
        <v>23.2</v>
      </c>
      <c r="HO788" s="19">
        <v>26.6</v>
      </c>
      <c r="HP788" s="19">
        <v>31.5</v>
      </c>
      <c r="HQ788" s="19">
        <v>30.3</v>
      </c>
      <c r="HR788" s="19">
        <v>29</v>
      </c>
      <c r="HS788" s="19">
        <v>28</v>
      </c>
      <c r="HT788" s="19">
        <v>36</v>
      </c>
      <c r="HU788" s="19">
        <v>34.7</v>
      </c>
      <c r="HV788" s="19">
        <v>33.7</v>
      </c>
      <c r="HW788" s="19">
        <v>32.7</v>
      </c>
      <c r="HX788" s="19">
        <v>31.7</v>
      </c>
      <c r="HY788" s="19">
        <v>30.7</v>
      </c>
      <c r="HZ788" s="19">
        <v>29.7</v>
      </c>
      <c r="IA788" s="19">
        <v>28.7</v>
      </c>
      <c r="IB788" s="19">
        <v>27.7</v>
      </c>
    </row>
    <row r="789">
      <c r="A789" s="2" t="s">
        <v>4264</v>
      </c>
      <c r="B789" s="2" t="s">
        <v>279</v>
      </c>
      <c r="C789" s="2" t="s">
        <v>2381</v>
      </c>
      <c r="D789" s="2" t="s">
        <v>281</v>
      </c>
      <c r="E789" s="2" t="s">
        <v>282</v>
      </c>
      <c r="F789" s="2" t="s">
        <v>4189</v>
      </c>
      <c r="G789" s="2" t="s">
        <v>4189</v>
      </c>
      <c r="H789" s="2" t="s">
        <v>4189</v>
      </c>
      <c r="I789" s="2" t="s">
        <v>345</v>
      </c>
      <c r="J789" s="2" t="s">
        <v>256</v>
      </c>
      <c r="K789" s="2" t="s">
        <v>1121</v>
      </c>
      <c r="L789" s="3">
        <v>31.2</v>
      </c>
      <c r="M789" s="3">
        <v>32.76</v>
      </c>
      <c r="N789" s="3">
        <v>64.99</v>
      </c>
      <c r="O789" s="2" t="s">
        <v>230</v>
      </c>
      <c r="P789" s="2" t="s">
        <v>231</v>
      </c>
      <c r="Q789" s="2" t="s">
        <v>232</v>
      </c>
      <c r="R789" s="2" t="s">
        <v>233</v>
      </c>
      <c r="S789" s="2" t="s">
        <v>4263</v>
      </c>
      <c r="T789" s="2" t="s">
        <v>2765</v>
      </c>
      <c r="U789" s="2" t="s">
        <v>287</v>
      </c>
      <c r="V789" s="2" t="s">
        <v>236</v>
      </c>
      <c r="W789" s="2" t="s">
        <v>237</v>
      </c>
      <c r="X789" s="2" t="s">
        <v>620</v>
      </c>
      <c r="Y789" s="2" t="s">
        <v>238</v>
      </c>
      <c r="Z789" s="4">
        <v>388</v>
      </c>
      <c r="AA789" s="4">
        <f>=ROUNDDOWN(35.2727272727273,0)</f>
      </c>
      <c r="AB789" s="5">
        <v>11</v>
      </c>
      <c r="AC789" s="2" t="s">
        <v>233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233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233</v>
      </c>
      <c r="AW789" s="8" t="s">
        <v>233</v>
      </c>
      <c r="AX789" s="4" t="s">
        <v>233</v>
      </c>
      <c r="AY789" s="8" t="s">
        <v>233</v>
      </c>
      <c r="AZ789" s="7" t="s">
        <v>233</v>
      </c>
      <c r="BA789" s="7" t="s">
        <v>233</v>
      </c>
      <c r="BB789" s="7"/>
      <c r="BC789" s="4" t="s">
        <v>233</v>
      </c>
      <c r="BD789" s="8" t="s">
        <v>233</v>
      </c>
      <c r="BE789" s="4" t="s">
        <v>233</v>
      </c>
      <c r="BF789" s="8" t="s">
        <v>233</v>
      </c>
      <c r="BG789" s="7" t="s">
        <v>233</v>
      </c>
      <c r="BH789" s="7" t="s">
        <v>233</v>
      </c>
      <c r="BI789" s="7"/>
      <c r="BJ789" s="4">
        <v>49</v>
      </c>
      <c r="BK789" s="8">
        <v>1666.97</v>
      </c>
      <c r="BL789" s="2" t="s">
        <v>2492</v>
      </c>
      <c r="BM789" s="7"/>
      <c r="BN789" s="7"/>
      <c r="BO789" s="4"/>
      <c r="BP789" s="8"/>
      <c r="BQ789" s="4"/>
      <c r="BR789" s="8"/>
      <c r="BS789" s="7"/>
      <c r="BT789" s="7"/>
      <c r="BU789" s="2" t="s">
        <v>4193</v>
      </c>
      <c r="BV789" s="2" t="s">
        <v>233</v>
      </c>
      <c r="BW789" s="2" t="s">
        <v>233</v>
      </c>
      <c r="BX789" s="2" t="s">
        <v>241</v>
      </c>
      <c r="BY789" s="2" t="s">
        <v>242</v>
      </c>
      <c r="BZ789" s="2" t="s">
        <v>230</v>
      </c>
      <c r="CA789" s="2" t="s">
        <v>243</v>
      </c>
      <c r="CB789" s="2" t="s">
        <v>4265</v>
      </c>
      <c r="CC789" s="2" t="s">
        <v>245</v>
      </c>
      <c r="CD789" s="2" t="s">
        <v>233</v>
      </c>
      <c r="CE789" s="4">
        <v>220</v>
      </c>
      <c r="CF789" s="4">
        <v>168</v>
      </c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>
        <v>412</v>
      </c>
      <c r="GD789" s="4">
        <v>347</v>
      </c>
      <c r="GE789" s="4">
        <v>329</v>
      </c>
      <c r="GF789" s="4">
        <v>306</v>
      </c>
      <c r="GG789" s="4">
        <v>267</v>
      </c>
      <c r="GH789" s="4">
        <v>251</v>
      </c>
      <c r="GI789" s="4">
        <v>229</v>
      </c>
      <c r="GJ789" s="4">
        <v>217</v>
      </c>
      <c r="GK789" s="4">
        <v>210</v>
      </c>
      <c r="GL789" s="4">
        <v>198</v>
      </c>
      <c r="GM789" s="4">
        <v>191</v>
      </c>
      <c r="GN789" s="4">
        <v>183</v>
      </c>
      <c r="GO789" s="4">
        <v>174</v>
      </c>
      <c r="GP789" s="4">
        <v>166</v>
      </c>
      <c r="GQ789" s="4">
        <v>160</v>
      </c>
      <c r="GR789" s="4">
        <v>155</v>
      </c>
      <c r="GS789" s="4">
        <v>151</v>
      </c>
      <c r="GT789" s="4">
        <v>147</v>
      </c>
      <c r="GU789" s="4">
        <v>143</v>
      </c>
      <c r="GV789" s="4">
        <v>139</v>
      </c>
      <c r="GW789" s="4">
        <v>135</v>
      </c>
      <c r="GX789" s="4">
        <v>131</v>
      </c>
      <c r="GY789" s="4">
        <v>127</v>
      </c>
      <c r="GZ789" s="4">
        <v>124</v>
      </c>
      <c r="HA789" s="4">
        <v>121</v>
      </c>
      <c r="HB789" s="4">
        <v>118</v>
      </c>
      <c r="HC789" s="19">
        <v>11.4</v>
      </c>
      <c r="HD789" s="19">
        <v>14.5</v>
      </c>
      <c r="HE789" s="19">
        <v>13.2</v>
      </c>
      <c r="HF789" s="19">
        <v>13.9</v>
      </c>
      <c r="HG789" s="19">
        <v>19.1</v>
      </c>
      <c r="HH789" s="19">
        <v>19.3</v>
      </c>
      <c r="HI789" s="19">
        <v>22.9</v>
      </c>
      <c r="HJ789" s="19">
        <v>27.1</v>
      </c>
      <c r="HK789" s="19">
        <v>23.3</v>
      </c>
      <c r="HL789" s="19">
        <v>24.8</v>
      </c>
      <c r="HM789" s="19">
        <v>23.9</v>
      </c>
      <c r="HN789" s="19">
        <v>26.1</v>
      </c>
      <c r="HO789" s="19">
        <v>29</v>
      </c>
      <c r="HP789" s="19">
        <v>33.2</v>
      </c>
      <c r="HQ789" s="19">
        <v>40</v>
      </c>
      <c r="HR789" s="19">
        <v>38.8</v>
      </c>
      <c r="HS789" s="19">
        <v>37.8</v>
      </c>
      <c r="HT789" s="19">
        <v>36.8</v>
      </c>
      <c r="HU789" s="19">
        <v>35.8</v>
      </c>
      <c r="HV789" s="19">
        <v>34.8</v>
      </c>
      <c r="HW789" s="19">
        <v>33.8</v>
      </c>
      <c r="HX789" s="19">
        <v>43.7</v>
      </c>
      <c r="HY789" s="19">
        <v>42.3</v>
      </c>
      <c r="HZ789" s="19">
        <v>41.3</v>
      </c>
      <c r="IA789" s="19">
        <v>40.3</v>
      </c>
      <c r="IB789" s="19">
        <v>39.3</v>
      </c>
    </row>
    <row r="790">
      <c r="A790" s="2" t="s">
        <v>4266</v>
      </c>
      <c r="B790" s="2" t="s">
        <v>279</v>
      </c>
      <c r="C790" s="2" t="s">
        <v>2381</v>
      </c>
      <c r="D790" s="2" t="s">
        <v>281</v>
      </c>
      <c r="E790" s="2" t="s">
        <v>282</v>
      </c>
      <c r="F790" s="2" t="s">
        <v>4189</v>
      </c>
      <c r="G790" s="2" t="s">
        <v>4189</v>
      </c>
      <c r="H790" s="2" t="s">
        <v>4189</v>
      </c>
      <c r="I790" s="2" t="s">
        <v>345</v>
      </c>
      <c r="J790" s="2" t="s">
        <v>285</v>
      </c>
      <c r="K790" s="2" t="s">
        <v>1121</v>
      </c>
      <c r="L790" s="3">
        <v>31.85</v>
      </c>
      <c r="M790" s="3">
        <v>33.44</v>
      </c>
      <c r="N790" s="3">
        <v>64.99</v>
      </c>
      <c r="O790" s="2" t="s">
        <v>230</v>
      </c>
      <c r="P790" s="2" t="s">
        <v>231</v>
      </c>
      <c r="Q790" s="2" t="s">
        <v>232</v>
      </c>
      <c r="R790" s="2" t="s">
        <v>233</v>
      </c>
      <c r="S790" s="2" t="s">
        <v>4263</v>
      </c>
      <c r="T790" s="2" t="s">
        <v>2765</v>
      </c>
      <c r="U790" s="2" t="s">
        <v>287</v>
      </c>
      <c r="V790" s="2" t="s">
        <v>236</v>
      </c>
      <c r="W790" s="2" t="s">
        <v>237</v>
      </c>
      <c r="X790" s="2" t="s">
        <v>620</v>
      </c>
      <c r="Y790" s="2" t="s">
        <v>238</v>
      </c>
      <c r="Z790" s="4">
        <v>177</v>
      </c>
      <c r="AA790" s="4">
        <f>=ROUNDDOWN(35.4,0)</f>
      </c>
      <c r="AB790" s="5">
        <v>5</v>
      </c>
      <c r="AC790" s="2" t="s">
        <v>233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233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233</v>
      </c>
      <c r="AW790" s="8" t="s">
        <v>233</v>
      </c>
      <c r="AX790" s="4" t="s">
        <v>233</v>
      </c>
      <c r="AY790" s="8" t="s">
        <v>233</v>
      </c>
      <c r="AZ790" s="7" t="s">
        <v>233</v>
      </c>
      <c r="BA790" s="7" t="s">
        <v>233</v>
      </c>
      <c r="BB790" s="7"/>
      <c r="BC790" s="4" t="s">
        <v>233</v>
      </c>
      <c r="BD790" s="8" t="s">
        <v>233</v>
      </c>
      <c r="BE790" s="4" t="s">
        <v>233</v>
      </c>
      <c r="BF790" s="8" t="s">
        <v>233</v>
      </c>
      <c r="BG790" s="7" t="s">
        <v>233</v>
      </c>
      <c r="BH790" s="7" t="s">
        <v>233</v>
      </c>
      <c r="BI790" s="7"/>
      <c r="BJ790" s="4">
        <v>15</v>
      </c>
      <c r="BK790" s="8">
        <v>521.82</v>
      </c>
      <c r="BL790" s="2" t="s">
        <v>1668</v>
      </c>
      <c r="BM790" s="7"/>
      <c r="BN790" s="7"/>
      <c r="BO790" s="4"/>
      <c r="BP790" s="8"/>
      <c r="BQ790" s="4"/>
      <c r="BR790" s="8"/>
      <c r="BS790" s="7"/>
      <c r="BT790" s="7"/>
      <c r="BU790" s="2" t="s">
        <v>4193</v>
      </c>
      <c r="BV790" s="2" t="s">
        <v>233</v>
      </c>
      <c r="BW790" s="2" t="s">
        <v>233</v>
      </c>
      <c r="BX790" s="2" t="s">
        <v>241</v>
      </c>
      <c r="BY790" s="2" t="s">
        <v>242</v>
      </c>
      <c r="BZ790" s="2" t="s">
        <v>230</v>
      </c>
      <c r="CA790" s="2" t="s">
        <v>4218</v>
      </c>
      <c r="CB790" s="2" t="s">
        <v>4267</v>
      </c>
      <c r="CC790" s="2" t="s">
        <v>245</v>
      </c>
      <c r="CD790" s="2" t="s">
        <v>233</v>
      </c>
      <c r="CE790" s="4">
        <v>107</v>
      </c>
      <c r="CF790" s="4">
        <v>40</v>
      </c>
      <c r="CG790" s="4"/>
      <c r="CH790" s="4"/>
      <c r="CI790" s="4"/>
      <c r="CJ790" s="4"/>
      <c r="CK790" s="4"/>
      <c r="CL790" s="4">
        <v>30</v>
      </c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>
        <v>185</v>
      </c>
      <c r="GD790" s="4">
        <v>152</v>
      </c>
      <c r="GE790" s="4">
        <v>147</v>
      </c>
      <c r="GF790" s="4">
        <v>140</v>
      </c>
      <c r="GG790" s="4">
        <v>130</v>
      </c>
      <c r="GH790" s="4">
        <v>126</v>
      </c>
      <c r="GI790" s="4">
        <v>119</v>
      </c>
      <c r="GJ790" s="4">
        <v>115</v>
      </c>
      <c r="GK790" s="4">
        <v>113</v>
      </c>
      <c r="GL790" s="4">
        <v>111</v>
      </c>
      <c r="GM790" s="4">
        <v>109</v>
      </c>
      <c r="GN790" s="4">
        <v>107</v>
      </c>
      <c r="GO790" s="4">
        <v>105</v>
      </c>
      <c r="GP790" s="4">
        <v>103</v>
      </c>
      <c r="GQ790" s="4">
        <v>101</v>
      </c>
      <c r="GR790" s="4">
        <v>99</v>
      </c>
      <c r="GS790" s="4">
        <v>97</v>
      </c>
      <c r="GT790" s="4">
        <v>95</v>
      </c>
      <c r="GU790" s="4">
        <v>93</v>
      </c>
      <c r="GV790" s="4">
        <v>92</v>
      </c>
      <c r="GW790" s="4">
        <v>91</v>
      </c>
      <c r="GX790" s="4">
        <v>90</v>
      </c>
      <c r="GY790" s="4">
        <v>89</v>
      </c>
      <c r="GZ790" s="4">
        <v>88</v>
      </c>
      <c r="HA790" s="4">
        <v>87</v>
      </c>
      <c r="HB790" s="4">
        <v>86</v>
      </c>
      <c r="HC790" s="19">
        <v>13.2</v>
      </c>
      <c r="HD790" s="19">
        <v>25.3</v>
      </c>
      <c r="HE790" s="19">
        <v>21</v>
      </c>
      <c r="HF790" s="19">
        <v>23.3</v>
      </c>
      <c r="HG790" s="19">
        <v>32.5</v>
      </c>
      <c r="HH790" s="19">
        <v>31.5</v>
      </c>
      <c r="HI790" s="19">
        <v>59.5</v>
      </c>
      <c r="HJ790" s="19">
        <v>57.5</v>
      </c>
      <c r="HK790" s="19">
        <v>56.5</v>
      </c>
      <c r="HL790" s="19">
        <v>55.5</v>
      </c>
      <c r="HM790" s="19">
        <v>54.5</v>
      </c>
      <c r="HN790" s="19">
        <v>53.5</v>
      </c>
      <c r="HO790" s="19">
        <v>52.5</v>
      </c>
      <c r="HP790" s="19">
        <v>51.5</v>
      </c>
      <c r="HQ790" s="19">
        <v>50.5</v>
      </c>
      <c r="HR790" s="19">
        <v>49.5</v>
      </c>
      <c r="HS790" s="19">
        <v>48.5</v>
      </c>
      <c r="HT790" s="19">
        <v>95</v>
      </c>
      <c r="HU790" s="19">
        <v>93</v>
      </c>
      <c r="HV790" s="19">
        <v>92</v>
      </c>
      <c r="HW790" s="19">
        <v>91</v>
      </c>
      <c r="HX790" s="19">
        <v>90</v>
      </c>
      <c r="HY790" s="19">
        <v>89</v>
      </c>
      <c r="HZ790" s="19">
        <v>88</v>
      </c>
      <c r="IA790" s="19">
        <v>87</v>
      </c>
      <c r="IB790" s="19">
        <v>86</v>
      </c>
    </row>
    <row r="791">
      <c r="A791" s="2" t="s">
        <v>4268</v>
      </c>
      <c r="B791" s="2" t="s">
        <v>279</v>
      </c>
      <c r="C791" s="2" t="s">
        <v>1411</v>
      </c>
      <c r="D791" s="2" t="s">
        <v>281</v>
      </c>
      <c r="E791" s="2" t="s">
        <v>282</v>
      </c>
      <c r="F791" s="2" t="s">
        <v>469</v>
      </c>
      <c r="G791" s="2" t="s">
        <v>469</v>
      </c>
      <c r="H791" s="2" t="s">
        <v>469</v>
      </c>
      <c r="I791" s="2" t="s">
        <v>4269</v>
      </c>
      <c r="J791" s="2" t="s">
        <v>228</v>
      </c>
      <c r="K791" s="2" t="s">
        <v>229</v>
      </c>
      <c r="L791" s="3">
        <v>11.18</v>
      </c>
      <c r="M791" s="3">
        <v>11.74</v>
      </c>
      <c r="N791" s="3">
        <v>27.99</v>
      </c>
      <c r="O791" s="2" t="s">
        <v>230</v>
      </c>
      <c r="P791" s="2" t="s">
        <v>231</v>
      </c>
      <c r="Q791" s="2" t="s">
        <v>232</v>
      </c>
      <c r="R791" s="2" t="s">
        <v>233</v>
      </c>
      <c r="S791" s="2" t="s">
        <v>4270</v>
      </c>
      <c r="T791" s="2" t="s">
        <v>469</v>
      </c>
      <c r="U791" s="2" t="s">
        <v>781</v>
      </c>
      <c r="V791" s="2" t="s">
        <v>236</v>
      </c>
      <c r="W791" s="2" t="s">
        <v>237</v>
      </c>
      <c r="X791" s="2" t="s">
        <v>233</v>
      </c>
      <c r="Y791" s="2" t="s">
        <v>3120</v>
      </c>
      <c r="Z791" s="4">
        <v>77</v>
      </c>
      <c r="AA791" s="4">
        <f>=ROUNDDOWN(25.6666666666667,0)</f>
      </c>
      <c r="AB791" s="5">
        <v>3</v>
      </c>
      <c r="AC791" s="2" t="s">
        <v>233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233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233</v>
      </c>
      <c r="AW791" s="8" t="s">
        <v>233</v>
      </c>
      <c r="AX791" s="4" t="s">
        <v>233</v>
      </c>
      <c r="AY791" s="8" t="s">
        <v>233</v>
      </c>
      <c r="AZ791" s="7" t="s">
        <v>233</v>
      </c>
      <c r="BA791" s="7" t="s">
        <v>233</v>
      </c>
      <c r="BB791" s="7"/>
      <c r="BC791" s="4" t="s">
        <v>233</v>
      </c>
      <c r="BD791" s="8" t="s">
        <v>233</v>
      </c>
      <c r="BE791" s="4" t="s">
        <v>233</v>
      </c>
      <c r="BF791" s="8" t="s">
        <v>233</v>
      </c>
      <c r="BG791" s="7" t="s">
        <v>233</v>
      </c>
      <c r="BH791" s="7" t="s">
        <v>233</v>
      </c>
      <c r="BI791" s="7"/>
      <c r="BJ791" s="4">
        <v>11</v>
      </c>
      <c r="BK791" s="8">
        <v>145.98</v>
      </c>
      <c r="BL791" s="2" t="s">
        <v>4271</v>
      </c>
      <c r="BM791" s="7"/>
      <c r="BN791" s="7"/>
      <c r="BO791" s="4"/>
      <c r="BP791" s="8"/>
      <c r="BQ791" s="4"/>
      <c r="BR791" s="8"/>
      <c r="BS791" s="7"/>
      <c r="BT791" s="7"/>
      <c r="BU791" s="2" t="s">
        <v>4272</v>
      </c>
      <c r="BV791" s="2" t="s">
        <v>233</v>
      </c>
      <c r="BW791" s="2" t="s">
        <v>233</v>
      </c>
      <c r="BX791" s="2" t="s">
        <v>241</v>
      </c>
      <c r="BY791" s="2" t="s">
        <v>242</v>
      </c>
      <c r="BZ791" s="2" t="s">
        <v>230</v>
      </c>
      <c r="CA791" s="2" t="s">
        <v>1143</v>
      </c>
      <c r="CB791" s="2" t="s">
        <v>233</v>
      </c>
      <c r="CC791" s="2" t="s">
        <v>245</v>
      </c>
      <c r="CD791" s="2" t="s">
        <v>233</v>
      </c>
      <c r="CE791" s="4">
        <v>77</v>
      </c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>
        <v>79</v>
      </c>
      <c r="GD791" s="4">
        <v>77</v>
      </c>
      <c r="GE791" s="4">
        <v>75</v>
      </c>
      <c r="GF791" s="4">
        <v>72</v>
      </c>
      <c r="GG791" s="4">
        <v>66</v>
      </c>
      <c r="GH791" s="4">
        <v>60</v>
      </c>
      <c r="GI791" s="4">
        <v>55</v>
      </c>
      <c r="GJ791" s="4">
        <v>52</v>
      </c>
      <c r="GK791" s="4">
        <v>50</v>
      </c>
      <c r="GL791" s="4">
        <v>47</v>
      </c>
      <c r="GM791" s="4">
        <v>45</v>
      </c>
      <c r="GN791" s="4">
        <v>43</v>
      </c>
      <c r="GO791" s="4">
        <v>40</v>
      </c>
      <c r="GP791" s="4">
        <v>37</v>
      </c>
      <c r="GQ791" s="4">
        <v>34</v>
      </c>
      <c r="GR791" s="4">
        <v>31</v>
      </c>
      <c r="GS791" s="4">
        <v>27</v>
      </c>
      <c r="GT791" s="4">
        <v>23</v>
      </c>
      <c r="GU791" s="4">
        <v>19</v>
      </c>
      <c r="GV791" s="4">
        <v>163</v>
      </c>
      <c r="GW791" s="4">
        <v>159</v>
      </c>
      <c r="GX791" s="4">
        <v>156</v>
      </c>
      <c r="GY791" s="4">
        <v>153</v>
      </c>
      <c r="GZ791" s="4">
        <v>148</v>
      </c>
      <c r="HA791" s="4">
        <v>143</v>
      </c>
      <c r="HB791" s="4">
        <v>138</v>
      </c>
      <c r="HC791" s="19">
        <v>26.3</v>
      </c>
      <c r="HD791" s="19">
        <v>19.3</v>
      </c>
      <c r="HE791" s="19">
        <v>15</v>
      </c>
      <c r="HF791" s="19">
        <v>14.4</v>
      </c>
      <c r="HG791" s="19">
        <v>16.5</v>
      </c>
      <c r="HH791" s="19">
        <v>20</v>
      </c>
      <c r="HI791" s="19">
        <v>27.5</v>
      </c>
      <c r="HJ791" s="19">
        <v>26</v>
      </c>
      <c r="HK791" s="19">
        <v>25</v>
      </c>
      <c r="HL791" s="19">
        <v>23.5</v>
      </c>
      <c r="HM791" s="19">
        <v>15</v>
      </c>
      <c r="HN791" s="19">
        <v>14.3</v>
      </c>
      <c r="HO791" s="19">
        <v>13.3</v>
      </c>
      <c r="HP791" s="19">
        <v>9.3</v>
      </c>
      <c r="HQ791" s="19">
        <v>8.5</v>
      </c>
      <c r="HR791" s="19">
        <v>7.8</v>
      </c>
      <c r="HS791" s="19">
        <v>6.8</v>
      </c>
      <c r="HT791" s="19">
        <v>5.8</v>
      </c>
      <c r="HU791" s="19">
        <v>4.8</v>
      </c>
      <c r="HV791" s="19">
        <v>40.8</v>
      </c>
      <c r="HW791" s="19">
        <v>39.8</v>
      </c>
      <c r="HX791" s="19">
        <v>39</v>
      </c>
      <c r="HY791" s="19">
        <v>30.6</v>
      </c>
      <c r="HZ791" s="19">
        <v>29.6</v>
      </c>
      <c r="IA791" s="19">
        <v>35.8</v>
      </c>
      <c r="IB791" s="19">
        <v>34.5</v>
      </c>
    </row>
    <row r="792">
      <c r="A792" s="2" t="s">
        <v>4273</v>
      </c>
      <c r="B792" s="2" t="s">
        <v>279</v>
      </c>
      <c r="C792" s="2" t="s">
        <v>1411</v>
      </c>
      <c r="D792" s="2" t="s">
        <v>281</v>
      </c>
      <c r="E792" s="2" t="s">
        <v>282</v>
      </c>
      <c r="F792" s="2" t="s">
        <v>469</v>
      </c>
      <c r="G792" s="2" t="s">
        <v>469</v>
      </c>
      <c r="H792" s="2" t="s">
        <v>469</v>
      </c>
      <c r="I792" s="2" t="s">
        <v>4269</v>
      </c>
      <c r="J792" s="2" t="s">
        <v>247</v>
      </c>
      <c r="K792" s="2" t="s">
        <v>229</v>
      </c>
      <c r="L792" s="3">
        <v>11.18</v>
      </c>
      <c r="M792" s="3">
        <v>11.74</v>
      </c>
      <c r="N792" s="3">
        <v>27.99</v>
      </c>
      <c r="O792" s="2" t="s">
        <v>230</v>
      </c>
      <c r="P792" s="2" t="s">
        <v>231</v>
      </c>
      <c r="Q792" s="2" t="s">
        <v>232</v>
      </c>
      <c r="R792" s="2" t="s">
        <v>233</v>
      </c>
      <c r="S792" s="2" t="s">
        <v>4270</v>
      </c>
      <c r="T792" s="2" t="s">
        <v>469</v>
      </c>
      <c r="U792" s="2" t="s">
        <v>781</v>
      </c>
      <c r="V792" s="2" t="s">
        <v>236</v>
      </c>
      <c r="W792" s="2" t="s">
        <v>237</v>
      </c>
      <c r="X792" s="2" t="s">
        <v>233</v>
      </c>
      <c r="Y792" s="2" t="s">
        <v>3120</v>
      </c>
      <c r="Z792" s="4">
        <v>195</v>
      </c>
      <c r="AA792" s="4">
        <f>=ROUNDDOWN(97.5,0)</f>
      </c>
      <c r="AB792" s="5">
        <v>2</v>
      </c>
      <c r="AC792" s="2" t="s">
        <v>233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233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233</v>
      </c>
      <c r="AW792" s="8" t="s">
        <v>233</v>
      </c>
      <c r="AX792" s="4" t="s">
        <v>233</v>
      </c>
      <c r="AY792" s="8" t="s">
        <v>233</v>
      </c>
      <c r="AZ792" s="7" t="s">
        <v>233</v>
      </c>
      <c r="BA792" s="7" t="s">
        <v>233</v>
      </c>
      <c r="BB792" s="7"/>
      <c r="BC792" s="4" t="s">
        <v>233</v>
      </c>
      <c r="BD792" s="8" t="s">
        <v>233</v>
      </c>
      <c r="BE792" s="4" t="s">
        <v>233</v>
      </c>
      <c r="BF792" s="8" t="s">
        <v>233</v>
      </c>
      <c r="BG792" s="7" t="s">
        <v>233</v>
      </c>
      <c r="BH792" s="7" t="s">
        <v>233</v>
      </c>
      <c r="BI792" s="7"/>
      <c r="BJ792" s="4">
        <v>5</v>
      </c>
      <c r="BK792" s="8">
        <v>61.66</v>
      </c>
      <c r="BL792" s="2" t="s">
        <v>868</v>
      </c>
      <c r="BM792" s="7"/>
      <c r="BN792" s="7"/>
      <c r="BO792" s="4"/>
      <c r="BP792" s="8"/>
      <c r="BQ792" s="4"/>
      <c r="BR792" s="8"/>
      <c r="BS792" s="7"/>
      <c r="BT792" s="7"/>
      <c r="BU792" s="2" t="s">
        <v>4272</v>
      </c>
      <c r="BV792" s="2" t="s">
        <v>233</v>
      </c>
      <c r="BW792" s="2" t="s">
        <v>233</v>
      </c>
      <c r="BX792" s="2" t="s">
        <v>241</v>
      </c>
      <c r="BY792" s="2" t="s">
        <v>242</v>
      </c>
      <c r="BZ792" s="2" t="s">
        <v>230</v>
      </c>
      <c r="CA792" s="2" t="s">
        <v>1143</v>
      </c>
      <c r="CB792" s="2" t="s">
        <v>1877</v>
      </c>
      <c r="CC792" s="2" t="s">
        <v>245</v>
      </c>
      <c r="CD792" s="2" t="s">
        <v>233</v>
      </c>
      <c r="CE792" s="4">
        <v>195</v>
      </c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>
        <v>197</v>
      </c>
      <c r="GD792" s="4">
        <v>194</v>
      </c>
      <c r="GE792" s="4">
        <v>191</v>
      </c>
      <c r="GF792" s="4">
        <v>188</v>
      </c>
      <c r="GG792" s="4">
        <v>182</v>
      </c>
      <c r="GH792" s="4">
        <v>174</v>
      </c>
      <c r="GI792" s="4">
        <v>168</v>
      </c>
      <c r="GJ792" s="4">
        <v>165</v>
      </c>
      <c r="GK792" s="4">
        <v>162</v>
      </c>
      <c r="GL792" s="4">
        <v>158</v>
      </c>
      <c r="GM792" s="4">
        <v>156</v>
      </c>
      <c r="GN792" s="4">
        <v>154</v>
      </c>
      <c r="GO792" s="4">
        <v>152</v>
      </c>
      <c r="GP792" s="4">
        <v>150</v>
      </c>
      <c r="GQ792" s="4">
        <v>148</v>
      </c>
      <c r="GR792" s="4">
        <v>147</v>
      </c>
      <c r="GS792" s="4">
        <v>146</v>
      </c>
      <c r="GT792" s="4">
        <v>145</v>
      </c>
      <c r="GU792" s="4">
        <v>144</v>
      </c>
      <c r="GV792" s="4">
        <v>239</v>
      </c>
      <c r="GW792" s="4">
        <v>237</v>
      </c>
      <c r="GX792" s="4">
        <v>235</v>
      </c>
      <c r="GY792" s="4">
        <v>233</v>
      </c>
      <c r="GZ792" s="4">
        <v>231</v>
      </c>
      <c r="HA792" s="4">
        <v>229</v>
      </c>
      <c r="HB792" s="4">
        <v>227</v>
      </c>
      <c r="HC792" s="19">
        <v>49.3</v>
      </c>
      <c r="HD792" s="19">
        <v>38.8</v>
      </c>
      <c r="HE792" s="19">
        <v>31.8</v>
      </c>
      <c r="HF792" s="19">
        <v>31.3</v>
      </c>
      <c r="HG792" s="19">
        <v>36.4</v>
      </c>
      <c r="HH792" s="19">
        <v>43.5</v>
      </c>
      <c r="HI792" s="19">
        <v>56</v>
      </c>
      <c r="HJ792" s="19">
        <v>55</v>
      </c>
      <c r="HK792" s="19">
        <v>81</v>
      </c>
      <c r="HL792" s="19">
        <v>79</v>
      </c>
      <c r="HM792" s="19">
        <v>78</v>
      </c>
      <c r="HN792" s="19">
        <v>77</v>
      </c>
      <c r="HO792" s="19">
        <v>76</v>
      </c>
      <c r="HP792" s="19">
        <v>150</v>
      </c>
      <c r="HQ792" s="19">
        <v>148</v>
      </c>
      <c r="HR792" s="19">
        <v>147</v>
      </c>
      <c r="HS792" s="19">
        <v>73</v>
      </c>
      <c r="HT792" s="19">
        <v>72.5</v>
      </c>
      <c r="HU792" s="19">
        <v>72</v>
      </c>
      <c r="HV792" s="19">
        <v>119.5</v>
      </c>
      <c r="HW792" s="19">
        <v>118.5</v>
      </c>
      <c r="HX792" s="19">
        <v>117.5</v>
      </c>
      <c r="HY792" s="19">
        <v>116.5</v>
      </c>
      <c r="HZ792" s="19">
        <v>115.5</v>
      </c>
      <c r="IA792" s="19">
        <v>114.5</v>
      </c>
      <c r="IB792" s="19">
        <v>75.7</v>
      </c>
    </row>
    <row r="793">
      <c r="A793" s="2" t="s">
        <v>4274</v>
      </c>
      <c r="B793" s="2" t="s">
        <v>279</v>
      </c>
      <c r="C793" s="2" t="s">
        <v>1411</v>
      </c>
      <c r="D793" s="2" t="s">
        <v>281</v>
      </c>
      <c r="E793" s="2" t="s">
        <v>282</v>
      </c>
      <c r="F793" s="2" t="s">
        <v>469</v>
      </c>
      <c r="G793" s="2" t="s">
        <v>469</v>
      </c>
      <c r="H793" s="2" t="s">
        <v>469</v>
      </c>
      <c r="I793" s="2" t="s">
        <v>4269</v>
      </c>
      <c r="J793" s="2" t="s">
        <v>252</v>
      </c>
      <c r="K793" s="2" t="s">
        <v>229</v>
      </c>
      <c r="L793" s="3">
        <v>12.92</v>
      </c>
      <c r="M793" s="3">
        <v>13.57</v>
      </c>
      <c r="N793" s="3">
        <v>30.99</v>
      </c>
      <c r="O793" s="2" t="s">
        <v>230</v>
      </c>
      <c r="P793" s="2" t="s">
        <v>231</v>
      </c>
      <c r="Q793" s="2" t="s">
        <v>232</v>
      </c>
      <c r="R793" s="2" t="s">
        <v>233</v>
      </c>
      <c r="S793" s="2" t="s">
        <v>4270</v>
      </c>
      <c r="T793" s="2" t="s">
        <v>469</v>
      </c>
      <c r="U793" s="2" t="s">
        <v>287</v>
      </c>
      <c r="V793" s="2" t="s">
        <v>236</v>
      </c>
      <c r="W793" s="2" t="s">
        <v>237</v>
      </c>
      <c r="X793" s="2" t="s">
        <v>233</v>
      </c>
      <c r="Y793" s="2" t="s">
        <v>3120</v>
      </c>
      <c r="Z793" s="4">
        <v>124</v>
      </c>
      <c r="AA793" s="4">
        <f>=ROUNDDOWN(53.9130434782609,0)</f>
      </c>
      <c r="AB793" s="5">
        <v>2.3</v>
      </c>
      <c r="AC793" s="2" t="s">
        <v>233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233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233</v>
      </c>
      <c r="AW793" s="8" t="s">
        <v>233</v>
      </c>
      <c r="AX793" s="4" t="s">
        <v>233</v>
      </c>
      <c r="AY793" s="8" t="s">
        <v>233</v>
      </c>
      <c r="AZ793" s="7" t="s">
        <v>233</v>
      </c>
      <c r="BA793" s="7" t="s">
        <v>233</v>
      </c>
      <c r="BB793" s="7"/>
      <c r="BC793" s="4" t="s">
        <v>233</v>
      </c>
      <c r="BD793" s="8" t="s">
        <v>233</v>
      </c>
      <c r="BE793" s="4" t="s">
        <v>233</v>
      </c>
      <c r="BF793" s="8" t="s">
        <v>233</v>
      </c>
      <c r="BG793" s="7" t="s">
        <v>233</v>
      </c>
      <c r="BH793" s="7" t="s">
        <v>233</v>
      </c>
      <c r="BI793" s="7"/>
      <c r="BJ793" s="4">
        <v>5</v>
      </c>
      <c r="BK793" s="8">
        <v>69.23</v>
      </c>
      <c r="BL793" s="2" t="s">
        <v>1600</v>
      </c>
      <c r="BM793" s="7"/>
      <c r="BN793" s="7"/>
      <c r="BO793" s="4"/>
      <c r="BP793" s="8"/>
      <c r="BQ793" s="4"/>
      <c r="BR793" s="8"/>
      <c r="BS793" s="7"/>
      <c r="BT793" s="7"/>
      <c r="BU793" s="2" t="s">
        <v>4272</v>
      </c>
      <c r="BV793" s="2" t="s">
        <v>233</v>
      </c>
      <c r="BW793" s="2" t="s">
        <v>233</v>
      </c>
      <c r="BX793" s="2" t="s">
        <v>241</v>
      </c>
      <c r="BY793" s="2" t="s">
        <v>242</v>
      </c>
      <c r="BZ793" s="2" t="s">
        <v>230</v>
      </c>
      <c r="CA793" s="2" t="s">
        <v>1143</v>
      </c>
      <c r="CB793" s="2" t="s">
        <v>1523</v>
      </c>
      <c r="CC793" s="2" t="s">
        <v>245</v>
      </c>
      <c r="CD793" s="2" t="s">
        <v>233</v>
      </c>
      <c r="CE793" s="4">
        <v>124</v>
      </c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>
        <v>125</v>
      </c>
      <c r="GD793" s="4">
        <v>123</v>
      </c>
      <c r="GE793" s="4">
        <v>121</v>
      </c>
      <c r="GF793" s="4">
        <v>118</v>
      </c>
      <c r="GG793" s="4">
        <v>112</v>
      </c>
      <c r="GH793" s="4">
        <v>105</v>
      </c>
      <c r="GI793" s="4">
        <v>99</v>
      </c>
      <c r="GJ793" s="4">
        <v>95</v>
      </c>
      <c r="GK793" s="4">
        <v>92</v>
      </c>
      <c r="GL793" s="4">
        <v>88</v>
      </c>
      <c r="GM793" s="4">
        <v>85</v>
      </c>
      <c r="GN793" s="4">
        <v>82</v>
      </c>
      <c r="GO793" s="4">
        <v>79</v>
      </c>
      <c r="GP793" s="4">
        <v>76</v>
      </c>
      <c r="GQ793" s="4">
        <v>73</v>
      </c>
      <c r="GR793" s="4">
        <v>70</v>
      </c>
      <c r="GS793" s="4">
        <v>67</v>
      </c>
      <c r="GT793" s="4">
        <v>64</v>
      </c>
      <c r="GU793" s="4">
        <v>61</v>
      </c>
      <c r="GV793" s="4">
        <v>155</v>
      </c>
      <c r="GW793" s="4">
        <v>152</v>
      </c>
      <c r="GX793" s="4">
        <v>149</v>
      </c>
      <c r="GY793" s="4">
        <v>146</v>
      </c>
      <c r="GZ793" s="4">
        <v>143</v>
      </c>
      <c r="HA793" s="4">
        <v>140</v>
      </c>
      <c r="HB793" s="4">
        <v>137</v>
      </c>
      <c r="HC793" s="19">
        <v>41.7</v>
      </c>
      <c r="HD793" s="19">
        <v>30.8</v>
      </c>
      <c r="HE793" s="19">
        <v>20.2</v>
      </c>
      <c r="HF793" s="19">
        <v>19.7</v>
      </c>
      <c r="HG793" s="19">
        <v>22.4</v>
      </c>
      <c r="HH793" s="19">
        <v>26.3</v>
      </c>
      <c r="HI793" s="19">
        <v>24.8</v>
      </c>
      <c r="HJ793" s="19">
        <v>31.7</v>
      </c>
      <c r="HK793" s="19">
        <v>30.7</v>
      </c>
      <c r="HL793" s="19">
        <v>29.3</v>
      </c>
      <c r="HM793" s="19">
        <v>28.3</v>
      </c>
      <c r="HN793" s="19">
        <v>27.3</v>
      </c>
      <c r="HO793" s="19">
        <v>26.3</v>
      </c>
      <c r="HP793" s="19">
        <v>25.3</v>
      </c>
      <c r="HQ793" s="19">
        <v>24.3</v>
      </c>
      <c r="HR793" s="19">
        <v>23.3</v>
      </c>
      <c r="HS793" s="19">
        <v>22.3</v>
      </c>
      <c r="HT793" s="19">
        <v>21.3</v>
      </c>
      <c r="HU793" s="19">
        <v>20.3</v>
      </c>
      <c r="HV793" s="19">
        <v>51.7</v>
      </c>
      <c r="HW793" s="19">
        <v>50.7</v>
      </c>
      <c r="HX793" s="19">
        <v>49.7</v>
      </c>
      <c r="HY793" s="19">
        <v>48.7</v>
      </c>
      <c r="HZ793" s="19">
        <v>47.7</v>
      </c>
      <c r="IA793" s="19">
        <v>46.7</v>
      </c>
      <c r="IB793" s="19">
        <v>45.7</v>
      </c>
    </row>
    <row r="794">
      <c r="A794" s="2" t="s">
        <v>4275</v>
      </c>
      <c r="B794" s="2" t="s">
        <v>279</v>
      </c>
      <c r="C794" s="2" t="s">
        <v>1411</v>
      </c>
      <c r="D794" s="2" t="s">
        <v>281</v>
      </c>
      <c r="E794" s="2" t="s">
        <v>282</v>
      </c>
      <c r="F794" s="2" t="s">
        <v>469</v>
      </c>
      <c r="G794" s="2" t="s">
        <v>469</v>
      </c>
      <c r="H794" s="2" t="s">
        <v>469</v>
      </c>
      <c r="I794" s="2" t="s">
        <v>4269</v>
      </c>
      <c r="J794" s="2" t="s">
        <v>336</v>
      </c>
      <c r="K794" s="2" t="s">
        <v>229</v>
      </c>
      <c r="L794" s="3">
        <v>14.21</v>
      </c>
      <c r="M794" s="3">
        <v>14.92</v>
      </c>
      <c r="N794" s="3">
        <v>32.99</v>
      </c>
      <c r="O794" s="2" t="s">
        <v>230</v>
      </c>
      <c r="P794" s="2" t="s">
        <v>231</v>
      </c>
      <c r="Q794" s="2" t="s">
        <v>232</v>
      </c>
      <c r="R794" s="2" t="s">
        <v>233</v>
      </c>
      <c r="S794" s="2" t="s">
        <v>4270</v>
      </c>
      <c r="T794" s="2" t="s">
        <v>469</v>
      </c>
      <c r="U794" s="2" t="s">
        <v>287</v>
      </c>
      <c r="V794" s="2" t="s">
        <v>236</v>
      </c>
      <c r="W794" s="2" t="s">
        <v>237</v>
      </c>
      <c r="X794" s="2" t="s">
        <v>233</v>
      </c>
      <c r="Y794" s="2" t="s">
        <v>3120</v>
      </c>
      <c r="Z794" s="4">
        <v>169</v>
      </c>
      <c r="AA794" s="4">
        <f>=ROUNDDOWN(33.8,0)</f>
      </c>
      <c r="AB794" s="5">
        <v>5</v>
      </c>
      <c r="AC794" s="2" t="s">
        <v>233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233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233</v>
      </c>
      <c r="AW794" s="8" t="s">
        <v>233</v>
      </c>
      <c r="AX794" s="4" t="s">
        <v>233</v>
      </c>
      <c r="AY794" s="8" t="s">
        <v>233</v>
      </c>
      <c r="AZ794" s="7" t="s">
        <v>233</v>
      </c>
      <c r="BA794" s="7" t="s">
        <v>233</v>
      </c>
      <c r="BB794" s="7"/>
      <c r="BC794" s="4" t="s">
        <v>233</v>
      </c>
      <c r="BD794" s="8" t="s">
        <v>233</v>
      </c>
      <c r="BE794" s="4" t="s">
        <v>233</v>
      </c>
      <c r="BF794" s="8" t="s">
        <v>233</v>
      </c>
      <c r="BG794" s="7" t="s">
        <v>233</v>
      </c>
      <c r="BH794" s="7" t="s">
        <v>233</v>
      </c>
      <c r="BI794" s="7"/>
      <c r="BJ794" s="4">
        <v>7</v>
      </c>
      <c r="BK794" s="8">
        <v>107.65</v>
      </c>
      <c r="BL794" s="2" t="s">
        <v>4276</v>
      </c>
      <c r="BM794" s="7"/>
      <c r="BN794" s="7"/>
      <c r="BO794" s="4"/>
      <c r="BP794" s="8"/>
      <c r="BQ794" s="4"/>
      <c r="BR794" s="8"/>
      <c r="BS794" s="7"/>
      <c r="BT794" s="7"/>
      <c r="BU794" s="2" t="s">
        <v>4272</v>
      </c>
      <c r="BV794" s="2" t="s">
        <v>233</v>
      </c>
      <c r="BW794" s="2" t="s">
        <v>233</v>
      </c>
      <c r="BX794" s="2" t="s">
        <v>241</v>
      </c>
      <c r="BY794" s="2" t="s">
        <v>242</v>
      </c>
      <c r="BZ794" s="2" t="s">
        <v>230</v>
      </c>
      <c r="CA794" s="2" t="s">
        <v>1143</v>
      </c>
      <c r="CB794" s="2" t="s">
        <v>1877</v>
      </c>
      <c r="CC794" s="2" t="s">
        <v>245</v>
      </c>
      <c r="CD794" s="2" t="s">
        <v>233</v>
      </c>
      <c r="CE794" s="4">
        <v>169</v>
      </c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>
        <v>172</v>
      </c>
      <c r="GD794" s="4">
        <v>167</v>
      </c>
      <c r="GE794" s="4">
        <v>163</v>
      </c>
      <c r="GF794" s="4">
        <v>158</v>
      </c>
      <c r="GG794" s="4">
        <v>147</v>
      </c>
      <c r="GH794" s="4">
        <v>135</v>
      </c>
      <c r="GI794" s="4">
        <v>125</v>
      </c>
      <c r="GJ794" s="4">
        <v>119</v>
      </c>
      <c r="GK794" s="4">
        <v>114</v>
      </c>
      <c r="GL794" s="4">
        <v>107</v>
      </c>
      <c r="GM794" s="4">
        <v>101</v>
      </c>
      <c r="GN794" s="4">
        <v>95</v>
      </c>
      <c r="GO794" s="4">
        <v>89</v>
      </c>
      <c r="GP794" s="4">
        <v>83</v>
      </c>
      <c r="GQ794" s="4">
        <v>77</v>
      </c>
      <c r="GR794" s="4">
        <v>71</v>
      </c>
      <c r="GS794" s="4">
        <v>65</v>
      </c>
      <c r="GT794" s="4">
        <v>59</v>
      </c>
      <c r="GU794" s="4">
        <v>53</v>
      </c>
      <c r="GV794" s="4">
        <v>267</v>
      </c>
      <c r="GW794" s="4">
        <v>262</v>
      </c>
      <c r="GX794" s="4">
        <v>257</v>
      </c>
      <c r="GY794" s="4">
        <v>252</v>
      </c>
      <c r="GZ794" s="4">
        <v>247</v>
      </c>
      <c r="HA794" s="4">
        <v>242</v>
      </c>
      <c r="HB794" s="4">
        <v>237</v>
      </c>
      <c r="HC794" s="19">
        <v>28.7</v>
      </c>
      <c r="HD794" s="19">
        <v>20.9</v>
      </c>
      <c r="HE794" s="19">
        <v>16.3</v>
      </c>
      <c r="HF794" s="19">
        <v>15.8</v>
      </c>
      <c r="HG794" s="19">
        <v>18.4</v>
      </c>
      <c r="HH794" s="19">
        <v>19.3</v>
      </c>
      <c r="HI794" s="19">
        <v>20.8</v>
      </c>
      <c r="HJ794" s="19">
        <v>19.8</v>
      </c>
      <c r="HK794" s="19">
        <v>19</v>
      </c>
      <c r="HL794" s="19">
        <v>17.8</v>
      </c>
      <c r="HM794" s="19">
        <v>16.8</v>
      </c>
      <c r="HN794" s="19">
        <v>15.8</v>
      </c>
      <c r="HO794" s="19">
        <v>14.8</v>
      </c>
      <c r="HP794" s="19">
        <v>13.8</v>
      </c>
      <c r="HQ794" s="19">
        <v>12.8</v>
      </c>
      <c r="HR794" s="19">
        <v>11.8</v>
      </c>
      <c r="HS794" s="19">
        <v>10.8</v>
      </c>
      <c r="HT794" s="19">
        <v>11.8</v>
      </c>
      <c r="HU794" s="19">
        <v>10.6</v>
      </c>
      <c r="HV794" s="19">
        <v>53.4</v>
      </c>
      <c r="HW794" s="19">
        <v>52.4</v>
      </c>
      <c r="HX794" s="19">
        <v>51.4</v>
      </c>
      <c r="HY794" s="19">
        <v>50.4</v>
      </c>
      <c r="HZ794" s="19">
        <v>49.4</v>
      </c>
      <c r="IA794" s="19">
        <v>48.4</v>
      </c>
      <c r="IB794" s="19">
        <v>47.4</v>
      </c>
    </row>
    <row r="795">
      <c r="A795" s="2" t="s">
        <v>4277</v>
      </c>
      <c r="B795" s="2" t="s">
        <v>279</v>
      </c>
      <c r="C795" s="2" t="s">
        <v>1411</v>
      </c>
      <c r="D795" s="2" t="s">
        <v>281</v>
      </c>
      <c r="E795" s="2" t="s">
        <v>282</v>
      </c>
      <c r="F795" s="2" t="s">
        <v>469</v>
      </c>
      <c r="G795" s="2" t="s">
        <v>469</v>
      </c>
      <c r="H795" s="2" t="s">
        <v>469</v>
      </c>
      <c r="I795" s="2" t="s">
        <v>4269</v>
      </c>
      <c r="J795" s="2" t="s">
        <v>256</v>
      </c>
      <c r="K795" s="2" t="s">
        <v>229</v>
      </c>
      <c r="L795" s="3">
        <v>16.75</v>
      </c>
      <c r="M795" s="3">
        <v>17.59</v>
      </c>
      <c r="N795" s="3">
        <v>37.99</v>
      </c>
      <c r="O795" s="2" t="s">
        <v>230</v>
      </c>
      <c r="P795" s="2" t="s">
        <v>231</v>
      </c>
      <c r="Q795" s="2" t="s">
        <v>232</v>
      </c>
      <c r="R795" s="2" t="s">
        <v>233</v>
      </c>
      <c r="S795" s="2" t="s">
        <v>4270</v>
      </c>
      <c r="T795" s="2" t="s">
        <v>469</v>
      </c>
      <c r="U795" s="2" t="s">
        <v>287</v>
      </c>
      <c r="V795" s="2" t="s">
        <v>236</v>
      </c>
      <c r="W795" s="2" t="s">
        <v>237</v>
      </c>
      <c r="X795" s="2" t="s">
        <v>233</v>
      </c>
      <c r="Y795" s="2" t="s">
        <v>3120</v>
      </c>
      <c r="Z795" s="4">
        <v>179</v>
      </c>
      <c r="AA795" s="4">
        <f>=ROUNDDOWN(59.6666666666667,0)</f>
      </c>
      <c r="AB795" s="5">
        <v>3</v>
      </c>
      <c r="AC795" s="2" t="s">
        <v>233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233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233</v>
      </c>
      <c r="AW795" s="8" t="s">
        <v>233</v>
      </c>
      <c r="AX795" s="4" t="s">
        <v>233</v>
      </c>
      <c r="AY795" s="8" t="s">
        <v>233</v>
      </c>
      <c r="AZ795" s="7" t="s">
        <v>233</v>
      </c>
      <c r="BA795" s="7" t="s">
        <v>233</v>
      </c>
      <c r="BB795" s="7"/>
      <c r="BC795" s="4" t="s">
        <v>233</v>
      </c>
      <c r="BD795" s="8" t="s">
        <v>233</v>
      </c>
      <c r="BE795" s="4" t="s">
        <v>233</v>
      </c>
      <c r="BF795" s="8" t="s">
        <v>233</v>
      </c>
      <c r="BG795" s="7" t="s">
        <v>233</v>
      </c>
      <c r="BH795" s="7" t="s">
        <v>233</v>
      </c>
      <c r="BI795" s="7"/>
      <c r="BJ795" s="4">
        <v>22</v>
      </c>
      <c r="BK795" s="8">
        <v>385.94</v>
      </c>
      <c r="BL795" s="2" t="s">
        <v>868</v>
      </c>
      <c r="BM795" s="7"/>
      <c r="BN795" s="7"/>
      <c r="BO795" s="4"/>
      <c r="BP795" s="8"/>
      <c r="BQ795" s="4"/>
      <c r="BR795" s="8"/>
      <c r="BS795" s="7"/>
      <c r="BT795" s="7"/>
      <c r="BU795" s="2" t="s">
        <v>4272</v>
      </c>
      <c r="BV795" s="2" t="s">
        <v>233</v>
      </c>
      <c r="BW795" s="2" t="s">
        <v>233</v>
      </c>
      <c r="BX795" s="2" t="s">
        <v>241</v>
      </c>
      <c r="BY795" s="2" t="s">
        <v>242</v>
      </c>
      <c r="BZ795" s="2" t="s">
        <v>230</v>
      </c>
      <c r="CA795" s="2" t="s">
        <v>1143</v>
      </c>
      <c r="CB795" s="2" t="s">
        <v>233</v>
      </c>
      <c r="CC795" s="2" t="s">
        <v>245</v>
      </c>
      <c r="CD795" s="2" t="s">
        <v>233</v>
      </c>
      <c r="CE795" s="4">
        <v>179</v>
      </c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>
        <v>179</v>
      </c>
      <c r="GD795" s="4">
        <v>178</v>
      </c>
      <c r="GE795" s="4">
        <v>176</v>
      </c>
      <c r="GF795" s="4">
        <v>174</v>
      </c>
      <c r="GG795" s="4">
        <v>169</v>
      </c>
      <c r="GH795" s="4">
        <v>164</v>
      </c>
      <c r="GI795" s="4">
        <v>160</v>
      </c>
      <c r="GJ795" s="4">
        <v>158</v>
      </c>
      <c r="GK795" s="4">
        <v>156</v>
      </c>
      <c r="GL795" s="4">
        <v>153</v>
      </c>
      <c r="GM795" s="4">
        <v>151</v>
      </c>
      <c r="GN795" s="4">
        <v>149</v>
      </c>
      <c r="GO795" s="4">
        <v>147</v>
      </c>
      <c r="GP795" s="4">
        <v>145</v>
      </c>
      <c r="GQ795" s="4">
        <v>143</v>
      </c>
      <c r="GR795" s="4">
        <v>141</v>
      </c>
      <c r="GS795" s="4">
        <v>139</v>
      </c>
      <c r="GT795" s="4">
        <v>137</v>
      </c>
      <c r="GU795" s="4">
        <v>135</v>
      </c>
      <c r="GV795" s="4">
        <v>133</v>
      </c>
      <c r="GW795" s="4">
        <v>131</v>
      </c>
      <c r="GX795" s="4">
        <v>129</v>
      </c>
      <c r="GY795" s="4">
        <v>127</v>
      </c>
      <c r="GZ795" s="4">
        <v>125</v>
      </c>
      <c r="HA795" s="4">
        <v>123</v>
      </c>
      <c r="HB795" s="4">
        <v>121</v>
      </c>
      <c r="HC795" s="19">
        <v>89.5</v>
      </c>
      <c r="HD795" s="19">
        <v>44.5</v>
      </c>
      <c r="HE795" s="19">
        <v>44</v>
      </c>
      <c r="HF795" s="19">
        <v>43.5</v>
      </c>
      <c r="HG795" s="19">
        <v>56.3</v>
      </c>
      <c r="HH795" s="19">
        <v>54.7</v>
      </c>
      <c r="HI795" s="19">
        <v>80</v>
      </c>
      <c r="HJ795" s="19">
        <v>79</v>
      </c>
      <c r="HK795" s="19">
        <v>78</v>
      </c>
      <c r="HL795" s="19">
        <v>76.5</v>
      </c>
      <c r="HM795" s="19">
        <v>75.5</v>
      </c>
      <c r="HN795" s="19">
        <v>74.5</v>
      </c>
      <c r="HO795" s="19">
        <v>73.5</v>
      </c>
      <c r="HP795" s="19">
        <v>72.5</v>
      </c>
      <c r="HQ795" s="19">
        <v>71.5</v>
      </c>
      <c r="HR795" s="19">
        <v>70.5</v>
      </c>
      <c r="HS795" s="19">
        <v>69.5</v>
      </c>
      <c r="HT795" s="19">
        <v>68.5</v>
      </c>
      <c r="HU795" s="19">
        <v>67.5</v>
      </c>
      <c r="HV795" s="19">
        <v>66.5</v>
      </c>
      <c r="HW795" s="19">
        <v>65.5</v>
      </c>
      <c r="HX795" s="19">
        <v>64.5</v>
      </c>
      <c r="HY795" s="19">
        <v>63.5</v>
      </c>
      <c r="HZ795" s="19">
        <v>62.5</v>
      </c>
      <c r="IA795" s="19">
        <v>61.5</v>
      </c>
      <c r="IB795" s="19">
        <v>60.5</v>
      </c>
    </row>
    <row r="796">
      <c r="A796" s="2" t="s">
        <v>4278</v>
      </c>
      <c r="B796" s="2" t="s">
        <v>279</v>
      </c>
      <c r="C796" s="2" t="s">
        <v>1411</v>
      </c>
      <c r="D796" s="2" t="s">
        <v>281</v>
      </c>
      <c r="E796" s="2" t="s">
        <v>282</v>
      </c>
      <c r="F796" s="2" t="s">
        <v>469</v>
      </c>
      <c r="G796" s="2" t="s">
        <v>469</v>
      </c>
      <c r="H796" s="2" t="s">
        <v>469</v>
      </c>
      <c r="I796" s="2" t="s">
        <v>4269</v>
      </c>
      <c r="J796" s="2" t="s">
        <v>228</v>
      </c>
      <c r="K796" s="2" t="s">
        <v>484</v>
      </c>
      <c r="L796" s="3">
        <v>11.18</v>
      </c>
      <c r="M796" s="3">
        <v>11.74</v>
      </c>
      <c r="N796" s="3">
        <v>27.99</v>
      </c>
      <c r="O796" s="2" t="s">
        <v>230</v>
      </c>
      <c r="P796" s="2" t="s">
        <v>231</v>
      </c>
      <c r="Q796" s="2" t="s">
        <v>232</v>
      </c>
      <c r="R796" s="2" t="s">
        <v>233</v>
      </c>
      <c r="S796" s="2" t="s">
        <v>4279</v>
      </c>
      <c r="T796" s="2" t="s">
        <v>469</v>
      </c>
      <c r="U796" s="2" t="s">
        <v>781</v>
      </c>
      <c r="V796" s="2" t="s">
        <v>236</v>
      </c>
      <c r="W796" s="2" t="s">
        <v>237</v>
      </c>
      <c r="X796" s="2" t="s">
        <v>233</v>
      </c>
      <c r="Y796" s="2" t="s">
        <v>3120</v>
      </c>
      <c r="Z796" s="4">
        <v>181</v>
      </c>
      <c r="AA796" s="4">
        <f>=ROUNDDOWN(75.4166666666667,0)</f>
      </c>
      <c r="AB796" s="5">
        <v>2.4</v>
      </c>
      <c r="AC796" s="2" t="s">
        <v>233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233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233</v>
      </c>
      <c r="AW796" s="8" t="s">
        <v>233</v>
      </c>
      <c r="AX796" s="4" t="s">
        <v>233</v>
      </c>
      <c r="AY796" s="8" t="s">
        <v>233</v>
      </c>
      <c r="AZ796" s="7" t="s">
        <v>233</v>
      </c>
      <c r="BA796" s="7" t="s">
        <v>233</v>
      </c>
      <c r="BB796" s="7"/>
      <c r="BC796" s="4" t="s">
        <v>233</v>
      </c>
      <c r="BD796" s="8" t="s">
        <v>233</v>
      </c>
      <c r="BE796" s="4" t="s">
        <v>233</v>
      </c>
      <c r="BF796" s="8" t="s">
        <v>233</v>
      </c>
      <c r="BG796" s="7" t="s">
        <v>233</v>
      </c>
      <c r="BH796" s="7" t="s">
        <v>233</v>
      </c>
      <c r="BI796" s="7"/>
      <c r="BJ796" s="4">
        <v>12</v>
      </c>
      <c r="BK796" s="8">
        <v>151.65</v>
      </c>
      <c r="BL796" s="2" t="s">
        <v>4280</v>
      </c>
      <c r="BM796" s="7"/>
      <c r="BN796" s="7"/>
      <c r="BO796" s="4"/>
      <c r="BP796" s="8"/>
      <c r="BQ796" s="4"/>
      <c r="BR796" s="8"/>
      <c r="BS796" s="7"/>
      <c r="BT796" s="7"/>
      <c r="BU796" s="2" t="s">
        <v>4272</v>
      </c>
      <c r="BV796" s="2" t="s">
        <v>233</v>
      </c>
      <c r="BW796" s="2" t="s">
        <v>233</v>
      </c>
      <c r="BX796" s="2" t="s">
        <v>241</v>
      </c>
      <c r="BY796" s="2" t="s">
        <v>242</v>
      </c>
      <c r="BZ796" s="2" t="s">
        <v>230</v>
      </c>
      <c r="CA796" s="2" t="s">
        <v>1143</v>
      </c>
      <c r="CB796" s="2" t="s">
        <v>4281</v>
      </c>
      <c r="CC796" s="2" t="s">
        <v>245</v>
      </c>
      <c r="CD796" s="2" t="s">
        <v>233</v>
      </c>
      <c r="CE796" s="4">
        <v>181</v>
      </c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>
        <v>185</v>
      </c>
      <c r="GD796" s="4">
        <v>180</v>
      </c>
      <c r="GE796" s="4">
        <v>176</v>
      </c>
      <c r="GF796" s="4">
        <v>172</v>
      </c>
      <c r="GG796" s="4">
        <v>165</v>
      </c>
      <c r="GH796" s="4">
        <v>158</v>
      </c>
      <c r="GI796" s="4">
        <v>152</v>
      </c>
      <c r="GJ796" s="4">
        <v>148</v>
      </c>
      <c r="GK796" s="4">
        <v>145</v>
      </c>
      <c r="GL796" s="4">
        <v>141</v>
      </c>
      <c r="GM796" s="4">
        <v>138</v>
      </c>
      <c r="GN796" s="4">
        <v>135</v>
      </c>
      <c r="GO796" s="4">
        <v>132</v>
      </c>
      <c r="GP796" s="4">
        <v>129</v>
      </c>
      <c r="GQ796" s="4">
        <v>126</v>
      </c>
      <c r="GR796" s="4">
        <v>123</v>
      </c>
      <c r="GS796" s="4">
        <v>119</v>
      </c>
      <c r="GT796" s="4">
        <v>115</v>
      </c>
      <c r="GU796" s="4">
        <v>111</v>
      </c>
      <c r="GV796" s="4">
        <v>107</v>
      </c>
      <c r="GW796" s="4">
        <v>103</v>
      </c>
      <c r="GX796" s="4">
        <v>100</v>
      </c>
      <c r="GY796" s="4">
        <v>97</v>
      </c>
      <c r="GZ796" s="4">
        <v>92</v>
      </c>
      <c r="HA796" s="4">
        <v>87</v>
      </c>
      <c r="HB796" s="4">
        <v>82</v>
      </c>
      <c r="HC796" s="19">
        <v>37</v>
      </c>
      <c r="HD796" s="19">
        <v>30</v>
      </c>
      <c r="HE796" s="19">
        <v>29.3</v>
      </c>
      <c r="HF796" s="19">
        <v>28.7</v>
      </c>
      <c r="HG796" s="19">
        <v>33</v>
      </c>
      <c r="HH796" s="19">
        <v>39.5</v>
      </c>
      <c r="HI796" s="19">
        <v>38</v>
      </c>
      <c r="HJ796" s="19">
        <v>49.3</v>
      </c>
      <c r="HK796" s="19">
        <v>48.3</v>
      </c>
      <c r="HL796" s="19">
        <v>47</v>
      </c>
      <c r="HM796" s="19">
        <v>46</v>
      </c>
      <c r="HN796" s="19">
        <v>45</v>
      </c>
      <c r="HO796" s="19">
        <v>44</v>
      </c>
      <c r="HP796" s="19">
        <v>32.3</v>
      </c>
      <c r="HQ796" s="19">
        <v>31.5</v>
      </c>
      <c r="HR796" s="19">
        <v>30.8</v>
      </c>
      <c r="HS796" s="19">
        <v>29.8</v>
      </c>
      <c r="HT796" s="19">
        <v>28.8</v>
      </c>
      <c r="HU796" s="19">
        <v>27.8</v>
      </c>
      <c r="HV796" s="19">
        <v>26.8</v>
      </c>
      <c r="HW796" s="19">
        <v>25.8</v>
      </c>
      <c r="HX796" s="19">
        <v>25</v>
      </c>
      <c r="HY796" s="19">
        <v>19.4</v>
      </c>
      <c r="HZ796" s="19">
        <v>18.4</v>
      </c>
      <c r="IA796" s="19">
        <v>21.8</v>
      </c>
      <c r="IB796" s="19">
        <v>20.5</v>
      </c>
    </row>
    <row r="797">
      <c r="A797" s="2" t="s">
        <v>4282</v>
      </c>
      <c r="B797" s="2" t="s">
        <v>279</v>
      </c>
      <c r="C797" s="2" t="s">
        <v>1411</v>
      </c>
      <c r="D797" s="2" t="s">
        <v>281</v>
      </c>
      <c r="E797" s="2" t="s">
        <v>282</v>
      </c>
      <c r="F797" s="2" t="s">
        <v>469</v>
      </c>
      <c r="G797" s="2" t="s">
        <v>469</v>
      </c>
      <c r="H797" s="2" t="s">
        <v>469</v>
      </c>
      <c r="I797" s="2" t="s">
        <v>4269</v>
      </c>
      <c r="J797" s="2" t="s">
        <v>247</v>
      </c>
      <c r="K797" s="2" t="s">
        <v>484</v>
      </c>
      <c r="L797" s="3">
        <v>11.18</v>
      </c>
      <c r="M797" s="3">
        <v>11.74</v>
      </c>
      <c r="N797" s="3">
        <v>27.99</v>
      </c>
      <c r="O797" s="2" t="s">
        <v>230</v>
      </c>
      <c r="P797" s="2" t="s">
        <v>231</v>
      </c>
      <c r="Q797" s="2" t="s">
        <v>232</v>
      </c>
      <c r="R797" s="2" t="s">
        <v>233</v>
      </c>
      <c r="S797" s="2" t="s">
        <v>4279</v>
      </c>
      <c r="T797" s="2" t="s">
        <v>469</v>
      </c>
      <c r="U797" s="2" t="s">
        <v>781</v>
      </c>
      <c r="V797" s="2" t="s">
        <v>236</v>
      </c>
      <c r="W797" s="2" t="s">
        <v>237</v>
      </c>
      <c r="X797" s="2" t="s">
        <v>233</v>
      </c>
      <c r="Y797" s="2" t="s">
        <v>3120</v>
      </c>
      <c r="Z797" s="4">
        <v>191</v>
      </c>
      <c r="AA797" s="4">
        <f>=ROUNDDOWN(95.5,0)</f>
      </c>
      <c r="AB797" s="5">
        <v>2</v>
      </c>
      <c r="AC797" s="2" t="s">
        <v>233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233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233</v>
      </c>
      <c r="AW797" s="8" t="s">
        <v>233</v>
      </c>
      <c r="AX797" s="4" t="s">
        <v>233</v>
      </c>
      <c r="AY797" s="8" t="s">
        <v>233</v>
      </c>
      <c r="AZ797" s="7" t="s">
        <v>233</v>
      </c>
      <c r="BA797" s="7" t="s">
        <v>233</v>
      </c>
      <c r="BB797" s="7"/>
      <c r="BC797" s="4" t="s">
        <v>233</v>
      </c>
      <c r="BD797" s="8" t="s">
        <v>233</v>
      </c>
      <c r="BE797" s="4" t="s">
        <v>233</v>
      </c>
      <c r="BF797" s="8" t="s">
        <v>233</v>
      </c>
      <c r="BG797" s="7" t="s">
        <v>233</v>
      </c>
      <c r="BH797" s="7" t="s">
        <v>233</v>
      </c>
      <c r="BI797" s="7"/>
      <c r="BJ797" s="4">
        <v>2</v>
      </c>
      <c r="BK797" s="8">
        <v>24.66</v>
      </c>
      <c r="BL797" s="2" t="s">
        <v>1634</v>
      </c>
      <c r="BM797" s="7"/>
      <c r="BN797" s="7"/>
      <c r="BO797" s="4"/>
      <c r="BP797" s="8"/>
      <c r="BQ797" s="4"/>
      <c r="BR797" s="8"/>
      <c r="BS797" s="7"/>
      <c r="BT797" s="7"/>
      <c r="BU797" s="2" t="s">
        <v>4272</v>
      </c>
      <c r="BV797" s="2" t="s">
        <v>233</v>
      </c>
      <c r="BW797" s="2" t="s">
        <v>233</v>
      </c>
      <c r="BX797" s="2" t="s">
        <v>241</v>
      </c>
      <c r="BY797" s="2" t="s">
        <v>242</v>
      </c>
      <c r="BZ797" s="2" t="s">
        <v>230</v>
      </c>
      <c r="CA797" s="2" t="s">
        <v>1143</v>
      </c>
      <c r="CB797" s="2" t="s">
        <v>2026</v>
      </c>
      <c r="CC797" s="2" t="s">
        <v>245</v>
      </c>
      <c r="CD797" s="2" t="s">
        <v>233</v>
      </c>
      <c r="CE797" s="4">
        <v>191</v>
      </c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>
        <v>191</v>
      </c>
      <c r="GD797" s="4">
        <v>190</v>
      </c>
      <c r="GE797" s="4">
        <v>187</v>
      </c>
      <c r="GF797" s="4">
        <v>184</v>
      </c>
      <c r="GG797" s="4">
        <v>178</v>
      </c>
      <c r="GH797" s="4">
        <v>170</v>
      </c>
      <c r="GI797" s="4">
        <v>164</v>
      </c>
      <c r="GJ797" s="4">
        <v>161</v>
      </c>
      <c r="GK797" s="4">
        <v>158</v>
      </c>
      <c r="GL797" s="4">
        <v>154</v>
      </c>
      <c r="GM797" s="4">
        <v>152</v>
      </c>
      <c r="GN797" s="4">
        <v>150</v>
      </c>
      <c r="GO797" s="4">
        <v>148</v>
      </c>
      <c r="GP797" s="4">
        <v>146</v>
      </c>
      <c r="GQ797" s="4">
        <v>144</v>
      </c>
      <c r="GR797" s="4">
        <v>143</v>
      </c>
      <c r="GS797" s="4">
        <v>142</v>
      </c>
      <c r="GT797" s="4">
        <v>141</v>
      </c>
      <c r="GU797" s="4">
        <v>140</v>
      </c>
      <c r="GV797" s="4">
        <v>138</v>
      </c>
      <c r="GW797" s="4">
        <v>136</v>
      </c>
      <c r="GX797" s="4">
        <v>134</v>
      </c>
      <c r="GY797" s="4">
        <v>132</v>
      </c>
      <c r="GZ797" s="4">
        <v>130</v>
      </c>
      <c r="HA797" s="4">
        <v>128</v>
      </c>
      <c r="HB797" s="4">
        <v>126</v>
      </c>
      <c r="HC797" s="19">
        <v>63.7</v>
      </c>
      <c r="HD797" s="19">
        <v>38</v>
      </c>
      <c r="HE797" s="19">
        <v>31.2</v>
      </c>
      <c r="HF797" s="19">
        <v>30.7</v>
      </c>
      <c r="HG797" s="19">
        <v>35.6</v>
      </c>
      <c r="HH797" s="19">
        <v>42.5</v>
      </c>
      <c r="HI797" s="19">
        <v>54.7</v>
      </c>
      <c r="HJ797" s="19">
        <v>53.7</v>
      </c>
      <c r="HK797" s="19">
        <v>79</v>
      </c>
      <c r="HL797" s="19">
        <v>77</v>
      </c>
      <c r="HM797" s="19">
        <v>76</v>
      </c>
      <c r="HN797" s="19">
        <v>75</v>
      </c>
      <c r="HO797" s="19">
        <v>74</v>
      </c>
      <c r="HP797" s="19">
        <v>146</v>
      </c>
      <c r="HQ797" s="19">
        <v>144</v>
      </c>
      <c r="HR797" s="19">
        <v>143</v>
      </c>
      <c r="HS797" s="19">
        <v>71</v>
      </c>
      <c r="HT797" s="19">
        <v>70.5</v>
      </c>
      <c r="HU797" s="19">
        <v>70</v>
      </c>
      <c r="HV797" s="19">
        <v>69</v>
      </c>
      <c r="HW797" s="19">
        <v>68</v>
      </c>
      <c r="HX797" s="19">
        <v>67</v>
      </c>
      <c r="HY797" s="19">
        <v>66</v>
      </c>
      <c r="HZ797" s="19">
        <v>65</v>
      </c>
      <c r="IA797" s="19">
        <v>64</v>
      </c>
      <c r="IB797" s="19">
        <v>42</v>
      </c>
    </row>
    <row r="798">
      <c r="A798" s="2" t="s">
        <v>4283</v>
      </c>
      <c r="B798" s="2" t="s">
        <v>279</v>
      </c>
      <c r="C798" s="2" t="s">
        <v>1411</v>
      </c>
      <c r="D798" s="2" t="s">
        <v>281</v>
      </c>
      <c r="E798" s="2" t="s">
        <v>282</v>
      </c>
      <c r="F798" s="2" t="s">
        <v>469</v>
      </c>
      <c r="G798" s="2" t="s">
        <v>469</v>
      </c>
      <c r="H798" s="2" t="s">
        <v>469</v>
      </c>
      <c r="I798" s="2" t="s">
        <v>4269</v>
      </c>
      <c r="J798" s="2" t="s">
        <v>252</v>
      </c>
      <c r="K798" s="2" t="s">
        <v>484</v>
      </c>
      <c r="L798" s="3">
        <v>12.92</v>
      </c>
      <c r="M798" s="3">
        <v>13.57</v>
      </c>
      <c r="N798" s="3">
        <v>30.99</v>
      </c>
      <c r="O798" s="2" t="s">
        <v>230</v>
      </c>
      <c r="P798" s="2" t="s">
        <v>231</v>
      </c>
      <c r="Q798" s="2" t="s">
        <v>232</v>
      </c>
      <c r="R798" s="2" t="s">
        <v>233</v>
      </c>
      <c r="S798" s="2" t="s">
        <v>4279</v>
      </c>
      <c r="T798" s="2" t="s">
        <v>469</v>
      </c>
      <c r="U798" s="2" t="s">
        <v>287</v>
      </c>
      <c r="V798" s="2" t="s">
        <v>236</v>
      </c>
      <c r="W798" s="2" t="s">
        <v>237</v>
      </c>
      <c r="X798" s="2" t="s">
        <v>233</v>
      </c>
      <c r="Y798" s="2" t="s">
        <v>3120</v>
      </c>
      <c r="Z798" s="4">
        <v>68</v>
      </c>
      <c r="AA798" s="4">
        <f>=ROUNDDOWN(9.71428571428571,0)</f>
      </c>
      <c r="AB798" s="5">
        <v>7</v>
      </c>
      <c r="AC798" s="2" t="s">
        <v>746</v>
      </c>
      <c r="AD798" s="4">
        <v>100</v>
      </c>
      <c r="AE798" s="4">
        <v>250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233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233</v>
      </c>
      <c r="AW798" s="8" t="s">
        <v>233</v>
      </c>
      <c r="AX798" s="4" t="s">
        <v>233</v>
      </c>
      <c r="AY798" s="8" t="s">
        <v>233</v>
      </c>
      <c r="AZ798" s="7" t="s">
        <v>233</v>
      </c>
      <c r="BA798" s="7" t="s">
        <v>233</v>
      </c>
      <c r="BB798" s="7"/>
      <c r="BC798" s="4" t="s">
        <v>233</v>
      </c>
      <c r="BD798" s="8" t="s">
        <v>233</v>
      </c>
      <c r="BE798" s="4" t="s">
        <v>233</v>
      </c>
      <c r="BF798" s="8" t="s">
        <v>233</v>
      </c>
      <c r="BG798" s="7" t="s">
        <v>233</v>
      </c>
      <c r="BH798" s="7" t="s">
        <v>233</v>
      </c>
      <c r="BI798" s="7"/>
      <c r="BJ798" s="4">
        <v>9</v>
      </c>
      <c r="BK798" s="8">
        <v>129.97</v>
      </c>
      <c r="BL798" s="2" t="s">
        <v>4284</v>
      </c>
      <c r="BM798" s="7"/>
      <c r="BN798" s="7"/>
      <c r="BO798" s="4"/>
      <c r="BP798" s="8"/>
      <c r="BQ798" s="4"/>
      <c r="BR798" s="8"/>
      <c r="BS798" s="7"/>
      <c r="BT798" s="7"/>
      <c r="BU798" s="2" t="s">
        <v>4272</v>
      </c>
      <c r="BV798" s="2" t="s">
        <v>233</v>
      </c>
      <c r="BW798" s="2" t="s">
        <v>233</v>
      </c>
      <c r="BX798" s="2" t="s">
        <v>241</v>
      </c>
      <c r="BY798" s="2" t="s">
        <v>242</v>
      </c>
      <c r="BZ798" s="2" t="s">
        <v>230</v>
      </c>
      <c r="CA798" s="2" t="s">
        <v>1143</v>
      </c>
      <c r="CB798" s="2" t="s">
        <v>1523</v>
      </c>
      <c r="CC798" s="2" t="s">
        <v>245</v>
      </c>
      <c r="CD798" s="2" t="s">
        <v>233</v>
      </c>
      <c r="CE798" s="4">
        <v>68</v>
      </c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>
        <v>100</v>
      </c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>
        <v>150</v>
      </c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>
        <v>68</v>
      </c>
      <c r="GD798" s="4">
        <v>64</v>
      </c>
      <c r="GE798" s="4">
        <v>57</v>
      </c>
      <c r="GF798" s="4">
        <v>49</v>
      </c>
      <c r="GG798" s="4">
        <v>32</v>
      </c>
      <c r="GH798" s="4">
        <v>115</v>
      </c>
      <c r="GI798" s="4">
        <v>100</v>
      </c>
      <c r="GJ798" s="4">
        <v>91</v>
      </c>
      <c r="GK798" s="4">
        <v>84</v>
      </c>
      <c r="GL798" s="4">
        <v>73</v>
      </c>
      <c r="GM798" s="4">
        <v>66</v>
      </c>
      <c r="GN798" s="4">
        <v>59</v>
      </c>
      <c r="GO798" s="4">
        <v>52</v>
      </c>
      <c r="GP798" s="4">
        <v>45</v>
      </c>
      <c r="GQ798" s="4">
        <v>38</v>
      </c>
      <c r="GR798" s="4">
        <v>180</v>
      </c>
      <c r="GS798" s="4">
        <v>172</v>
      </c>
      <c r="GT798" s="4">
        <v>164</v>
      </c>
      <c r="GU798" s="4">
        <v>156</v>
      </c>
      <c r="GV798" s="4">
        <v>149</v>
      </c>
      <c r="GW798" s="4">
        <v>142</v>
      </c>
      <c r="GX798" s="4">
        <v>135</v>
      </c>
      <c r="GY798" s="4">
        <v>128</v>
      </c>
      <c r="GZ798" s="4">
        <v>120</v>
      </c>
      <c r="HA798" s="4">
        <v>112</v>
      </c>
      <c r="HB798" s="4">
        <v>104</v>
      </c>
      <c r="HC798" s="19">
        <v>7.6</v>
      </c>
      <c r="HD798" s="19">
        <v>5.3</v>
      </c>
      <c r="HE798" s="19">
        <v>4.1</v>
      </c>
      <c r="HF798" s="19">
        <v>3.5</v>
      </c>
      <c r="HG798" s="19">
        <v>2.7</v>
      </c>
      <c r="HH798" s="19">
        <v>11.5</v>
      </c>
      <c r="HI798" s="19">
        <v>12.5</v>
      </c>
      <c r="HJ798" s="19">
        <v>11.4</v>
      </c>
      <c r="HK798" s="19">
        <v>10.5</v>
      </c>
      <c r="HL798" s="19">
        <v>10.4</v>
      </c>
      <c r="HM798" s="19">
        <v>9.4</v>
      </c>
      <c r="HN798" s="19">
        <v>8.4</v>
      </c>
      <c r="HO798" s="19">
        <v>6.5</v>
      </c>
      <c r="HP798" s="19">
        <v>5.6</v>
      </c>
      <c r="HQ798" s="19">
        <v>4.8</v>
      </c>
      <c r="HR798" s="19">
        <v>22.5</v>
      </c>
      <c r="HS798" s="19">
        <v>21.5</v>
      </c>
      <c r="HT798" s="19">
        <v>23.4</v>
      </c>
      <c r="HU798" s="19">
        <v>22.3</v>
      </c>
      <c r="HV798" s="19">
        <v>21.3</v>
      </c>
      <c r="HW798" s="19">
        <v>17.8</v>
      </c>
      <c r="HX798" s="19">
        <v>16.9</v>
      </c>
      <c r="HY798" s="19">
        <v>16</v>
      </c>
      <c r="HZ798" s="19">
        <v>15</v>
      </c>
      <c r="IA798" s="19">
        <v>14</v>
      </c>
      <c r="IB798" s="19">
        <v>13</v>
      </c>
    </row>
    <row r="799">
      <c r="A799" s="2" t="s">
        <v>4285</v>
      </c>
      <c r="B799" s="2" t="s">
        <v>279</v>
      </c>
      <c r="C799" s="2" t="s">
        <v>1411</v>
      </c>
      <c r="D799" s="2" t="s">
        <v>281</v>
      </c>
      <c r="E799" s="2" t="s">
        <v>282</v>
      </c>
      <c r="F799" s="2" t="s">
        <v>469</v>
      </c>
      <c r="G799" s="2" t="s">
        <v>469</v>
      </c>
      <c r="H799" s="2" t="s">
        <v>469</v>
      </c>
      <c r="I799" s="2" t="s">
        <v>4269</v>
      </c>
      <c r="J799" s="2" t="s">
        <v>336</v>
      </c>
      <c r="K799" s="2" t="s">
        <v>484</v>
      </c>
      <c r="L799" s="3">
        <v>14.21</v>
      </c>
      <c r="M799" s="3">
        <v>14.92</v>
      </c>
      <c r="N799" s="3">
        <v>32.99</v>
      </c>
      <c r="O799" s="2" t="s">
        <v>230</v>
      </c>
      <c r="P799" s="2" t="s">
        <v>231</v>
      </c>
      <c r="Q799" s="2" t="s">
        <v>232</v>
      </c>
      <c r="R799" s="2" t="s">
        <v>233</v>
      </c>
      <c r="S799" s="2" t="s">
        <v>4279</v>
      </c>
      <c r="T799" s="2" t="s">
        <v>469</v>
      </c>
      <c r="U799" s="2" t="s">
        <v>287</v>
      </c>
      <c r="V799" s="2" t="s">
        <v>236</v>
      </c>
      <c r="W799" s="2" t="s">
        <v>237</v>
      </c>
      <c r="X799" s="2" t="s">
        <v>233</v>
      </c>
      <c r="Y799" s="2" t="s">
        <v>3120</v>
      </c>
      <c r="Z799" s="4">
        <v>179</v>
      </c>
      <c r="AA799" s="4">
        <f>=ROUNDDOWN(43.6585365853659,0)</f>
      </c>
      <c r="AB799" s="5">
        <v>4.1</v>
      </c>
      <c r="AC799" s="2" t="s">
        <v>2230</v>
      </c>
      <c r="AD799" s="4">
        <v>120</v>
      </c>
      <c r="AE799" s="4">
        <v>120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233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233</v>
      </c>
      <c r="AW799" s="8" t="s">
        <v>233</v>
      </c>
      <c r="AX799" s="4" t="s">
        <v>233</v>
      </c>
      <c r="AY799" s="8" t="s">
        <v>233</v>
      </c>
      <c r="AZ799" s="7" t="s">
        <v>233</v>
      </c>
      <c r="BA799" s="7" t="s">
        <v>233</v>
      </c>
      <c r="BB799" s="7"/>
      <c r="BC799" s="4" t="s">
        <v>233</v>
      </c>
      <c r="BD799" s="8" t="s">
        <v>233</v>
      </c>
      <c r="BE799" s="4" t="s">
        <v>233</v>
      </c>
      <c r="BF799" s="8" t="s">
        <v>233</v>
      </c>
      <c r="BG799" s="7" t="s">
        <v>233</v>
      </c>
      <c r="BH799" s="7" t="s">
        <v>233</v>
      </c>
      <c r="BI799" s="7"/>
      <c r="BJ799" s="4">
        <v>9</v>
      </c>
      <c r="BK799" s="8">
        <v>157.48</v>
      </c>
      <c r="BL799" s="2" t="s">
        <v>4286</v>
      </c>
      <c r="BM799" s="7"/>
      <c r="BN799" s="7"/>
      <c r="BO799" s="4"/>
      <c r="BP799" s="8"/>
      <c r="BQ799" s="4"/>
      <c r="BR799" s="8"/>
      <c r="BS799" s="7"/>
      <c r="BT799" s="7"/>
      <c r="BU799" s="2" t="s">
        <v>4272</v>
      </c>
      <c r="BV799" s="2" t="s">
        <v>233</v>
      </c>
      <c r="BW799" s="2" t="s">
        <v>233</v>
      </c>
      <c r="BX799" s="2" t="s">
        <v>241</v>
      </c>
      <c r="BY799" s="2" t="s">
        <v>242</v>
      </c>
      <c r="BZ799" s="2" t="s">
        <v>230</v>
      </c>
      <c r="CA799" s="2" t="s">
        <v>1143</v>
      </c>
      <c r="CB799" s="2" t="s">
        <v>233</v>
      </c>
      <c r="CC799" s="2" t="s">
        <v>245</v>
      </c>
      <c r="CD799" s="2" t="s">
        <v>233</v>
      </c>
      <c r="CE799" s="4">
        <v>179</v>
      </c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>
        <v>120</v>
      </c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>
        <v>179</v>
      </c>
      <c r="GD799" s="4">
        <v>176</v>
      </c>
      <c r="GE799" s="4">
        <v>171</v>
      </c>
      <c r="GF799" s="4">
        <v>166</v>
      </c>
      <c r="GG799" s="4">
        <v>157</v>
      </c>
      <c r="GH799" s="4">
        <v>148</v>
      </c>
      <c r="GI799" s="4">
        <v>140</v>
      </c>
      <c r="GJ799" s="4">
        <v>135</v>
      </c>
      <c r="GK799" s="4">
        <v>131</v>
      </c>
      <c r="GL799" s="4">
        <v>125</v>
      </c>
      <c r="GM799" s="4">
        <v>120</v>
      </c>
      <c r="GN799" s="4">
        <v>115</v>
      </c>
      <c r="GO799" s="4">
        <v>110</v>
      </c>
      <c r="GP799" s="4">
        <v>105</v>
      </c>
      <c r="GQ799" s="4">
        <v>100</v>
      </c>
      <c r="GR799" s="4">
        <v>215</v>
      </c>
      <c r="GS799" s="4">
        <v>210</v>
      </c>
      <c r="GT799" s="4">
        <v>205</v>
      </c>
      <c r="GU799" s="4">
        <v>200</v>
      </c>
      <c r="GV799" s="4">
        <v>196</v>
      </c>
      <c r="GW799" s="4">
        <v>192</v>
      </c>
      <c r="GX799" s="4">
        <v>188</v>
      </c>
      <c r="GY799" s="4">
        <v>184</v>
      </c>
      <c r="GZ799" s="4">
        <v>180</v>
      </c>
      <c r="HA799" s="4">
        <v>176</v>
      </c>
      <c r="HB799" s="4">
        <v>172</v>
      </c>
      <c r="HC799" s="19">
        <v>29.8</v>
      </c>
      <c r="HD799" s="19">
        <v>25.1</v>
      </c>
      <c r="HE799" s="19">
        <v>21.4</v>
      </c>
      <c r="HF799" s="19">
        <v>20.8</v>
      </c>
      <c r="HG799" s="19">
        <v>26.2</v>
      </c>
      <c r="HH799" s="19">
        <v>24.7</v>
      </c>
      <c r="HI799" s="19">
        <v>28</v>
      </c>
      <c r="HJ799" s="19">
        <v>27</v>
      </c>
      <c r="HK799" s="19">
        <v>26.2</v>
      </c>
      <c r="HL799" s="19">
        <v>25</v>
      </c>
      <c r="HM799" s="19">
        <v>24</v>
      </c>
      <c r="HN799" s="19">
        <v>23</v>
      </c>
      <c r="HO799" s="19">
        <v>22</v>
      </c>
      <c r="HP799" s="19">
        <v>21</v>
      </c>
      <c r="HQ799" s="19">
        <v>20</v>
      </c>
      <c r="HR799" s="19">
        <v>43</v>
      </c>
      <c r="HS799" s="19">
        <v>52.5</v>
      </c>
      <c r="HT799" s="19">
        <v>51.3</v>
      </c>
      <c r="HU799" s="19">
        <v>50</v>
      </c>
      <c r="HV799" s="19">
        <v>49</v>
      </c>
      <c r="HW799" s="19">
        <v>48</v>
      </c>
      <c r="HX799" s="19">
        <v>47</v>
      </c>
      <c r="HY799" s="19">
        <v>46</v>
      </c>
      <c r="HZ799" s="19">
        <v>45</v>
      </c>
      <c r="IA799" s="19">
        <v>44</v>
      </c>
      <c r="IB799" s="19">
        <v>43</v>
      </c>
    </row>
    <row r="800">
      <c r="A800" s="2" t="s">
        <v>4287</v>
      </c>
      <c r="B800" s="2" t="s">
        <v>279</v>
      </c>
      <c r="C800" s="2" t="s">
        <v>1411</v>
      </c>
      <c r="D800" s="2" t="s">
        <v>281</v>
      </c>
      <c r="E800" s="2" t="s">
        <v>282</v>
      </c>
      <c r="F800" s="2" t="s">
        <v>469</v>
      </c>
      <c r="G800" s="2" t="s">
        <v>469</v>
      </c>
      <c r="H800" s="2" t="s">
        <v>469</v>
      </c>
      <c r="I800" s="2" t="s">
        <v>4269</v>
      </c>
      <c r="J800" s="2" t="s">
        <v>256</v>
      </c>
      <c r="K800" s="2" t="s">
        <v>484</v>
      </c>
      <c r="L800" s="3">
        <v>16.75</v>
      </c>
      <c r="M800" s="3">
        <v>17.59</v>
      </c>
      <c r="N800" s="3">
        <v>37.99</v>
      </c>
      <c r="O800" s="2" t="s">
        <v>230</v>
      </c>
      <c r="P800" s="2" t="s">
        <v>231</v>
      </c>
      <c r="Q800" s="2" t="s">
        <v>232</v>
      </c>
      <c r="R800" s="2" t="s">
        <v>233</v>
      </c>
      <c r="S800" s="2" t="s">
        <v>4279</v>
      </c>
      <c r="T800" s="2" t="s">
        <v>469</v>
      </c>
      <c r="U800" s="2" t="s">
        <v>287</v>
      </c>
      <c r="V800" s="2" t="s">
        <v>236</v>
      </c>
      <c r="W800" s="2" t="s">
        <v>237</v>
      </c>
      <c r="X800" s="2" t="s">
        <v>233</v>
      </c>
      <c r="Y800" s="2" t="s">
        <v>3120</v>
      </c>
      <c r="Z800" s="4">
        <v>80</v>
      </c>
      <c r="AA800" s="4">
        <f>=ROUNDDOWN(53.3333333333333,0)</f>
      </c>
      <c r="AB800" s="5">
        <v>1.5</v>
      </c>
      <c r="AC800" s="2" t="s">
        <v>2230</v>
      </c>
      <c r="AD800" s="4">
        <v>30</v>
      </c>
      <c r="AE800" s="4">
        <v>30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233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233</v>
      </c>
      <c r="AW800" s="8" t="s">
        <v>233</v>
      </c>
      <c r="AX800" s="4" t="s">
        <v>233</v>
      </c>
      <c r="AY800" s="8" t="s">
        <v>233</v>
      </c>
      <c r="AZ800" s="7" t="s">
        <v>233</v>
      </c>
      <c r="BA800" s="7" t="s">
        <v>233</v>
      </c>
      <c r="BB800" s="7"/>
      <c r="BC800" s="4" t="s">
        <v>233</v>
      </c>
      <c r="BD800" s="8" t="s">
        <v>233</v>
      </c>
      <c r="BE800" s="4" t="s">
        <v>233</v>
      </c>
      <c r="BF800" s="8" t="s">
        <v>233</v>
      </c>
      <c r="BG800" s="7" t="s">
        <v>233</v>
      </c>
      <c r="BH800" s="7" t="s">
        <v>233</v>
      </c>
      <c r="BI800" s="7"/>
      <c r="BJ800" s="4">
        <v>3</v>
      </c>
      <c r="BK800" s="8">
        <v>49.44</v>
      </c>
      <c r="BL800" s="2" t="s">
        <v>1660</v>
      </c>
      <c r="BM800" s="7"/>
      <c r="BN800" s="7"/>
      <c r="BO800" s="4"/>
      <c r="BP800" s="8"/>
      <c r="BQ800" s="4"/>
      <c r="BR800" s="8"/>
      <c r="BS800" s="7"/>
      <c r="BT800" s="7"/>
      <c r="BU800" s="2" t="s">
        <v>4272</v>
      </c>
      <c r="BV800" s="2" t="s">
        <v>233</v>
      </c>
      <c r="BW800" s="2" t="s">
        <v>233</v>
      </c>
      <c r="BX800" s="2" t="s">
        <v>241</v>
      </c>
      <c r="BY800" s="2" t="s">
        <v>242</v>
      </c>
      <c r="BZ800" s="2" t="s">
        <v>230</v>
      </c>
      <c r="CA800" s="2" t="s">
        <v>1143</v>
      </c>
      <c r="CB800" s="2" t="s">
        <v>233</v>
      </c>
      <c r="CC800" s="2" t="s">
        <v>245</v>
      </c>
      <c r="CD800" s="2" t="s">
        <v>233</v>
      </c>
      <c r="CE800" s="4">
        <v>80</v>
      </c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>
        <v>30</v>
      </c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>
        <v>80</v>
      </c>
      <c r="GD800" s="4">
        <v>79</v>
      </c>
      <c r="GE800" s="4">
        <v>78</v>
      </c>
      <c r="GF800" s="4">
        <v>77</v>
      </c>
      <c r="GG800" s="4">
        <v>75</v>
      </c>
      <c r="GH800" s="4">
        <v>73</v>
      </c>
      <c r="GI800" s="4">
        <v>71</v>
      </c>
      <c r="GJ800" s="4">
        <v>70</v>
      </c>
      <c r="GK800" s="4">
        <v>69</v>
      </c>
      <c r="GL800" s="4">
        <v>68</v>
      </c>
      <c r="GM800" s="4">
        <v>67</v>
      </c>
      <c r="GN800" s="4">
        <v>66</v>
      </c>
      <c r="GO800" s="4">
        <v>65</v>
      </c>
      <c r="GP800" s="4">
        <v>64</v>
      </c>
      <c r="GQ800" s="4">
        <v>63</v>
      </c>
      <c r="GR800" s="4">
        <v>92</v>
      </c>
      <c r="GS800" s="4">
        <v>91</v>
      </c>
      <c r="GT800" s="4">
        <v>90</v>
      </c>
      <c r="GU800" s="4">
        <v>89</v>
      </c>
      <c r="GV800" s="4">
        <v>88</v>
      </c>
      <c r="GW800" s="4">
        <v>87</v>
      </c>
      <c r="GX800" s="4">
        <v>86</v>
      </c>
      <c r="GY800" s="4">
        <v>85</v>
      </c>
      <c r="GZ800" s="4">
        <v>84</v>
      </c>
      <c r="HA800" s="4">
        <v>83</v>
      </c>
      <c r="HB800" s="4">
        <v>82</v>
      </c>
      <c r="HC800" s="19">
        <v>80</v>
      </c>
      <c r="HD800" s="19">
        <v>39.5</v>
      </c>
      <c r="HE800" s="19">
        <v>39</v>
      </c>
      <c r="HF800" s="19">
        <v>38.5</v>
      </c>
      <c r="HG800" s="19">
        <v>37.5</v>
      </c>
      <c r="HH800" s="19">
        <v>73</v>
      </c>
      <c r="HI800" s="19">
        <v>71</v>
      </c>
      <c r="HJ800" s="19">
        <v>70</v>
      </c>
      <c r="HK800" s="19">
        <v>69</v>
      </c>
      <c r="HL800" s="19">
        <v>68</v>
      </c>
      <c r="HM800" s="19">
        <v>67</v>
      </c>
      <c r="HN800" s="19">
        <v>66</v>
      </c>
      <c r="HO800" s="19">
        <v>65</v>
      </c>
      <c r="HP800" s="19">
        <v>64</v>
      </c>
      <c r="HQ800" s="19">
        <v>63</v>
      </c>
      <c r="HR800" s="19">
        <v>92</v>
      </c>
      <c r="HS800" s="19">
        <v>91</v>
      </c>
      <c r="HT800" s="19">
        <v>90</v>
      </c>
      <c r="HU800" s="19">
        <v>89</v>
      </c>
      <c r="HV800" s="19">
        <v>88</v>
      </c>
      <c r="HW800" s="19">
        <v>87</v>
      </c>
      <c r="HX800" s="19">
        <v>86</v>
      </c>
      <c r="HY800" s="19">
        <v>85</v>
      </c>
      <c r="HZ800" s="19">
        <v>84</v>
      </c>
      <c r="IA800" s="19">
        <v>83</v>
      </c>
      <c r="IB800" s="19">
        <v>82</v>
      </c>
    </row>
    <row r="801">
      <c r="A801" s="2" t="s">
        <v>4288</v>
      </c>
      <c r="B801" s="2" t="s">
        <v>279</v>
      </c>
      <c r="C801" s="2" t="s">
        <v>1411</v>
      </c>
      <c r="D801" s="2" t="s">
        <v>281</v>
      </c>
      <c r="E801" s="2" t="s">
        <v>282</v>
      </c>
      <c r="F801" s="2" t="s">
        <v>469</v>
      </c>
      <c r="G801" s="2" t="s">
        <v>469</v>
      </c>
      <c r="H801" s="2" t="s">
        <v>469</v>
      </c>
      <c r="I801" s="2" t="s">
        <v>4269</v>
      </c>
      <c r="J801" s="2" t="s">
        <v>228</v>
      </c>
      <c r="K801" s="2" t="s">
        <v>671</v>
      </c>
      <c r="L801" s="3">
        <v>11.18</v>
      </c>
      <c r="M801" s="3">
        <v>11.74</v>
      </c>
      <c r="N801" s="3">
        <v>27.99</v>
      </c>
      <c r="O801" s="2" t="s">
        <v>230</v>
      </c>
      <c r="P801" s="2" t="s">
        <v>231</v>
      </c>
      <c r="Q801" s="2" t="s">
        <v>232</v>
      </c>
      <c r="R801" s="2" t="s">
        <v>233</v>
      </c>
      <c r="S801" s="2" t="s">
        <v>4289</v>
      </c>
      <c r="T801" s="2" t="s">
        <v>469</v>
      </c>
      <c r="U801" s="2" t="s">
        <v>233</v>
      </c>
      <c r="V801" s="2" t="s">
        <v>236</v>
      </c>
      <c r="W801" s="2" t="s">
        <v>237</v>
      </c>
      <c r="X801" s="2" t="s">
        <v>233</v>
      </c>
      <c r="Y801" s="2" t="s">
        <v>238</v>
      </c>
      <c r="Z801" s="4">
        <v>154</v>
      </c>
      <c r="AA801" s="4">
        <f>=ROUNDDOWN(19.25,0)</f>
      </c>
      <c r="AB801" s="5">
        <v>8</v>
      </c>
      <c r="AC801" s="2" t="s">
        <v>147</v>
      </c>
      <c r="AD801" s="4">
        <v>40</v>
      </c>
      <c r="AE801" s="4">
        <v>170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233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233</v>
      </c>
      <c r="AW801" s="8" t="s">
        <v>233</v>
      </c>
      <c r="AX801" s="4" t="s">
        <v>233</v>
      </c>
      <c r="AY801" s="8" t="s">
        <v>233</v>
      </c>
      <c r="AZ801" s="7" t="s">
        <v>233</v>
      </c>
      <c r="BA801" s="7" t="s">
        <v>233</v>
      </c>
      <c r="BB801" s="7" t="s">
        <v>233</v>
      </c>
      <c r="BC801" s="4" t="s">
        <v>233</v>
      </c>
      <c r="BD801" s="8" t="s">
        <v>233</v>
      </c>
      <c r="BE801" s="4" t="s">
        <v>233</v>
      </c>
      <c r="BF801" s="8" t="s">
        <v>233</v>
      </c>
      <c r="BG801" s="7" t="s">
        <v>233</v>
      </c>
      <c r="BH801" s="7" t="s">
        <v>233</v>
      </c>
      <c r="BI801" s="7"/>
      <c r="BJ801" s="4">
        <v>35</v>
      </c>
      <c r="BK801" s="8">
        <v>409.95</v>
      </c>
      <c r="BL801" s="2" t="s">
        <v>4290</v>
      </c>
      <c r="BM801" s="7"/>
      <c r="BN801" s="7"/>
      <c r="BO801" s="4"/>
      <c r="BP801" s="8"/>
      <c r="BQ801" s="4"/>
      <c r="BR801" s="8"/>
      <c r="BS801" s="7"/>
      <c r="BT801" s="7"/>
      <c r="BU801" s="2" t="s">
        <v>4272</v>
      </c>
      <c r="BV801" s="2" t="s">
        <v>233</v>
      </c>
      <c r="BW801" s="2" t="s">
        <v>233</v>
      </c>
      <c r="BX801" s="2" t="s">
        <v>241</v>
      </c>
      <c r="BY801" s="2" t="s">
        <v>242</v>
      </c>
      <c r="BZ801" s="2" t="s">
        <v>230</v>
      </c>
      <c r="CA801" s="2" t="s">
        <v>4219</v>
      </c>
      <c r="CB801" s="2" t="s">
        <v>4291</v>
      </c>
      <c r="CC801" s="2" t="s">
        <v>245</v>
      </c>
      <c r="CD801" s="2" t="s">
        <v>233</v>
      </c>
      <c r="CE801" s="4">
        <v>154</v>
      </c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>
        <v>40</v>
      </c>
      <c r="DJ801" s="4"/>
      <c r="DK801" s="4"/>
      <c r="DL801" s="4"/>
      <c r="DM801" s="4"/>
      <c r="DN801" s="4"/>
      <c r="DO801" s="4"/>
      <c r="DP801" s="4"/>
      <c r="DQ801" s="4"/>
      <c r="DR801" s="4">
        <v>50</v>
      </c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>
        <v>80</v>
      </c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>
        <v>157</v>
      </c>
      <c r="GD801" s="4">
        <v>108</v>
      </c>
      <c r="GE801" s="4">
        <v>97</v>
      </c>
      <c r="GF801" s="4">
        <v>87</v>
      </c>
      <c r="GG801" s="4">
        <v>109</v>
      </c>
      <c r="GH801" s="4">
        <v>141</v>
      </c>
      <c r="GI801" s="4">
        <v>125</v>
      </c>
      <c r="GJ801" s="4">
        <v>115</v>
      </c>
      <c r="GK801" s="4">
        <v>107</v>
      </c>
      <c r="GL801" s="4">
        <v>95</v>
      </c>
      <c r="GM801" s="4">
        <v>87</v>
      </c>
      <c r="GN801" s="4">
        <v>79</v>
      </c>
      <c r="GO801" s="4">
        <v>70</v>
      </c>
      <c r="GP801" s="4">
        <v>61</v>
      </c>
      <c r="GQ801" s="4">
        <v>52</v>
      </c>
      <c r="GR801" s="4">
        <v>123</v>
      </c>
      <c r="GS801" s="4">
        <v>113</v>
      </c>
      <c r="GT801" s="4">
        <v>103</v>
      </c>
      <c r="GU801" s="4">
        <v>93</v>
      </c>
      <c r="GV801" s="4">
        <v>188</v>
      </c>
      <c r="GW801" s="4">
        <v>177</v>
      </c>
      <c r="GX801" s="4">
        <v>168</v>
      </c>
      <c r="GY801" s="4">
        <v>159</v>
      </c>
      <c r="GZ801" s="4">
        <v>147</v>
      </c>
      <c r="HA801" s="4">
        <v>135</v>
      </c>
      <c r="HB801" s="4">
        <v>123</v>
      </c>
      <c r="HC801" s="19">
        <v>7.1</v>
      </c>
      <c r="HD801" s="19">
        <v>7.7</v>
      </c>
      <c r="HE801" s="19">
        <v>6.1</v>
      </c>
      <c r="HF801" s="19">
        <v>5.4</v>
      </c>
      <c r="HG801" s="19">
        <v>8.4</v>
      </c>
      <c r="HH801" s="19">
        <v>11.8</v>
      </c>
      <c r="HI801" s="19">
        <v>12.5</v>
      </c>
      <c r="HJ801" s="19">
        <v>12.8</v>
      </c>
      <c r="HK801" s="19">
        <v>11.9</v>
      </c>
      <c r="HL801" s="19">
        <v>11.9</v>
      </c>
      <c r="HM801" s="19">
        <v>9.7</v>
      </c>
      <c r="HN801" s="19">
        <v>8.8</v>
      </c>
      <c r="HO801" s="19">
        <v>7.8</v>
      </c>
      <c r="HP801" s="19">
        <v>6.1</v>
      </c>
      <c r="HQ801" s="19">
        <v>5.2</v>
      </c>
      <c r="HR801" s="19">
        <v>12.3</v>
      </c>
      <c r="HS801" s="19">
        <v>11.3</v>
      </c>
      <c r="HT801" s="19">
        <v>10.3</v>
      </c>
      <c r="HU801" s="19">
        <v>9.3</v>
      </c>
      <c r="HV801" s="19">
        <v>18.8</v>
      </c>
      <c r="HW801" s="19">
        <v>17.7</v>
      </c>
      <c r="HX801" s="19">
        <v>15.3</v>
      </c>
      <c r="HY801" s="19">
        <v>13.3</v>
      </c>
      <c r="HZ801" s="19">
        <v>12.3</v>
      </c>
      <c r="IA801" s="19">
        <v>12.3</v>
      </c>
      <c r="IB801" s="19">
        <v>11.2</v>
      </c>
    </row>
    <row r="802">
      <c r="A802" s="2" t="s">
        <v>4292</v>
      </c>
      <c r="B802" s="2" t="s">
        <v>279</v>
      </c>
      <c r="C802" s="2" t="s">
        <v>1411</v>
      </c>
      <c r="D802" s="2" t="s">
        <v>281</v>
      </c>
      <c r="E802" s="2" t="s">
        <v>282</v>
      </c>
      <c r="F802" s="2" t="s">
        <v>469</v>
      </c>
      <c r="G802" s="2" t="s">
        <v>469</v>
      </c>
      <c r="H802" s="2" t="s">
        <v>469</v>
      </c>
      <c r="I802" s="2" t="s">
        <v>4293</v>
      </c>
      <c r="J802" s="2" t="s">
        <v>228</v>
      </c>
      <c r="K802" s="2" t="s">
        <v>671</v>
      </c>
      <c r="L802" s="3">
        <v>12.15</v>
      </c>
      <c r="M802" s="3">
        <v>12.76</v>
      </c>
      <c r="N802" s="3">
        <v>26.99</v>
      </c>
      <c r="O802" s="2" t="s">
        <v>230</v>
      </c>
      <c r="P802" s="2" t="s">
        <v>231</v>
      </c>
      <c r="Q802" s="2" t="s">
        <v>232</v>
      </c>
      <c r="R802" s="2" t="s">
        <v>233</v>
      </c>
      <c r="S802" s="2" t="s">
        <v>4289</v>
      </c>
      <c r="T802" s="2" t="s">
        <v>469</v>
      </c>
      <c r="U802" s="2" t="s">
        <v>287</v>
      </c>
      <c r="V802" s="2" t="s">
        <v>236</v>
      </c>
      <c r="W802" s="2" t="s">
        <v>237</v>
      </c>
      <c r="X802" s="2" t="s">
        <v>620</v>
      </c>
      <c r="Y802" s="2" t="s">
        <v>4294</v>
      </c>
      <c r="Z802" s="4">
        <v>251</v>
      </c>
      <c r="AA802" s="4">
        <f>=ROUNDDOWN(62.75,0)</f>
      </c>
      <c r="AB802" s="5">
        <v>4</v>
      </c>
      <c r="AC802" s="2" t="s">
        <v>233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233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233</v>
      </c>
      <c r="AW802" s="8" t="s">
        <v>233</v>
      </c>
      <c r="AX802" s="4" t="s">
        <v>233</v>
      </c>
      <c r="AY802" s="8" t="s">
        <v>233</v>
      </c>
      <c r="AZ802" s="7" t="s">
        <v>233</v>
      </c>
      <c r="BA802" s="7" t="s">
        <v>233</v>
      </c>
      <c r="BB802" s="7" t="s">
        <v>233</v>
      </c>
      <c r="BC802" s="4" t="s">
        <v>233</v>
      </c>
      <c r="BD802" s="8" t="s">
        <v>233</v>
      </c>
      <c r="BE802" s="4" t="s">
        <v>233</v>
      </c>
      <c r="BF802" s="8" t="s">
        <v>233</v>
      </c>
      <c r="BG802" s="7" t="s">
        <v>233</v>
      </c>
      <c r="BH802" s="7" t="s">
        <v>233</v>
      </c>
      <c r="BI802" s="7"/>
      <c r="BJ802" s="4">
        <v>15</v>
      </c>
      <c r="BK802" s="8">
        <v>190.9</v>
      </c>
      <c r="BL802" s="2" t="s">
        <v>1660</v>
      </c>
      <c r="BM802" s="7"/>
      <c r="BN802" s="7"/>
      <c r="BO802" s="4"/>
      <c r="BP802" s="8"/>
      <c r="BQ802" s="4"/>
      <c r="BR802" s="8"/>
      <c r="BS802" s="7"/>
      <c r="BT802" s="7"/>
      <c r="BU802" s="2" t="s">
        <v>4295</v>
      </c>
      <c r="BV802" s="2" t="s">
        <v>233</v>
      </c>
      <c r="BW802" s="2" t="s">
        <v>233</v>
      </c>
      <c r="BX802" s="2" t="s">
        <v>241</v>
      </c>
      <c r="BY802" s="2" t="s">
        <v>242</v>
      </c>
      <c r="BZ802" s="2" t="s">
        <v>230</v>
      </c>
      <c r="CA802" s="2" t="s">
        <v>4296</v>
      </c>
      <c r="CB802" s="2" t="s">
        <v>4297</v>
      </c>
      <c r="CC802" s="2" t="s">
        <v>245</v>
      </c>
      <c r="CD802" s="2" t="s">
        <v>233</v>
      </c>
      <c r="CE802" s="4">
        <v>251</v>
      </c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>
        <v>254</v>
      </c>
      <c r="GD802" s="4">
        <v>235</v>
      </c>
      <c r="GE802" s="4">
        <v>229</v>
      </c>
      <c r="GF802" s="4">
        <v>224</v>
      </c>
      <c r="GG802" s="4">
        <v>214</v>
      </c>
      <c r="GH802" s="4">
        <v>204</v>
      </c>
      <c r="GI802" s="4">
        <v>195</v>
      </c>
      <c r="GJ802" s="4">
        <v>190</v>
      </c>
      <c r="GK802" s="4">
        <v>186</v>
      </c>
      <c r="GL802" s="4">
        <v>180</v>
      </c>
      <c r="GM802" s="4">
        <v>176</v>
      </c>
      <c r="GN802" s="4">
        <v>172</v>
      </c>
      <c r="GO802" s="4">
        <v>168</v>
      </c>
      <c r="GP802" s="4">
        <v>164</v>
      </c>
      <c r="GQ802" s="4">
        <v>160</v>
      </c>
      <c r="GR802" s="4">
        <v>156</v>
      </c>
      <c r="GS802" s="4">
        <v>151</v>
      </c>
      <c r="GT802" s="4">
        <v>146</v>
      </c>
      <c r="GU802" s="4">
        <v>141</v>
      </c>
      <c r="GV802" s="4">
        <v>135</v>
      </c>
      <c r="GW802" s="4">
        <v>129</v>
      </c>
      <c r="GX802" s="4">
        <v>124</v>
      </c>
      <c r="GY802" s="4">
        <v>119</v>
      </c>
      <c r="GZ802" s="4">
        <v>113</v>
      </c>
      <c r="HA802" s="4">
        <v>107</v>
      </c>
      <c r="HB802" s="4">
        <v>101</v>
      </c>
      <c r="HC802" s="19">
        <v>25.4</v>
      </c>
      <c r="HD802" s="19">
        <v>29.4</v>
      </c>
      <c r="HE802" s="19">
        <v>28.6</v>
      </c>
      <c r="HF802" s="19">
        <v>28</v>
      </c>
      <c r="HG802" s="19">
        <v>30.6</v>
      </c>
      <c r="HH802" s="19">
        <v>34</v>
      </c>
      <c r="HI802" s="19">
        <v>39</v>
      </c>
      <c r="HJ802" s="19">
        <v>47.5</v>
      </c>
      <c r="HK802" s="19">
        <v>46.5</v>
      </c>
      <c r="HL802" s="19">
        <v>45</v>
      </c>
      <c r="HM802" s="19">
        <v>44</v>
      </c>
      <c r="HN802" s="19">
        <v>43</v>
      </c>
      <c r="HO802" s="19">
        <v>42</v>
      </c>
      <c r="HP802" s="19">
        <v>41</v>
      </c>
      <c r="HQ802" s="19">
        <v>32</v>
      </c>
      <c r="HR802" s="19">
        <v>31.2</v>
      </c>
      <c r="HS802" s="19">
        <v>25.2</v>
      </c>
      <c r="HT802" s="19">
        <v>24.3</v>
      </c>
      <c r="HU802" s="19">
        <v>23.5</v>
      </c>
      <c r="HV802" s="19">
        <v>22.5</v>
      </c>
      <c r="HW802" s="19">
        <v>21.5</v>
      </c>
      <c r="HX802" s="19">
        <v>20.7</v>
      </c>
      <c r="HY802" s="19">
        <v>19.8</v>
      </c>
      <c r="HZ802" s="19">
        <v>18.8</v>
      </c>
      <c r="IA802" s="19">
        <v>17.8</v>
      </c>
      <c r="IB802" s="19">
        <v>20.2</v>
      </c>
    </row>
    <row r="803">
      <c r="A803" s="2" t="s">
        <v>4298</v>
      </c>
      <c r="B803" s="2" t="s">
        <v>279</v>
      </c>
      <c r="C803" s="2" t="s">
        <v>1411</v>
      </c>
      <c r="D803" s="2" t="s">
        <v>281</v>
      </c>
      <c r="E803" s="2" t="s">
        <v>282</v>
      </c>
      <c r="F803" s="2" t="s">
        <v>469</v>
      </c>
      <c r="G803" s="2" t="s">
        <v>469</v>
      </c>
      <c r="H803" s="2" t="s">
        <v>469</v>
      </c>
      <c r="I803" s="2" t="s">
        <v>4269</v>
      </c>
      <c r="J803" s="2" t="s">
        <v>247</v>
      </c>
      <c r="K803" s="2" t="s">
        <v>671</v>
      </c>
      <c r="L803" s="3">
        <v>11.18</v>
      </c>
      <c r="M803" s="3">
        <v>11.74</v>
      </c>
      <c r="N803" s="3">
        <v>27.99</v>
      </c>
      <c r="O803" s="2" t="s">
        <v>230</v>
      </c>
      <c r="P803" s="2" t="s">
        <v>231</v>
      </c>
      <c r="Q803" s="2" t="s">
        <v>232</v>
      </c>
      <c r="R803" s="2" t="s">
        <v>233</v>
      </c>
      <c r="S803" s="2" t="s">
        <v>4289</v>
      </c>
      <c r="T803" s="2" t="s">
        <v>469</v>
      </c>
      <c r="U803" s="2" t="s">
        <v>233</v>
      </c>
      <c r="V803" s="2" t="s">
        <v>236</v>
      </c>
      <c r="W803" s="2" t="s">
        <v>237</v>
      </c>
      <c r="X803" s="2" t="s">
        <v>233</v>
      </c>
      <c r="Y803" s="2" t="s">
        <v>238</v>
      </c>
      <c r="Z803" s="4">
        <v>359</v>
      </c>
      <c r="AA803" s="4">
        <f>=ROUNDDOWN(89.75,0)</f>
      </c>
      <c r="AB803" s="5">
        <v>4</v>
      </c>
      <c r="AC803" s="2" t="s">
        <v>233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233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233</v>
      </c>
      <c r="AW803" s="8" t="s">
        <v>233</v>
      </c>
      <c r="AX803" s="4" t="s">
        <v>233</v>
      </c>
      <c r="AY803" s="8" t="s">
        <v>233</v>
      </c>
      <c r="AZ803" s="7" t="s">
        <v>233</v>
      </c>
      <c r="BA803" s="7" t="s">
        <v>233</v>
      </c>
      <c r="BB803" s="7" t="s">
        <v>233</v>
      </c>
      <c r="BC803" s="4" t="s">
        <v>233</v>
      </c>
      <c r="BD803" s="8" t="s">
        <v>233</v>
      </c>
      <c r="BE803" s="4" t="s">
        <v>233</v>
      </c>
      <c r="BF803" s="8" t="s">
        <v>233</v>
      </c>
      <c r="BG803" s="7" t="s">
        <v>233</v>
      </c>
      <c r="BH803" s="7" t="s">
        <v>233</v>
      </c>
      <c r="BI803" s="7"/>
      <c r="BJ803" s="4">
        <v>14</v>
      </c>
      <c r="BK803" s="8">
        <v>162.18</v>
      </c>
      <c r="BL803" s="2" t="s">
        <v>4299</v>
      </c>
      <c r="BM803" s="7"/>
      <c r="BN803" s="7"/>
      <c r="BO803" s="4"/>
      <c r="BP803" s="8"/>
      <c r="BQ803" s="4"/>
      <c r="BR803" s="8"/>
      <c r="BS803" s="7"/>
      <c r="BT803" s="7"/>
      <c r="BU803" s="2" t="s">
        <v>4272</v>
      </c>
      <c r="BV803" s="2" t="s">
        <v>233</v>
      </c>
      <c r="BW803" s="2" t="s">
        <v>233</v>
      </c>
      <c r="BX803" s="2" t="s">
        <v>241</v>
      </c>
      <c r="BY803" s="2" t="s">
        <v>242</v>
      </c>
      <c r="BZ803" s="2" t="s">
        <v>230</v>
      </c>
      <c r="CA803" s="2" t="s">
        <v>4219</v>
      </c>
      <c r="CB803" s="2" t="s">
        <v>3686</v>
      </c>
      <c r="CC803" s="2" t="s">
        <v>245</v>
      </c>
      <c r="CD803" s="2" t="s">
        <v>233</v>
      </c>
      <c r="CE803" s="4">
        <v>359</v>
      </c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>
        <v>359</v>
      </c>
      <c r="GD803" s="4">
        <v>357</v>
      </c>
      <c r="GE803" s="4">
        <v>352</v>
      </c>
      <c r="GF803" s="4">
        <v>346</v>
      </c>
      <c r="GG803" s="4">
        <v>334</v>
      </c>
      <c r="GH803" s="4">
        <v>318</v>
      </c>
      <c r="GI803" s="4">
        <v>305</v>
      </c>
      <c r="GJ803" s="4">
        <v>298</v>
      </c>
      <c r="GK803" s="4">
        <v>293</v>
      </c>
      <c r="GL803" s="4">
        <v>284</v>
      </c>
      <c r="GM803" s="4">
        <v>280</v>
      </c>
      <c r="GN803" s="4">
        <v>276</v>
      </c>
      <c r="GO803" s="4">
        <v>272</v>
      </c>
      <c r="GP803" s="4">
        <v>268</v>
      </c>
      <c r="GQ803" s="4">
        <v>264</v>
      </c>
      <c r="GR803" s="4">
        <v>261</v>
      </c>
      <c r="GS803" s="4">
        <v>258</v>
      </c>
      <c r="GT803" s="4">
        <v>255</v>
      </c>
      <c r="GU803" s="4">
        <v>252</v>
      </c>
      <c r="GV803" s="4">
        <v>248</v>
      </c>
      <c r="GW803" s="4">
        <v>244</v>
      </c>
      <c r="GX803" s="4">
        <v>240</v>
      </c>
      <c r="GY803" s="4">
        <v>236</v>
      </c>
      <c r="GZ803" s="4">
        <v>232</v>
      </c>
      <c r="HA803" s="4">
        <v>228</v>
      </c>
      <c r="HB803" s="4">
        <v>224</v>
      </c>
      <c r="HC803" s="19">
        <v>59.8</v>
      </c>
      <c r="HD803" s="19">
        <v>35.7</v>
      </c>
      <c r="HE803" s="19">
        <v>29.3</v>
      </c>
      <c r="HF803" s="19">
        <v>28.8</v>
      </c>
      <c r="HG803" s="19">
        <v>33.4</v>
      </c>
      <c r="HH803" s="19">
        <v>39.8</v>
      </c>
      <c r="HI803" s="19">
        <v>50.8</v>
      </c>
      <c r="HJ803" s="19">
        <v>49.7</v>
      </c>
      <c r="HK803" s="19">
        <v>58.6</v>
      </c>
      <c r="HL803" s="19">
        <v>71</v>
      </c>
      <c r="HM803" s="19">
        <v>70</v>
      </c>
      <c r="HN803" s="19">
        <v>69</v>
      </c>
      <c r="HO803" s="19">
        <v>68</v>
      </c>
      <c r="HP803" s="19">
        <v>89.3</v>
      </c>
      <c r="HQ803" s="19">
        <v>88</v>
      </c>
      <c r="HR803" s="19">
        <v>87</v>
      </c>
      <c r="HS803" s="19">
        <v>64.5</v>
      </c>
      <c r="HT803" s="19">
        <v>63.8</v>
      </c>
      <c r="HU803" s="19">
        <v>63</v>
      </c>
      <c r="HV803" s="19">
        <v>62</v>
      </c>
      <c r="HW803" s="19">
        <v>61</v>
      </c>
      <c r="HX803" s="19">
        <v>60</v>
      </c>
      <c r="HY803" s="19">
        <v>59</v>
      </c>
      <c r="HZ803" s="19">
        <v>58</v>
      </c>
      <c r="IA803" s="19">
        <v>45.6</v>
      </c>
      <c r="IB803" s="19">
        <v>37.3</v>
      </c>
    </row>
    <row r="804">
      <c r="A804" s="2" t="s">
        <v>4300</v>
      </c>
      <c r="B804" s="2" t="s">
        <v>279</v>
      </c>
      <c r="C804" s="2" t="s">
        <v>1411</v>
      </c>
      <c r="D804" s="2" t="s">
        <v>281</v>
      </c>
      <c r="E804" s="2" t="s">
        <v>282</v>
      </c>
      <c r="F804" s="2" t="s">
        <v>469</v>
      </c>
      <c r="G804" s="2" t="s">
        <v>469</v>
      </c>
      <c r="H804" s="2" t="s">
        <v>469</v>
      </c>
      <c r="I804" s="2" t="s">
        <v>4293</v>
      </c>
      <c r="J804" s="2" t="s">
        <v>247</v>
      </c>
      <c r="K804" s="2" t="s">
        <v>671</v>
      </c>
      <c r="L804" s="3">
        <v>12.15</v>
      </c>
      <c r="M804" s="3">
        <v>12.76</v>
      </c>
      <c r="N804" s="3">
        <v>26.99</v>
      </c>
      <c r="O804" s="2" t="s">
        <v>230</v>
      </c>
      <c r="P804" s="2" t="s">
        <v>231</v>
      </c>
      <c r="Q804" s="2" t="s">
        <v>232</v>
      </c>
      <c r="R804" s="2" t="s">
        <v>233</v>
      </c>
      <c r="S804" s="2" t="s">
        <v>4289</v>
      </c>
      <c r="T804" s="2" t="s">
        <v>469</v>
      </c>
      <c r="U804" s="2" t="s">
        <v>287</v>
      </c>
      <c r="V804" s="2" t="s">
        <v>236</v>
      </c>
      <c r="W804" s="2" t="s">
        <v>237</v>
      </c>
      <c r="X804" s="2" t="s">
        <v>620</v>
      </c>
      <c r="Y804" s="2" t="s">
        <v>4294</v>
      </c>
      <c r="Z804" s="4">
        <v>588</v>
      </c>
      <c r="AA804" s="4">
        <f>=ROUNDDOWN(84,0)</f>
      </c>
      <c r="AB804" s="5">
        <v>7</v>
      </c>
      <c r="AC804" s="2" t="s">
        <v>233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233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233</v>
      </c>
      <c r="AW804" s="8" t="s">
        <v>233</v>
      </c>
      <c r="AX804" s="4" t="s">
        <v>233</v>
      </c>
      <c r="AY804" s="8" t="s">
        <v>233</v>
      </c>
      <c r="AZ804" s="7" t="s">
        <v>233</v>
      </c>
      <c r="BA804" s="7" t="s">
        <v>233</v>
      </c>
      <c r="BB804" s="7" t="s">
        <v>233</v>
      </c>
      <c r="BC804" s="4" t="s">
        <v>233</v>
      </c>
      <c r="BD804" s="8" t="s">
        <v>233</v>
      </c>
      <c r="BE804" s="4" t="s">
        <v>233</v>
      </c>
      <c r="BF804" s="8" t="s">
        <v>233</v>
      </c>
      <c r="BG804" s="7" t="s">
        <v>233</v>
      </c>
      <c r="BH804" s="7" t="s">
        <v>233</v>
      </c>
      <c r="BI804" s="7"/>
      <c r="BJ804" s="4">
        <v>14</v>
      </c>
      <c r="BK804" s="8">
        <v>177.6</v>
      </c>
      <c r="BL804" s="2" t="s">
        <v>4301</v>
      </c>
      <c r="BM804" s="7"/>
      <c r="BN804" s="7"/>
      <c r="BO804" s="4"/>
      <c r="BP804" s="8"/>
      <c r="BQ804" s="4"/>
      <c r="BR804" s="8"/>
      <c r="BS804" s="7"/>
      <c r="BT804" s="7"/>
      <c r="BU804" s="2" t="s">
        <v>4295</v>
      </c>
      <c r="BV804" s="2" t="s">
        <v>233</v>
      </c>
      <c r="BW804" s="2" t="s">
        <v>233</v>
      </c>
      <c r="BX804" s="2" t="s">
        <v>241</v>
      </c>
      <c r="BY804" s="2" t="s">
        <v>242</v>
      </c>
      <c r="BZ804" s="2" t="s">
        <v>230</v>
      </c>
      <c r="CA804" s="2" t="s">
        <v>4296</v>
      </c>
      <c r="CB804" s="2" t="s">
        <v>4302</v>
      </c>
      <c r="CC804" s="2" t="s">
        <v>245</v>
      </c>
      <c r="CD804" s="2" t="s">
        <v>233</v>
      </c>
      <c r="CE804" s="4">
        <v>588</v>
      </c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>
        <v>588</v>
      </c>
      <c r="GD804" s="4">
        <v>584</v>
      </c>
      <c r="GE804" s="4">
        <v>575</v>
      </c>
      <c r="GF804" s="4">
        <v>564</v>
      </c>
      <c r="GG804" s="4">
        <v>542</v>
      </c>
      <c r="GH804" s="4">
        <v>515</v>
      </c>
      <c r="GI804" s="4">
        <v>493</v>
      </c>
      <c r="GJ804" s="4">
        <v>481</v>
      </c>
      <c r="GK804" s="4">
        <v>472</v>
      </c>
      <c r="GL804" s="4">
        <v>457</v>
      </c>
      <c r="GM804" s="4">
        <v>450</v>
      </c>
      <c r="GN804" s="4">
        <v>443</v>
      </c>
      <c r="GO804" s="4">
        <v>436</v>
      </c>
      <c r="GP804" s="4">
        <v>429</v>
      </c>
      <c r="GQ804" s="4">
        <v>422</v>
      </c>
      <c r="GR804" s="4">
        <v>417</v>
      </c>
      <c r="GS804" s="4">
        <v>412</v>
      </c>
      <c r="GT804" s="4">
        <v>407</v>
      </c>
      <c r="GU804" s="4">
        <v>402</v>
      </c>
      <c r="GV804" s="4">
        <v>395</v>
      </c>
      <c r="GW804" s="4">
        <v>388</v>
      </c>
      <c r="GX804" s="4">
        <v>381</v>
      </c>
      <c r="GY804" s="4">
        <v>374</v>
      </c>
      <c r="GZ804" s="4">
        <v>366</v>
      </c>
      <c r="HA804" s="4">
        <v>358</v>
      </c>
      <c r="HB804" s="4">
        <v>350</v>
      </c>
      <c r="HC804" s="19">
        <v>49</v>
      </c>
      <c r="HD804" s="19">
        <v>34.4</v>
      </c>
      <c r="HE804" s="19">
        <v>28.8</v>
      </c>
      <c r="HF804" s="19">
        <v>26.9</v>
      </c>
      <c r="HG804" s="19">
        <v>30.1</v>
      </c>
      <c r="HH804" s="19">
        <v>36.8</v>
      </c>
      <c r="HI804" s="19">
        <v>44.8</v>
      </c>
      <c r="HJ804" s="19">
        <v>48.1</v>
      </c>
      <c r="HK804" s="19">
        <v>52.4</v>
      </c>
      <c r="HL804" s="19">
        <v>65.3</v>
      </c>
      <c r="HM804" s="19">
        <v>64.3</v>
      </c>
      <c r="HN804" s="19">
        <v>73.8</v>
      </c>
      <c r="HO804" s="19">
        <v>72.7</v>
      </c>
      <c r="HP804" s="19">
        <v>71.5</v>
      </c>
      <c r="HQ804" s="19">
        <v>84.4</v>
      </c>
      <c r="HR804" s="19">
        <v>69.5</v>
      </c>
      <c r="HS804" s="19">
        <v>68.7</v>
      </c>
      <c r="HT804" s="19">
        <v>67.8</v>
      </c>
      <c r="HU804" s="19">
        <v>57.4</v>
      </c>
      <c r="HV804" s="19">
        <v>56.4</v>
      </c>
      <c r="HW804" s="19">
        <v>48.5</v>
      </c>
      <c r="HX804" s="19">
        <v>47.6</v>
      </c>
      <c r="HY804" s="19">
        <v>46.8</v>
      </c>
      <c r="HZ804" s="19">
        <v>45.8</v>
      </c>
      <c r="IA804" s="19">
        <v>35.8</v>
      </c>
      <c r="IB804" s="19">
        <v>29.2</v>
      </c>
    </row>
    <row r="805">
      <c r="A805" s="2" t="s">
        <v>4303</v>
      </c>
      <c r="B805" s="2" t="s">
        <v>279</v>
      </c>
      <c r="C805" s="2" t="s">
        <v>1411</v>
      </c>
      <c r="D805" s="2" t="s">
        <v>281</v>
      </c>
      <c r="E805" s="2" t="s">
        <v>282</v>
      </c>
      <c r="F805" s="2" t="s">
        <v>469</v>
      </c>
      <c r="G805" s="2" t="s">
        <v>469</v>
      </c>
      <c r="H805" s="2" t="s">
        <v>469</v>
      </c>
      <c r="I805" s="2" t="s">
        <v>4269</v>
      </c>
      <c r="J805" s="2" t="s">
        <v>252</v>
      </c>
      <c r="K805" s="2" t="s">
        <v>671</v>
      </c>
      <c r="L805" s="3">
        <v>12.92</v>
      </c>
      <c r="M805" s="3">
        <v>13.57</v>
      </c>
      <c r="N805" s="3">
        <v>30.99</v>
      </c>
      <c r="O805" s="2" t="s">
        <v>230</v>
      </c>
      <c r="P805" s="2" t="s">
        <v>231</v>
      </c>
      <c r="Q805" s="2" t="s">
        <v>232</v>
      </c>
      <c r="R805" s="2" t="s">
        <v>233</v>
      </c>
      <c r="S805" s="2" t="s">
        <v>4289</v>
      </c>
      <c r="T805" s="2" t="s">
        <v>469</v>
      </c>
      <c r="U805" s="2" t="s">
        <v>233</v>
      </c>
      <c r="V805" s="2" t="s">
        <v>236</v>
      </c>
      <c r="W805" s="2" t="s">
        <v>237</v>
      </c>
      <c r="X805" s="2" t="s">
        <v>233</v>
      </c>
      <c r="Y805" s="2" t="s">
        <v>238</v>
      </c>
      <c r="Z805" s="4">
        <v>22</v>
      </c>
      <c r="AA805" s="4">
        <f>=ROUNDDOWN(3.14285714285714,0)</f>
      </c>
      <c r="AB805" s="5">
        <v>7</v>
      </c>
      <c r="AC805" s="2" t="s">
        <v>139</v>
      </c>
      <c r="AD805" s="4">
        <v>100</v>
      </c>
      <c r="AE805" s="4">
        <v>180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233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233</v>
      </c>
      <c r="AW805" s="8" t="s">
        <v>233</v>
      </c>
      <c r="AX805" s="4" t="s">
        <v>233</v>
      </c>
      <c r="AY805" s="8" t="s">
        <v>233</v>
      </c>
      <c r="AZ805" s="7" t="s">
        <v>233</v>
      </c>
      <c r="BA805" s="7" t="s">
        <v>233</v>
      </c>
      <c r="BB805" s="7" t="s">
        <v>233</v>
      </c>
      <c r="BC805" s="4" t="s">
        <v>233</v>
      </c>
      <c r="BD805" s="8" t="s">
        <v>233</v>
      </c>
      <c r="BE805" s="4" t="s">
        <v>233</v>
      </c>
      <c r="BF805" s="8" t="s">
        <v>233</v>
      </c>
      <c r="BG805" s="7" t="s">
        <v>233</v>
      </c>
      <c r="BH805" s="7" t="s">
        <v>233</v>
      </c>
      <c r="BI805" s="7"/>
      <c r="BJ805" s="4">
        <v>36</v>
      </c>
      <c r="BK805" s="8">
        <v>513.03</v>
      </c>
      <c r="BL805" s="2" t="s">
        <v>4304</v>
      </c>
      <c r="BM805" s="7"/>
      <c r="BN805" s="7"/>
      <c r="BO805" s="4"/>
      <c r="BP805" s="8"/>
      <c r="BQ805" s="4"/>
      <c r="BR805" s="8"/>
      <c r="BS805" s="7"/>
      <c r="BT805" s="7"/>
      <c r="BU805" s="2" t="s">
        <v>4272</v>
      </c>
      <c r="BV805" s="2" t="s">
        <v>233</v>
      </c>
      <c r="BW805" s="2" t="s">
        <v>233</v>
      </c>
      <c r="BX805" s="2" t="s">
        <v>241</v>
      </c>
      <c r="BY805" s="2" t="s">
        <v>242</v>
      </c>
      <c r="BZ805" s="2" t="s">
        <v>230</v>
      </c>
      <c r="CA805" s="2" t="s">
        <v>4219</v>
      </c>
      <c r="CB805" s="2" t="s">
        <v>4305</v>
      </c>
      <c r="CC805" s="2" t="s">
        <v>245</v>
      </c>
      <c r="CD805" s="2" t="s">
        <v>233</v>
      </c>
      <c r="CE805" s="4">
        <v>22</v>
      </c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>
        <v>100</v>
      </c>
      <c r="DB805" s="4"/>
      <c r="DC805" s="4"/>
      <c r="DD805" s="4"/>
      <c r="DE805" s="4"/>
      <c r="DF805" s="4"/>
      <c r="DG805" s="4"/>
      <c r="DH805" s="4"/>
      <c r="DI805" s="4">
        <v>30</v>
      </c>
      <c r="DJ805" s="4"/>
      <c r="DK805" s="4"/>
      <c r="DL805" s="4"/>
      <c r="DM805" s="4"/>
      <c r="DN805" s="4"/>
      <c r="DO805" s="4"/>
      <c r="DP805" s="4"/>
      <c r="DQ805" s="4"/>
      <c r="DR805" s="4">
        <v>30</v>
      </c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>
        <v>20</v>
      </c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>
        <v>26</v>
      </c>
      <c r="GD805" s="4">
        <v>15</v>
      </c>
      <c r="GE805" s="4">
        <v>105</v>
      </c>
      <c r="GF805" s="4">
        <v>96</v>
      </c>
      <c r="GG805" s="4">
        <v>111</v>
      </c>
      <c r="GH805" s="4">
        <v>126</v>
      </c>
      <c r="GI805" s="4">
        <v>113</v>
      </c>
      <c r="GJ805" s="4">
        <v>105</v>
      </c>
      <c r="GK805" s="4">
        <v>98</v>
      </c>
      <c r="GL805" s="4">
        <v>89</v>
      </c>
      <c r="GM805" s="4">
        <v>82</v>
      </c>
      <c r="GN805" s="4">
        <v>75</v>
      </c>
      <c r="GO805" s="4">
        <v>68</v>
      </c>
      <c r="GP805" s="4">
        <v>61</v>
      </c>
      <c r="GQ805" s="4">
        <v>54</v>
      </c>
      <c r="GR805" s="4">
        <v>67</v>
      </c>
      <c r="GS805" s="4">
        <v>60</v>
      </c>
      <c r="GT805" s="4">
        <v>53</v>
      </c>
      <c r="GU805" s="4">
        <v>46</v>
      </c>
      <c r="GV805" s="4">
        <v>135</v>
      </c>
      <c r="GW805" s="4">
        <v>128</v>
      </c>
      <c r="GX805" s="4">
        <v>121</v>
      </c>
      <c r="GY805" s="4">
        <v>114</v>
      </c>
      <c r="GZ805" s="4">
        <v>107</v>
      </c>
      <c r="HA805" s="4">
        <v>100</v>
      </c>
      <c r="HB805" s="4">
        <v>93</v>
      </c>
      <c r="HC805" s="19">
        <v>2.4</v>
      </c>
      <c r="HD805" s="19">
        <v>1.3</v>
      </c>
      <c r="HE805" s="19">
        <v>8.1</v>
      </c>
      <c r="HF805" s="19">
        <v>7.4</v>
      </c>
      <c r="HG805" s="19">
        <v>10.1</v>
      </c>
      <c r="HH805" s="19">
        <v>14</v>
      </c>
      <c r="HI805" s="19">
        <v>14.1</v>
      </c>
      <c r="HJ805" s="19">
        <v>13.1</v>
      </c>
      <c r="HK805" s="19">
        <v>12.3</v>
      </c>
      <c r="HL805" s="19">
        <v>12.7</v>
      </c>
      <c r="HM805" s="19">
        <v>11.7</v>
      </c>
      <c r="HN805" s="19">
        <v>10.7</v>
      </c>
      <c r="HO805" s="19">
        <v>9.7</v>
      </c>
      <c r="HP805" s="19">
        <v>8.7</v>
      </c>
      <c r="HQ805" s="19">
        <v>7.7</v>
      </c>
      <c r="HR805" s="19">
        <v>9.6</v>
      </c>
      <c r="HS805" s="19">
        <v>8.6</v>
      </c>
      <c r="HT805" s="19">
        <v>7.6</v>
      </c>
      <c r="HU805" s="19">
        <v>6.6</v>
      </c>
      <c r="HV805" s="19">
        <v>19.3</v>
      </c>
      <c r="HW805" s="19">
        <v>18.3</v>
      </c>
      <c r="HX805" s="19">
        <v>17.3</v>
      </c>
      <c r="HY805" s="19">
        <v>16.3</v>
      </c>
      <c r="HZ805" s="19">
        <v>15.3</v>
      </c>
      <c r="IA805" s="19">
        <v>14.3</v>
      </c>
      <c r="IB805" s="19">
        <v>13.3</v>
      </c>
    </row>
    <row r="806">
      <c r="A806" s="2" t="s">
        <v>4306</v>
      </c>
      <c r="B806" s="2" t="s">
        <v>279</v>
      </c>
      <c r="C806" s="2" t="s">
        <v>1411</v>
      </c>
      <c r="D806" s="2" t="s">
        <v>281</v>
      </c>
      <c r="E806" s="2" t="s">
        <v>282</v>
      </c>
      <c r="F806" s="2" t="s">
        <v>469</v>
      </c>
      <c r="G806" s="2" t="s">
        <v>469</v>
      </c>
      <c r="H806" s="2" t="s">
        <v>469</v>
      </c>
      <c r="I806" s="2" t="s">
        <v>4293</v>
      </c>
      <c r="J806" s="2" t="s">
        <v>252</v>
      </c>
      <c r="K806" s="2" t="s">
        <v>671</v>
      </c>
      <c r="L806" s="3">
        <v>14.85</v>
      </c>
      <c r="M806" s="3">
        <v>15.59</v>
      </c>
      <c r="N806" s="3">
        <v>32.99</v>
      </c>
      <c r="O806" s="2" t="s">
        <v>230</v>
      </c>
      <c r="P806" s="2" t="s">
        <v>231</v>
      </c>
      <c r="Q806" s="2" t="s">
        <v>232</v>
      </c>
      <c r="R806" s="2" t="s">
        <v>233</v>
      </c>
      <c r="S806" s="2" t="s">
        <v>4289</v>
      </c>
      <c r="T806" s="2" t="s">
        <v>469</v>
      </c>
      <c r="U806" s="2" t="s">
        <v>665</v>
      </c>
      <c r="V806" s="2" t="s">
        <v>236</v>
      </c>
      <c r="W806" s="2" t="s">
        <v>237</v>
      </c>
      <c r="X806" s="2" t="s">
        <v>620</v>
      </c>
      <c r="Y806" s="2" t="s">
        <v>4294</v>
      </c>
      <c r="Z806" s="4">
        <v>76</v>
      </c>
      <c r="AA806" s="4">
        <f>=ROUNDDOWN(38,0)</f>
      </c>
      <c r="AB806" s="5">
        <v>2</v>
      </c>
      <c r="AC806" s="2" t="s">
        <v>139</v>
      </c>
      <c r="AD806" s="4">
        <v>80</v>
      </c>
      <c r="AE806" s="4">
        <v>80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233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233</v>
      </c>
      <c r="AW806" s="8" t="s">
        <v>233</v>
      </c>
      <c r="AX806" s="4" t="s">
        <v>233</v>
      </c>
      <c r="AY806" s="8" t="s">
        <v>233</v>
      </c>
      <c r="AZ806" s="7" t="s">
        <v>233</v>
      </c>
      <c r="BA806" s="7" t="s">
        <v>233</v>
      </c>
      <c r="BB806" s="7" t="s">
        <v>233</v>
      </c>
      <c r="BC806" s="4" t="s">
        <v>233</v>
      </c>
      <c r="BD806" s="8" t="s">
        <v>233</v>
      </c>
      <c r="BE806" s="4" t="s">
        <v>233</v>
      </c>
      <c r="BF806" s="8" t="s">
        <v>233</v>
      </c>
      <c r="BG806" s="7" t="s">
        <v>233</v>
      </c>
      <c r="BH806" s="7" t="s">
        <v>233</v>
      </c>
      <c r="BI806" s="7"/>
      <c r="BJ806" s="4">
        <v>8</v>
      </c>
      <c r="BK806" s="8">
        <v>141.93</v>
      </c>
      <c r="BL806" s="2" t="s">
        <v>4307</v>
      </c>
      <c r="BM806" s="7"/>
      <c r="BN806" s="7"/>
      <c r="BO806" s="4"/>
      <c r="BP806" s="8"/>
      <c r="BQ806" s="4"/>
      <c r="BR806" s="8"/>
      <c r="BS806" s="7"/>
      <c r="BT806" s="7"/>
      <c r="BU806" s="2" t="s">
        <v>4295</v>
      </c>
      <c r="BV806" s="2" t="s">
        <v>233</v>
      </c>
      <c r="BW806" s="2" t="s">
        <v>233</v>
      </c>
      <c r="BX806" s="2" t="s">
        <v>241</v>
      </c>
      <c r="BY806" s="2" t="s">
        <v>242</v>
      </c>
      <c r="BZ806" s="2" t="s">
        <v>230</v>
      </c>
      <c r="CA806" s="2" t="s">
        <v>4296</v>
      </c>
      <c r="CB806" s="2" t="s">
        <v>4308</v>
      </c>
      <c r="CC806" s="2" t="s">
        <v>245</v>
      </c>
      <c r="CD806" s="2" t="s">
        <v>233</v>
      </c>
      <c r="CE806" s="4">
        <v>76</v>
      </c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>
        <v>80</v>
      </c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>
        <v>78</v>
      </c>
      <c r="GD806" s="4">
        <v>75</v>
      </c>
      <c r="GE806" s="4">
        <v>153</v>
      </c>
      <c r="GF806" s="4">
        <v>150</v>
      </c>
      <c r="GG806" s="4">
        <v>144</v>
      </c>
      <c r="GH806" s="4">
        <v>138</v>
      </c>
      <c r="GI806" s="4">
        <v>133</v>
      </c>
      <c r="GJ806" s="4">
        <v>130</v>
      </c>
      <c r="GK806" s="4">
        <v>128</v>
      </c>
      <c r="GL806" s="4">
        <v>125</v>
      </c>
      <c r="GM806" s="4">
        <v>123</v>
      </c>
      <c r="GN806" s="4">
        <v>121</v>
      </c>
      <c r="GO806" s="4">
        <v>119</v>
      </c>
      <c r="GP806" s="4">
        <v>117</v>
      </c>
      <c r="GQ806" s="4">
        <v>115</v>
      </c>
      <c r="GR806" s="4">
        <v>113</v>
      </c>
      <c r="GS806" s="4">
        <v>111</v>
      </c>
      <c r="GT806" s="4">
        <v>109</v>
      </c>
      <c r="GU806" s="4">
        <v>107</v>
      </c>
      <c r="GV806" s="4">
        <v>105</v>
      </c>
      <c r="GW806" s="4">
        <v>103</v>
      </c>
      <c r="GX806" s="4">
        <v>101</v>
      </c>
      <c r="GY806" s="4">
        <v>99</v>
      </c>
      <c r="GZ806" s="4">
        <v>97</v>
      </c>
      <c r="HA806" s="4">
        <v>95</v>
      </c>
      <c r="HB806" s="4">
        <v>93</v>
      </c>
      <c r="HC806" s="19">
        <v>19.5</v>
      </c>
      <c r="HD806" s="19">
        <v>18.8</v>
      </c>
      <c r="HE806" s="19">
        <v>30.6</v>
      </c>
      <c r="HF806" s="19">
        <v>30</v>
      </c>
      <c r="HG806" s="19">
        <v>36</v>
      </c>
      <c r="HH806" s="19">
        <v>46</v>
      </c>
      <c r="HI806" s="19">
        <v>66.5</v>
      </c>
      <c r="HJ806" s="19">
        <v>65</v>
      </c>
      <c r="HK806" s="19">
        <v>64</v>
      </c>
      <c r="HL806" s="19">
        <v>62.5</v>
      </c>
      <c r="HM806" s="19">
        <v>61.5</v>
      </c>
      <c r="HN806" s="19">
        <v>60.5</v>
      </c>
      <c r="HO806" s="19">
        <v>59.5</v>
      </c>
      <c r="HP806" s="19">
        <v>58.5</v>
      </c>
      <c r="HQ806" s="19">
        <v>57.5</v>
      </c>
      <c r="HR806" s="19">
        <v>56.5</v>
      </c>
      <c r="HS806" s="19">
        <v>55.5</v>
      </c>
      <c r="HT806" s="19">
        <v>54.5</v>
      </c>
      <c r="HU806" s="19">
        <v>53.5</v>
      </c>
      <c r="HV806" s="19">
        <v>52.5</v>
      </c>
      <c r="HW806" s="19">
        <v>51.5</v>
      </c>
      <c r="HX806" s="19">
        <v>50.5</v>
      </c>
      <c r="HY806" s="19">
        <v>49.5</v>
      </c>
      <c r="HZ806" s="19">
        <v>48.5</v>
      </c>
      <c r="IA806" s="19">
        <v>47.5</v>
      </c>
      <c r="IB806" s="19">
        <v>46.5</v>
      </c>
    </row>
    <row r="807">
      <c r="A807" s="2" t="s">
        <v>4309</v>
      </c>
      <c r="B807" s="2" t="s">
        <v>279</v>
      </c>
      <c r="C807" s="2" t="s">
        <v>1411</v>
      </c>
      <c r="D807" s="2" t="s">
        <v>281</v>
      </c>
      <c r="E807" s="2" t="s">
        <v>282</v>
      </c>
      <c r="F807" s="2" t="s">
        <v>469</v>
      </c>
      <c r="G807" s="2" t="s">
        <v>469</v>
      </c>
      <c r="H807" s="2" t="s">
        <v>469</v>
      </c>
      <c r="I807" s="2" t="s">
        <v>4269</v>
      </c>
      <c r="J807" s="2" t="s">
        <v>336</v>
      </c>
      <c r="K807" s="2" t="s">
        <v>671</v>
      </c>
      <c r="L807" s="3">
        <v>14.21</v>
      </c>
      <c r="M807" s="3">
        <v>14.92</v>
      </c>
      <c r="N807" s="3">
        <v>32.99</v>
      </c>
      <c r="O807" s="2" t="s">
        <v>230</v>
      </c>
      <c r="P807" s="2" t="s">
        <v>231</v>
      </c>
      <c r="Q807" s="2" t="s">
        <v>232</v>
      </c>
      <c r="R807" s="2" t="s">
        <v>233</v>
      </c>
      <c r="S807" s="2" t="s">
        <v>4289</v>
      </c>
      <c r="T807" s="2" t="s">
        <v>469</v>
      </c>
      <c r="U807" s="2" t="s">
        <v>233</v>
      </c>
      <c r="V807" s="2" t="s">
        <v>236</v>
      </c>
      <c r="W807" s="2" t="s">
        <v>237</v>
      </c>
      <c r="X807" s="2" t="s">
        <v>233</v>
      </c>
      <c r="Y807" s="2" t="s">
        <v>238</v>
      </c>
      <c r="Z807" s="4">
        <v>320</v>
      </c>
      <c r="AA807" s="4">
        <f>=ROUNDDOWN(11.8518518518519,0)</f>
      </c>
      <c r="AB807" s="5">
        <v>27</v>
      </c>
      <c r="AC807" s="2" t="s">
        <v>147</v>
      </c>
      <c r="AD807" s="4">
        <v>120</v>
      </c>
      <c r="AE807" s="4">
        <v>670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233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233</v>
      </c>
      <c r="AW807" s="8" t="s">
        <v>233</v>
      </c>
      <c r="AX807" s="4" t="s">
        <v>233</v>
      </c>
      <c r="AY807" s="8" t="s">
        <v>233</v>
      </c>
      <c r="AZ807" s="7" t="s">
        <v>233</v>
      </c>
      <c r="BA807" s="7" t="s">
        <v>233</v>
      </c>
      <c r="BB807" s="7" t="s">
        <v>233</v>
      </c>
      <c r="BC807" s="4" t="s">
        <v>233</v>
      </c>
      <c r="BD807" s="8" t="s">
        <v>233</v>
      </c>
      <c r="BE807" s="4" t="s">
        <v>233</v>
      </c>
      <c r="BF807" s="8" t="s">
        <v>233</v>
      </c>
      <c r="BG807" s="7" t="s">
        <v>233</v>
      </c>
      <c r="BH807" s="7" t="s">
        <v>233</v>
      </c>
      <c r="BI807" s="7"/>
      <c r="BJ807" s="4">
        <v>252</v>
      </c>
      <c r="BK807" s="8">
        <v>3544.83</v>
      </c>
      <c r="BL807" s="2" t="s">
        <v>4310</v>
      </c>
      <c r="BM807" s="7"/>
      <c r="BN807" s="7"/>
      <c r="BO807" s="4"/>
      <c r="BP807" s="8"/>
      <c r="BQ807" s="4"/>
      <c r="BR807" s="8"/>
      <c r="BS807" s="7"/>
      <c r="BT807" s="7"/>
      <c r="BU807" s="2" t="s">
        <v>4272</v>
      </c>
      <c r="BV807" s="2" t="s">
        <v>233</v>
      </c>
      <c r="BW807" s="2" t="s">
        <v>233</v>
      </c>
      <c r="BX807" s="2" t="s">
        <v>241</v>
      </c>
      <c r="BY807" s="2" t="s">
        <v>242</v>
      </c>
      <c r="BZ807" s="2" t="s">
        <v>230</v>
      </c>
      <c r="CA807" s="2" t="s">
        <v>4219</v>
      </c>
      <c r="CB807" s="2" t="s">
        <v>4311</v>
      </c>
      <c r="CC807" s="2" t="s">
        <v>245</v>
      </c>
      <c r="CD807" s="2" t="s">
        <v>233</v>
      </c>
      <c r="CE807" s="4">
        <v>320</v>
      </c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>
        <v>120</v>
      </c>
      <c r="DJ807" s="4"/>
      <c r="DK807" s="4"/>
      <c r="DL807" s="4"/>
      <c r="DM807" s="4"/>
      <c r="DN807" s="4"/>
      <c r="DO807" s="4"/>
      <c r="DP807" s="4"/>
      <c r="DQ807" s="4"/>
      <c r="DR807" s="4">
        <v>270</v>
      </c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>
        <v>280</v>
      </c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>
        <v>351</v>
      </c>
      <c r="GD807" s="4">
        <v>289</v>
      </c>
      <c r="GE807" s="4">
        <v>258</v>
      </c>
      <c r="GF807" s="4">
        <v>226</v>
      </c>
      <c r="GG807" s="4">
        <v>279</v>
      </c>
      <c r="GH807" s="4">
        <v>479</v>
      </c>
      <c r="GI807" s="4">
        <v>422</v>
      </c>
      <c r="GJ807" s="4">
        <v>390</v>
      </c>
      <c r="GK807" s="4">
        <v>365</v>
      </c>
      <c r="GL807" s="4">
        <v>325</v>
      </c>
      <c r="GM807" s="4">
        <v>293</v>
      </c>
      <c r="GN807" s="4">
        <v>261</v>
      </c>
      <c r="GO807" s="4">
        <v>229</v>
      </c>
      <c r="GP807" s="4">
        <v>197</v>
      </c>
      <c r="GQ807" s="4">
        <v>165</v>
      </c>
      <c r="GR807" s="4">
        <v>413</v>
      </c>
      <c r="GS807" s="4">
        <v>381</v>
      </c>
      <c r="GT807" s="4">
        <v>349</v>
      </c>
      <c r="GU807" s="4">
        <v>317</v>
      </c>
      <c r="GV807" s="4">
        <v>476</v>
      </c>
      <c r="GW807" s="4">
        <v>449</v>
      </c>
      <c r="GX807" s="4">
        <v>422</v>
      </c>
      <c r="GY807" s="4">
        <v>395</v>
      </c>
      <c r="GZ807" s="4">
        <v>370</v>
      </c>
      <c r="HA807" s="4">
        <v>345</v>
      </c>
      <c r="HB807" s="4">
        <v>320</v>
      </c>
      <c r="HC807" s="19">
        <v>7.3</v>
      </c>
      <c r="HD807" s="19">
        <v>5.8</v>
      </c>
      <c r="HE807" s="19">
        <v>4.6</v>
      </c>
      <c r="HF807" s="19">
        <v>4</v>
      </c>
      <c r="HG807" s="19">
        <v>6.1</v>
      </c>
      <c r="HH807" s="19">
        <v>12.6</v>
      </c>
      <c r="HI807" s="19">
        <v>13.2</v>
      </c>
      <c r="HJ807" s="19">
        <v>12.2</v>
      </c>
      <c r="HK807" s="19">
        <v>10.7</v>
      </c>
      <c r="HL807" s="19">
        <v>10.2</v>
      </c>
      <c r="HM807" s="19">
        <v>9.2</v>
      </c>
      <c r="HN807" s="19">
        <v>8.2</v>
      </c>
      <c r="HO807" s="19">
        <v>7.2</v>
      </c>
      <c r="HP807" s="19">
        <v>6.2</v>
      </c>
      <c r="HQ807" s="19">
        <v>5.2</v>
      </c>
      <c r="HR807" s="19">
        <v>13.3</v>
      </c>
      <c r="HS807" s="19">
        <v>12.7</v>
      </c>
      <c r="HT807" s="19">
        <v>12.5</v>
      </c>
      <c r="HU807" s="19">
        <v>11.7</v>
      </c>
      <c r="HV807" s="19">
        <v>18.3</v>
      </c>
      <c r="HW807" s="19">
        <v>17.3</v>
      </c>
      <c r="HX807" s="19">
        <v>16.2</v>
      </c>
      <c r="HY807" s="19">
        <v>15.8</v>
      </c>
      <c r="HZ807" s="19">
        <v>14.8</v>
      </c>
      <c r="IA807" s="19">
        <v>13.3</v>
      </c>
      <c r="IB807" s="19">
        <v>12.3</v>
      </c>
    </row>
    <row r="808">
      <c r="A808" s="2" t="s">
        <v>4312</v>
      </c>
      <c r="B808" s="2" t="s">
        <v>279</v>
      </c>
      <c r="C808" s="2" t="s">
        <v>1411</v>
      </c>
      <c r="D808" s="2" t="s">
        <v>281</v>
      </c>
      <c r="E808" s="2" t="s">
        <v>282</v>
      </c>
      <c r="F808" s="2" t="s">
        <v>469</v>
      </c>
      <c r="G808" s="2" t="s">
        <v>469</v>
      </c>
      <c r="H808" s="2" t="s">
        <v>469</v>
      </c>
      <c r="I808" s="2" t="s">
        <v>4293</v>
      </c>
      <c r="J808" s="2" t="s">
        <v>336</v>
      </c>
      <c r="K808" s="2" t="s">
        <v>671</v>
      </c>
      <c r="L808" s="3">
        <v>14.85</v>
      </c>
      <c r="M808" s="3">
        <v>15.59</v>
      </c>
      <c r="N808" s="3">
        <v>32.99</v>
      </c>
      <c r="O808" s="2" t="s">
        <v>230</v>
      </c>
      <c r="P808" s="2" t="s">
        <v>231</v>
      </c>
      <c r="Q808" s="2" t="s">
        <v>232</v>
      </c>
      <c r="R808" s="2" t="s">
        <v>233</v>
      </c>
      <c r="S808" s="2" t="s">
        <v>4289</v>
      </c>
      <c r="T808" s="2" t="s">
        <v>469</v>
      </c>
      <c r="U808" s="2" t="s">
        <v>665</v>
      </c>
      <c r="V808" s="2" t="s">
        <v>236</v>
      </c>
      <c r="W808" s="2" t="s">
        <v>237</v>
      </c>
      <c r="X808" s="2" t="s">
        <v>620</v>
      </c>
      <c r="Y808" s="2" t="s">
        <v>4294</v>
      </c>
      <c r="Z808" s="4">
        <v>58</v>
      </c>
      <c r="AA808" s="4">
        <f>=ROUNDDOWN(4.14285714285714,0)</f>
      </c>
      <c r="AB808" s="5">
        <v>14</v>
      </c>
      <c r="AC808" s="2" t="s">
        <v>147</v>
      </c>
      <c r="AD808" s="4">
        <v>140</v>
      </c>
      <c r="AE808" s="4">
        <v>580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233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233</v>
      </c>
      <c r="AW808" s="8" t="s">
        <v>233</v>
      </c>
      <c r="AX808" s="4" t="s">
        <v>233</v>
      </c>
      <c r="AY808" s="8" t="s">
        <v>233</v>
      </c>
      <c r="AZ808" s="7" t="s">
        <v>233</v>
      </c>
      <c r="BA808" s="7" t="s">
        <v>233</v>
      </c>
      <c r="BB808" s="7" t="s">
        <v>233</v>
      </c>
      <c r="BC808" s="4" t="s">
        <v>233</v>
      </c>
      <c r="BD808" s="8" t="s">
        <v>233</v>
      </c>
      <c r="BE808" s="4" t="s">
        <v>233</v>
      </c>
      <c r="BF808" s="8" t="s">
        <v>233</v>
      </c>
      <c r="BG808" s="7" t="s">
        <v>233</v>
      </c>
      <c r="BH808" s="7" t="s">
        <v>233</v>
      </c>
      <c r="BI808" s="7"/>
      <c r="BJ808" s="4">
        <v>122</v>
      </c>
      <c r="BK808" s="8">
        <v>1910.05</v>
      </c>
      <c r="BL808" s="2" t="s">
        <v>4313</v>
      </c>
      <c r="BM808" s="7"/>
      <c r="BN808" s="7"/>
      <c r="BO808" s="4"/>
      <c r="BP808" s="8"/>
      <c r="BQ808" s="4"/>
      <c r="BR808" s="8"/>
      <c r="BS808" s="7"/>
      <c r="BT808" s="7"/>
      <c r="BU808" s="2" t="s">
        <v>4295</v>
      </c>
      <c r="BV808" s="2" t="s">
        <v>233</v>
      </c>
      <c r="BW808" s="2" t="s">
        <v>233</v>
      </c>
      <c r="BX808" s="2" t="s">
        <v>241</v>
      </c>
      <c r="BY808" s="2" t="s">
        <v>242</v>
      </c>
      <c r="BZ808" s="2" t="s">
        <v>230</v>
      </c>
      <c r="CA808" s="2" t="s">
        <v>4296</v>
      </c>
      <c r="CB808" s="2" t="s">
        <v>4314</v>
      </c>
      <c r="CC808" s="2" t="s">
        <v>245</v>
      </c>
      <c r="CD808" s="2" t="s">
        <v>233</v>
      </c>
      <c r="CE808" s="4">
        <v>58</v>
      </c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>
        <v>140</v>
      </c>
      <c r="DJ808" s="4"/>
      <c r="DK808" s="4"/>
      <c r="DL808" s="4"/>
      <c r="DM808" s="4"/>
      <c r="DN808" s="4"/>
      <c r="DO808" s="4"/>
      <c r="DP808" s="4"/>
      <c r="DQ808" s="4"/>
      <c r="DR808" s="4">
        <v>200</v>
      </c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>
        <v>240</v>
      </c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>
        <v>75</v>
      </c>
      <c r="GD808" s="4">
        <v>36</v>
      </c>
      <c r="GE808" s="4">
        <v>20</v>
      </c>
      <c r="GF808" s="4">
        <v>3</v>
      </c>
      <c r="GG808" s="4">
        <v>140</v>
      </c>
      <c r="GH808" s="4">
        <v>303</v>
      </c>
      <c r="GI808" s="4">
        <v>273</v>
      </c>
      <c r="GJ808" s="4">
        <v>256</v>
      </c>
      <c r="GK808" s="4">
        <v>243</v>
      </c>
      <c r="GL808" s="4">
        <v>222</v>
      </c>
      <c r="GM808" s="4">
        <v>205</v>
      </c>
      <c r="GN808" s="4">
        <v>188</v>
      </c>
      <c r="GO808" s="4">
        <v>171</v>
      </c>
      <c r="GP808" s="4">
        <v>154</v>
      </c>
      <c r="GQ808" s="4">
        <v>137</v>
      </c>
      <c r="GR808" s="4">
        <v>360</v>
      </c>
      <c r="GS808" s="4">
        <v>343</v>
      </c>
      <c r="GT808" s="4">
        <v>326</v>
      </c>
      <c r="GU808" s="4">
        <v>309</v>
      </c>
      <c r="GV808" s="4">
        <v>295</v>
      </c>
      <c r="GW808" s="4">
        <v>281</v>
      </c>
      <c r="GX808" s="4">
        <v>267</v>
      </c>
      <c r="GY808" s="4">
        <v>253</v>
      </c>
      <c r="GZ808" s="4">
        <v>240</v>
      </c>
      <c r="HA808" s="4">
        <v>227</v>
      </c>
      <c r="HB808" s="4">
        <v>214</v>
      </c>
      <c r="HC808" s="19">
        <v>2.9</v>
      </c>
      <c r="HD808" s="19">
        <v>1.4</v>
      </c>
      <c r="HE808" s="19">
        <v>0.7</v>
      </c>
      <c r="HF808" s="19">
        <v>0.1</v>
      </c>
      <c r="HG808" s="19">
        <v>5.8</v>
      </c>
      <c r="HH808" s="19">
        <v>15.2</v>
      </c>
      <c r="HI808" s="19">
        <v>16.1</v>
      </c>
      <c r="HJ808" s="19">
        <v>15.1</v>
      </c>
      <c r="HK808" s="19">
        <v>13.5</v>
      </c>
      <c r="HL808" s="19">
        <v>13.1</v>
      </c>
      <c r="HM808" s="19">
        <v>12.1</v>
      </c>
      <c r="HN808" s="19">
        <v>11.1</v>
      </c>
      <c r="HO808" s="19">
        <v>10.1</v>
      </c>
      <c r="HP808" s="19">
        <v>9.1</v>
      </c>
      <c r="HQ808" s="19">
        <v>8.1</v>
      </c>
      <c r="HR808" s="19">
        <v>22.5</v>
      </c>
      <c r="HS808" s="19">
        <v>21.4</v>
      </c>
      <c r="HT808" s="19">
        <v>21.7</v>
      </c>
      <c r="HU808" s="19">
        <v>22.1</v>
      </c>
      <c r="HV808" s="19">
        <v>21.1</v>
      </c>
      <c r="HW808" s="19">
        <v>20.1</v>
      </c>
      <c r="HX808" s="19">
        <v>20.5</v>
      </c>
      <c r="HY808" s="19">
        <v>19.5</v>
      </c>
      <c r="HZ808" s="19">
        <v>18.5</v>
      </c>
      <c r="IA808" s="19">
        <v>17.5</v>
      </c>
      <c r="IB808" s="19">
        <v>15.3</v>
      </c>
    </row>
    <row r="809">
      <c r="A809" s="2" t="s">
        <v>4315</v>
      </c>
      <c r="B809" s="2" t="s">
        <v>279</v>
      </c>
      <c r="C809" s="2" t="s">
        <v>1411</v>
      </c>
      <c r="D809" s="2" t="s">
        <v>281</v>
      </c>
      <c r="E809" s="2" t="s">
        <v>282</v>
      </c>
      <c r="F809" s="2" t="s">
        <v>469</v>
      </c>
      <c r="G809" s="2" t="s">
        <v>469</v>
      </c>
      <c r="H809" s="2" t="s">
        <v>469</v>
      </c>
      <c r="I809" s="2" t="s">
        <v>4269</v>
      </c>
      <c r="J809" s="2" t="s">
        <v>256</v>
      </c>
      <c r="K809" s="2" t="s">
        <v>671</v>
      </c>
      <c r="L809" s="3">
        <v>16.75</v>
      </c>
      <c r="M809" s="3">
        <v>17.59</v>
      </c>
      <c r="N809" s="3">
        <v>37.99</v>
      </c>
      <c r="O809" s="2" t="s">
        <v>230</v>
      </c>
      <c r="P809" s="2" t="s">
        <v>231</v>
      </c>
      <c r="Q809" s="2" t="s">
        <v>232</v>
      </c>
      <c r="R809" s="2" t="s">
        <v>233</v>
      </c>
      <c r="S809" s="2" t="s">
        <v>4289</v>
      </c>
      <c r="T809" s="2" t="s">
        <v>469</v>
      </c>
      <c r="U809" s="2" t="s">
        <v>233</v>
      </c>
      <c r="V809" s="2" t="s">
        <v>236</v>
      </c>
      <c r="W809" s="2" t="s">
        <v>237</v>
      </c>
      <c r="X809" s="2" t="s">
        <v>233</v>
      </c>
      <c r="Y809" s="2" t="s">
        <v>238</v>
      </c>
      <c r="Z809" s="4">
        <v>138</v>
      </c>
      <c r="AA809" s="4">
        <f>=ROUNDDOWN(17.25,0)</f>
      </c>
      <c r="AB809" s="5">
        <v>8</v>
      </c>
      <c r="AC809" s="2" t="s">
        <v>2230</v>
      </c>
      <c r="AD809" s="4">
        <v>40</v>
      </c>
      <c r="AE809" s="4">
        <v>40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233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233</v>
      </c>
      <c r="AW809" s="8" t="s">
        <v>233</v>
      </c>
      <c r="AX809" s="4" t="s">
        <v>233</v>
      </c>
      <c r="AY809" s="8" t="s">
        <v>233</v>
      </c>
      <c r="AZ809" s="7" t="s">
        <v>233</v>
      </c>
      <c r="BA809" s="7" t="s">
        <v>233</v>
      </c>
      <c r="BB809" s="7"/>
      <c r="BC809" s="4" t="s">
        <v>233</v>
      </c>
      <c r="BD809" s="8" t="s">
        <v>233</v>
      </c>
      <c r="BE809" s="4" t="s">
        <v>233</v>
      </c>
      <c r="BF809" s="8" t="s">
        <v>233</v>
      </c>
      <c r="BG809" s="7" t="s">
        <v>233</v>
      </c>
      <c r="BH809" s="7" t="s">
        <v>233</v>
      </c>
      <c r="BI809" s="7"/>
      <c r="BJ809" s="4">
        <v>41</v>
      </c>
      <c r="BK809" s="8">
        <v>758.58</v>
      </c>
      <c r="BL809" s="2" t="s">
        <v>4316</v>
      </c>
      <c r="BM809" s="7"/>
      <c r="BN809" s="7"/>
      <c r="BO809" s="4"/>
      <c r="BP809" s="8"/>
      <c r="BQ809" s="4"/>
      <c r="BR809" s="8"/>
      <c r="BS809" s="7"/>
      <c r="BT809" s="7"/>
      <c r="BU809" s="2" t="s">
        <v>4272</v>
      </c>
      <c r="BV809" s="2" t="s">
        <v>233</v>
      </c>
      <c r="BW809" s="2" t="s">
        <v>233</v>
      </c>
      <c r="BX809" s="2" t="s">
        <v>241</v>
      </c>
      <c r="BY809" s="2" t="s">
        <v>242</v>
      </c>
      <c r="BZ809" s="2" t="s">
        <v>230</v>
      </c>
      <c r="CA809" s="2" t="s">
        <v>4219</v>
      </c>
      <c r="CB809" s="2" t="s">
        <v>425</v>
      </c>
      <c r="CC809" s="2" t="s">
        <v>245</v>
      </c>
      <c r="CD809" s="2" t="s">
        <v>233</v>
      </c>
      <c r="CE809" s="4">
        <v>138</v>
      </c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>
        <v>40</v>
      </c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>
        <v>144</v>
      </c>
      <c r="GD809" s="4">
        <v>140</v>
      </c>
      <c r="GE809" s="4">
        <v>135</v>
      </c>
      <c r="GF809" s="4">
        <v>129</v>
      </c>
      <c r="GG809" s="4">
        <v>117</v>
      </c>
      <c r="GH809" s="4">
        <v>105</v>
      </c>
      <c r="GI809" s="4">
        <v>92</v>
      </c>
      <c r="GJ809" s="4">
        <v>83</v>
      </c>
      <c r="GK809" s="4">
        <v>76</v>
      </c>
      <c r="GL809" s="4">
        <v>66</v>
      </c>
      <c r="GM809" s="4">
        <v>58</v>
      </c>
      <c r="GN809" s="4">
        <v>50</v>
      </c>
      <c r="GO809" s="4">
        <v>42</v>
      </c>
      <c r="GP809" s="4">
        <v>34</v>
      </c>
      <c r="GQ809" s="4">
        <v>26</v>
      </c>
      <c r="GR809" s="4">
        <v>58</v>
      </c>
      <c r="GS809" s="4">
        <v>50</v>
      </c>
      <c r="GT809" s="4">
        <v>42</v>
      </c>
      <c r="GU809" s="4">
        <v>34</v>
      </c>
      <c r="GV809" s="4">
        <v>146</v>
      </c>
      <c r="GW809" s="4">
        <v>137</v>
      </c>
      <c r="GX809" s="4">
        <v>128</v>
      </c>
      <c r="GY809" s="4">
        <v>119</v>
      </c>
      <c r="GZ809" s="4">
        <v>111</v>
      </c>
      <c r="HA809" s="4">
        <v>103</v>
      </c>
      <c r="HB809" s="4">
        <v>96</v>
      </c>
      <c r="HC809" s="19">
        <v>20.6</v>
      </c>
      <c r="HD809" s="19">
        <v>15.6</v>
      </c>
      <c r="HE809" s="19">
        <v>12.3</v>
      </c>
      <c r="HF809" s="19">
        <v>10.8</v>
      </c>
      <c r="HG809" s="19">
        <v>11.7</v>
      </c>
      <c r="HH809" s="19">
        <v>10.5</v>
      </c>
      <c r="HI809" s="19">
        <v>11.5</v>
      </c>
      <c r="HJ809" s="19">
        <v>10.4</v>
      </c>
      <c r="HK809" s="19">
        <v>9.5</v>
      </c>
      <c r="HL809" s="19">
        <v>8.3</v>
      </c>
      <c r="HM809" s="19">
        <v>7.3</v>
      </c>
      <c r="HN809" s="19">
        <v>6.3</v>
      </c>
      <c r="HO809" s="19">
        <v>5.3</v>
      </c>
      <c r="HP809" s="19">
        <v>4.3</v>
      </c>
      <c r="HQ809" s="19">
        <v>3.3</v>
      </c>
      <c r="HR809" s="19">
        <v>7.3</v>
      </c>
      <c r="HS809" s="19">
        <v>6.3</v>
      </c>
      <c r="HT809" s="19">
        <v>4.7</v>
      </c>
      <c r="HU809" s="19">
        <v>3.8</v>
      </c>
      <c r="HV809" s="19">
        <v>16.2</v>
      </c>
      <c r="HW809" s="19">
        <v>17.1</v>
      </c>
      <c r="HX809" s="19">
        <v>16</v>
      </c>
      <c r="HY809" s="19">
        <v>14.9</v>
      </c>
      <c r="HZ809" s="19">
        <v>15.9</v>
      </c>
      <c r="IA809" s="19">
        <v>14.7</v>
      </c>
      <c r="IB809" s="19">
        <v>12</v>
      </c>
    </row>
    <row r="810">
      <c r="A810" s="2" t="s">
        <v>4317</v>
      </c>
      <c r="B810" s="2" t="s">
        <v>279</v>
      </c>
      <c r="C810" s="2" t="s">
        <v>1411</v>
      </c>
      <c r="D810" s="2" t="s">
        <v>281</v>
      </c>
      <c r="E810" s="2" t="s">
        <v>282</v>
      </c>
      <c r="F810" s="2" t="s">
        <v>469</v>
      </c>
      <c r="G810" s="2" t="s">
        <v>469</v>
      </c>
      <c r="H810" s="2" t="s">
        <v>469</v>
      </c>
      <c r="I810" s="2" t="s">
        <v>4269</v>
      </c>
      <c r="J810" s="2" t="s">
        <v>228</v>
      </c>
      <c r="K810" s="2" t="s">
        <v>300</v>
      </c>
      <c r="L810" s="3">
        <v>11.18</v>
      </c>
      <c r="M810" s="3">
        <v>11.74</v>
      </c>
      <c r="N810" s="3">
        <v>27.99</v>
      </c>
      <c r="O810" s="2" t="s">
        <v>230</v>
      </c>
      <c r="P810" s="2" t="s">
        <v>231</v>
      </c>
      <c r="Q810" s="2" t="s">
        <v>232</v>
      </c>
      <c r="R810" s="2" t="s">
        <v>233</v>
      </c>
      <c r="S810" s="2" t="s">
        <v>4318</v>
      </c>
      <c r="T810" s="2" t="s">
        <v>469</v>
      </c>
      <c r="U810" s="2" t="s">
        <v>233</v>
      </c>
      <c r="V810" s="2" t="s">
        <v>236</v>
      </c>
      <c r="W810" s="2" t="s">
        <v>237</v>
      </c>
      <c r="X810" s="2" t="s">
        <v>233</v>
      </c>
      <c r="Y810" s="2" t="s">
        <v>238</v>
      </c>
      <c r="Z810" s="4">
        <v>183</v>
      </c>
      <c r="AA810" s="4">
        <f>=ROUNDDOWN(40.6666666666667,0)</f>
      </c>
      <c r="AB810" s="5">
        <v>4.5</v>
      </c>
      <c r="AC810" s="2" t="s">
        <v>139</v>
      </c>
      <c r="AD810" s="4">
        <v>60</v>
      </c>
      <c r="AE810" s="4">
        <v>200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233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233</v>
      </c>
      <c r="AW810" s="8" t="s">
        <v>233</v>
      </c>
      <c r="AX810" s="4" t="s">
        <v>233</v>
      </c>
      <c r="AY810" s="8" t="s">
        <v>233</v>
      </c>
      <c r="AZ810" s="7" t="s">
        <v>233</v>
      </c>
      <c r="BA810" s="7" t="s">
        <v>233</v>
      </c>
      <c r="BB810" s="7" t="s">
        <v>233</v>
      </c>
      <c r="BC810" s="4" t="s">
        <v>233</v>
      </c>
      <c r="BD810" s="8" t="s">
        <v>233</v>
      </c>
      <c r="BE810" s="4" t="s">
        <v>233</v>
      </c>
      <c r="BF810" s="8" t="s">
        <v>233</v>
      </c>
      <c r="BG810" s="7" t="s">
        <v>233</v>
      </c>
      <c r="BH810" s="7" t="s">
        <v>233</v>
      </c>
      <c r="BI810" s="7"/>
      <c r="BJ810" s="4">
        <v>18</v>
      </c>
      <c r="BK810" s="8">
        <v>208.44</v>
      </c>
      <c r="BL810" s="2" t="s">
        <v>4319</v>
      </c>
      <c r="BM810" s="7"/>
      <c r="BN810" s="7"/>
      <c r="BO810" s="4"/>
      <c r="BP810" s="8"/>
      <c r="BQ810" s="4"/>
      <c r="BR810" s="8"/>
      <c r="BS810" s="7"/>
      <c r="BT810" s="7"/>
      <c r="BU810" s="2" t="s">
        <v>4272</v>
      </c>
      <c r="BV810" s="2" t="s">
        <v>233</v>
      </c>
      <c r="BW810" s="2" t="s">
        <v>233</v>
      </c>
      <c r="BX810" s="2" t="s">
        <v>241</v>
      </c>
      <c r="BY810" s="2" t="s">
        <v>242</v>
      </c>
      <c r="BZ810" s="2" t="s">
        <v>230</v>
      </c>
      <c r="CA810" s="2" t="s">
        <v>243</v>
      </c>
      <c r="CB810" s="2" t="s">
        <v>3769</v>
      </c>
      <c r="CC810" s="2" t="s">
        <v>245</v>
      </c>
      <c r="CD810" s="2" t="s">
        <v>233</v>
      </c>
      <c r="CE810" s="4">
        <v>183</v>
      </c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>
        <v>60</v>
      </c>
      <c r="DB810" s="4"/>
      <c r="DC810" s="4"/>
      <c r="DD810" s="4"/>
      <c r="DE810" s="4"/>
      <c r="DF810" s="4"/>
      <c r="DG810" s="4"/>
      <c r="DH810" s="4"/>
      <c r="DI810" s="4">
        <v>60</v>
      </c>
      <c r="DJ810" s="4"/>
      <c r="DK810" s="4"/>
      <c r="DL810" s="4"/>
      <c r="DM810" s="4"/>
      <c r="DN810" s="4"/>
      <c r="DO810" s="4"/>
      <c r="DP810" s="4"/>
      <c r="DQ810" s="4"/>
      <c r="DR810" s="4">
        <v>60</v>
      </c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>
        <v>20</v>
      </c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>
        <v>186</v>
      </c>
      <c r="GD810" s="4">
        <v>167</v>
      </c>
      <c r="GE810" s="4">
        <v>221</v>
      </c>
      <c r="GF810" s="4">
        <v>216</v>
      </c>
      <c r="GG810" s="4">
        <v>266</v>
      </c>
      <c r="GH810" s="4">
        <v>316</v>
      </c>
      <c r="GI810" s="4">
        <v>307</v>
      </c>
      <c r="GJ810" s="4">
        <v>302</v>
      </c>
      <c r="GK810" s="4">
        <v>298</v>
      </c>
      <c r="GL810" s="4">
        <v>292</v>
      </c>
      <c r="GM810" s="4">
        <v>288</v>
      </c>
      <c r="GN810" s="4">
        <v>284</v>
      </c>
      <c r="GO810" s="4">
        <v>280</v>
      </c>
      <c r="GP810" s="4">
        <v>276</v>
      </c>
      <c r="GQ810" s="4">
        <v>272</v>
      </c>
      <c r="GR810" s="4">
        <v>288</v>
      </c>
      <c r="GS810" s="4">
        <v>283</v>
      </c>
      <c r="GT810" s="4">
        <v>278</v>
      </c>
      <c r="GU810" s="4">
        <v>273</v>
      </c>
      <c r="GV810" s="4">
        <v>267</v>
      </c>
      <c r="GW810" s="4">
        <v>261</v>
      </c>
      <c r="GX810" s="4">
        <v>256</v>
      </c>
      <c r="GY810" s="4">
        <v>251</v>
      </c>
      <c r="GZ810" s="4">
        <v>245</v>
      </c>
      <c r="HA810" s="4">
        <v>239</v>
      </c>
      <c r="HB810" s="4">
        <v>233</v>
      </c>
      <c r="HC810" s="19">
        <v>18.6</v>
      </c>
      <c r="HD810" s="19">
        <v>20.9</v>
      </c>
      <c r="HE810" s="19">
        <v>27.6</v>
      </c>
      <c r="HF810" s="19">
        <v>27</v>
      </c>
      <c r="HG810" s="19">
        <v>38</v>
      </c>
      <c r="HH810" s="19">
        <v>52.7</v>
      </c>
      <c r="HI810" s="19">
        <v>61.4</v>
      </c>
      <c r="HJ810" s="19">
        <v>75.5</v>
      </c>
      <c r="HK810" s="19">
        <v>74.5</v>
      </c>
      <c r="HL810" s="19">
        <v>73</v>
      </c>
      <c r="HM810" s="19">
        <v>72</v>
      </c>
      <c r="HN810" s="19">
        <v>71</v>
      </c>
      <c r="HO810" s="19">
        <v>70</v>
      </c>
      <c r="HP810" s="19">
        <v>69</v>
      </c>
      <c r="HQ810" s="19">
        <v>54.4</v>
      </c>
      <c r="HR810" s="19">
        <v>57.6</v>
      </c>
      <c r="HS810" s="19">
        <v>47.2</v>
      </c>
      <c r="HT810" s="19">
        <v>46.3</v>
      </c>
      <c r="HU810" s="19">
        <v>45.5</v>
      </c>
      <c r="HV810" s="19">
        <v>44.5</v>
      </c>
      <c r="HW810" s="19">
        <v>43.5</v>
      </c>
      <c r="HX810" s="19">
        <v>42.7</v>
      </c>
      <c r="HY810" s="19">
        <v>41.8</v>
      </c>
      <c r="HZ810" s="19">
        <v>40.8</v>
      </c>
      <c r="IA810" s="19">
        <v>39.8</v>
      </c>
      <c r="IB810" s="19">
        <v>46.6</v>
      </c>
    </row>
    <row r="811">
      <c r="A811" s="2" t="s">
        <v>4320</v>
      </c>
      <c r="B811" s="2" t="s">
        <v>279</v>
      </c>
      <c r="C811" s="2" t="s">
        <v>1411</v>
      </c>
      <c r="D811" s="2" t="s">
        <v>281</v>
      </c>
      <c r="E811" s="2" t="s">
        <v>282</v>
      </c>
      <c r="F811" s="2" t="s">
        <v>469</v>
      </c>
      <c r="G811" s="2" t="s">
        <v>469</v>
      </c>
      <c r="H811" s="2" t="s">
        <v>469</v>
      </c>
      <c r="I811" s="2" t="s">
        <v>4293</v>
      </c>
      <c r="J811" s="2" t="s">
        <v>228</v>
      </c>
      <c r="K811" s="2" t="s">
        <v>300</v>
      </c>
      <c r="L811" s="3">
        <v>12.15</v>
      </c>
      <c r="M811" s="3">
        <v>12.76</v>
      </c>
      <c r="N811" s="3">
        <v>26.99</v>
      </c>
      <c r="O811" s="2" t="s">
        <v>230</v>
      </c>
      <c r="P811" s="2" t="s">
        <v>231</v>
      </c>
      <c r="Q811" s="2" t="s">
        <v>232</v>
      </c>
      <c r="R811" s="2" t="s">
        <v>233</v>
      </c>
      <c r="S811" s="2" t="s">
        <v>4318</v>
      </c>
      <c r="T811" s="2" t="s">
        <v>469</v>
      </c>
      <c r="U811" s="2" t="s">
        <v>287</v>
      </c>
      <c r="V811" s="2" t="s">
        <v>236</v>
      </c>
      <c r="W811" s="2" t="s">
        <v>620</v>
      </c>
      <c r="X811" s="2" t="s">
        <v>233</v>
      </c>
      <c r="Y811" s="2" t="s">
        <v>4176</v>
      </c>
      <c r="Z811" s="4">
        <v>131</v>
      </c>
      <c r="AA811" s="4">
        <f>=ROUNDDOWN(43.6666666666667,0)</f>
      </c>
      <c r="AB811" s="5">
        <v>3</v>
      </c>
      <c r="AC811" s="2" t="s">
        <v>746</v>
      </c>
      <c r="AD811" s="4">
        <v>40</v>
      </c>
      <c r="AE811" s="4">
        <v>40</v>
      </c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233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233</v>
      </c>
      <c r="AW811" s="8" t="s">
        <v>233</v>
      </c>
      <c r="AX811" s="4" t="s">
        <v>233</v>
      </c>
      <c r="AY811" s="8" t="s">
        <v>233</v>
      </c>
      <c r="AZ811" s="7" t="s">
        <v>233</v>
      </c>
      <c r="BA811" s="7" t="s">
        <v>233</v>
      </c>
      <c r="BB811" s="7" t="s">
        <v>233</v>
      </c>
      <c r="BC811" s="4" t="s">
        <v>233</v>
      </c>
      <c r="BD811" s="8" t="s">
        <v>233</v>
      </c>
      <c r="BE811" s="4" t="s">
        <v>233</v>
      </c>
      <c r="BF811" s="8" t="s">
        <v>233</v>
      </c>
      <c r="BG811" s="7" t="s">
        <v>233</v>
      </c>
      <c r="BH811" s="7" t="s">
        <v>233</v>
      </c>
      <c r="BI811" s="7"/>
      <c r="BJ811" s="4">
        <v>9</v>
      </c>
      <c r="BK811" s="8">
        <v>116.36</v>
      </c>
      <c r="BL811" s="2" t="s">
        <v>678</v>
      </c>
      <c r="BM811" s="7"/>
      <c r="BN811" s="7"/>
      <c r="BO811" s="4"/>
      <c r="BP811" s="8"/>
      <c r="BQ811" s="4"/>
      <c r="BR811" s="8"/>
      <c r="BS811" s="7"/>
      <c r="BT811" s="7"/>
      <c r="BU811" s="2" t="s">
        <v>4295</v>
      </c>
      <c r="BV811" s="2" t="s">
        <v>233</v>
      </c>
      <c r="BW811" s="2" t="s">
        <v>233</v>
      </c>
      <c r="BX811" s="2" t="s">
        <v>241</v>
      </c>
      <c r="BY811" s="2" t="s">
        <v>242</v>
      </c>
      <c r="BZ811" s="2" t="s">
        <v>230</v>
      </c>
      <c r="CA811" s="2" t="s">
        <v>4178</v>
      </c>
      <c r="CB811" s="2" t="s">
        <v>4321</v>
      </c>
      <c r="CC811" s="2" t="s">
        <v>245</v>
      </c>
      <c r="CD811" s="2" t="s">
        <v>233</v>
      </c>
      <c r="CE811" s="4">
        <v>131</v>
      </c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>
        <v>40</v>
      </c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>
        <v>133</v>
      </c>
      <c r="GD811" s="4">
        <v>130</v>
      </c>
      <c r="GE811" s="4">
        <v>126</v>
      </c>
      <c r="GF811" s="4">
        <v>122</v>
      </c>
      <c r="GG811" s="4">
        <v>115</v>
      </c>
      <c r="GH811" s="4">
        <v>148</v>
      </c>
      <c r="GI811" s="4">
        <v>142</v>
      </c>
      <c r="GJ811" s="4">
        <v>138</v>
      </c>
      <c r="GK811" s="4">
        <v>135</v>
      </c>
      <c r="GL811" s="4">
        <v>131</v>
      </c>
      <c r="GM811" s="4">
        <v>128</v>
      </c>
      <c r="GN811" s="4">
        <v>125</v>
      </c>
      <c r="GO811" s="4">
        <v>122</v>
      </c>
      <c r="GP811" s="4">
        <v>119</v>
      </c>
      <c r="GQ811" s="4">
        <v>116</v>
      </c>
      <c r="GR811" s="4">
        <v>113</v>
      </c>
      <c r="GS811" s="4">
        <v>109</v>
      </c>
      <c r="GT811" s="4">
        <v>105</v>
      </c>
      <c r="GU811" s="4">
        <v>101</v>
      </c>
      <c r="GV811" s="4">
        <v>97</v>
      </c>
      <c r="GW811" s="4">
        <v>93</v>
      </c>
      <c r="GX811" s="4">
        <v>90</v>
      </c>
      <c r="GY811" s="4">
        <v>87</v>
      </c>
      <c r="GZ811" s="4">
        <v>82</v>
      </c>
      <c r="HA811" s="4">
        <v>77</v>
      </c>
      <c r="HB811" s="4">
        <v>72</v>
      </c>
      <c r="HC811" s="19">
        <v>33.3</v>
      </c>
      <c r="HD811" s="19">
        <v>21.7</v>
      </c>
      <c r="HE811" s="19">
        <v>21</v>
      </c>
      <c r="HF811" s="19">
        <v>20.3</v>
      </c>
      <c r="HG811" s="19">
        <v>23</v>
      </c>
      <c r="HH811" s="19">
        <v>37</v>
      </c>
      <c r="HI811" s="19">
        <v>35.5</v>
      </c>
      <c r="HJ811" s="19">
        <v>46</v>
      </c>
      <c r="HK811" s="19">
        <v>45</v>
      </c>
      <c r="HL811" s="19">
        <v>43.7</v>
      </c>
      <c r="HM811" s="19">
        <v>42.7</v>
      </c>
      <c r="HN811" s="19">
        <v>41.7</v>
      </c>
      <c r="HO811" s="19">
        <v>40.7</v>
      </c>
      <c r="HP811" s="19">
        <v>29.8</v>
      </c>
      <c r="HQ811" s="19">
        <v>29</v>
      </c>
      <c r="HR811" s="19">
        <v>28.3</v>
      </c>
      <c r="HS811" s="19">
        <v>27.3</v>
      </c>
      <c r="HT811" s="19">
        <v>26.3</v>
      </c>
      <c r="HU811" s="19">
        <v>25.3</v>
      </c>
      <c r="HV811" s="19">
        <v>24.3</v>
      </c>
      <c r="HW811" s="19">
        <v>23.3</v>
      </c>
      <c r="HX811" s="19">
        <v>22.5</v>
      </c>
      <c r="HY811" s="19">
        <v>17.4</v>
      </c>
      <c r="HZ811" s="19">
        <v>16.4</v>
      </c>
      <c r="IA811" s="19">
        <v>19.3</v>
      </c>
      <c r="IB811" s="19">
        <v>18</v>
      </c>
    </row>
    <row r="812">
      <c r="A812" s="2" t="s">
        <v>4322</v>
      </c>
      <c r="B812" s="2" t="s">
        <v>279</v>
      </c>
      <c r="C812" s="2" t="s">
        <v>1411</v>
      </c>
      <c r="D812" s="2" t="s">
        <v>281</v>
      </c>
      <c r="E812" s="2" t="s">
        <v>282</v>
      </c>
      <c r="F812" s="2" t="s">
        <v>469</v>
      </c>
      <c r="G812" s="2" t="s">
        <v>469</v>
      </c>
      <c r="H812" s="2" t="s">
        <v>469</v>
      </c>
      <c r="I812" s="2" t="s">
        <v>4269</v>
      </c>
      <c r="J812" s="2" t="s">
        <v>247</v>
      </c>
      <c r="K812" s="2" t="s">
        <v>300</v>
      </c>
      <c r="L812" s="3">
        <v>11.18</v>
      </c>
      <c r="M812" s="3">
        <v>11.74</v>
      </c>
      <c r="N812" s="3">
        <v>27.99</v>
      </c>
      <c r="O812" s="2" t="s">
        <v>230</v>
      </c>
      <c r="P812" s="2" t="s">
        <v>231</v>
      </c>
      <c r="Q812" s="2" t="s">
        <v>232</v>
      </c>
      <c r="R812" s="2" t="s">
        <v>233</v>
      </c>
      <c r="S812" s="2" t="s">
        <v>4318</v>
      </c>
      <c r="T812" s="2" t="s">
        <v>469</v>
      </c>
      <c r="U812" s="2" t="s">
        <v>233</v>
      </c>
      <c r="V812" s="2" t="s">
        <v>236</v>
      </c>
      <c r="W812" s="2" t="s">
        <v>237</v>
      </c>
      <c r="X812" s="2" t="s">
        <v>233</v>
      </c>
      <c r="Y812" s="2" t="s">
        <v>238</v>
      </c>
      <c r="Z812" s="4">
        <v>410</v>
      </c>
      <c r="AA812" s="4">
        <f>=ROUNDDOWN(102.5,0)</f>
      </c>
      <c r="AB812" s="5">
        <v>4</v>
      </c>
      <c r="AC812" s="2" t="s">
        <v>233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233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233</v>
      </c>
      <c r="AW812" s="8" t="s">
        <v>233</v>
      </c>
      <c r="AX812" s="4" t="s">
        <v>233</v>
      </c>
      <c r="AY812" s="8" t="s">
        <v>233</v>
      </c>
      <c r="AZ812" s="7" t="s">
        <v>233</v>
      </c>
      <c r="BA812" s="7" t="s">
        <v>233</v>
      </c>
      <c r="BB812" s="7" t="s">
        <v>233</v>
      </c>
      <c r="BC812" s="4" t="s">
        <v>233</v>
      </c>
      <c r="BD812" s="8" t="s">
        <v>233</v>
      </c>
      <c r="BE812" s="4" t="s">
        <v>233</v>
      </c>
      <c r="BF812" s="8" t="s">
        <v>233</v>
      </c>
      <c r="BG812" s="7" t="s">
        <v>233</v>
      </c>
      <c r="BH812" s="7" t="s">
        <v>233</v>
      </c>
      <c r="BI812" s="7"/>
      <c r="BJ812" s="4">
        <v>6</v>
      </c>
      <c r="BK812" s="8">
        <v>68.8</v>
      </c>
      <c r="BL812" s="2" t="s">
        <v>4323</v>
      </c>
      <c r="BM812" s="7"/>
      <c r="BN812" s="7"/>
      <c r="BO812" s="4"/>
      <c r="BP812" s="8"/>
      <c r="BQ812" s="4"/>
      <c r="BR812" s="8"/>
      <c r="BS812" s="7"/>
      <c r="BT812" s="7"/>
      <c r="BU812" s="2" t="s">
        <v>4272</v>
      </c>
      <c r="BV812" s="2" t="s">
        <v>233</v>
      </c>
      <c r="BW812" s="2" t="s">
        <v>233</v>
      </c>
      <c r="BX812" s="2" t="s">
        <v>241</v>
      </c>
      <c r="BY812" s="2" t="s">
        <v>242</v>
      </c>
      <c r="BZ812" s="2" t="s">
        <v>230</v>
      </c>
      <c r="CA812" s="2" t="s">
        <v>243</v>
      </c>
      <c r="CB812" s="2" t="s">
        <v>3822</v>
      </c>
      <c r="CC812" s="2" t="s">
        <v>245</v>
      </c>
      <c r="CD812" s="2" t="s">
        <v>233</v>
      </c>
      <c r="CE812" s="4">
        <v>410</v>
      </c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>
        <v>410</v>
      </c>
      <c r="GD812" s="4">
        <v>408</v>
      </c>
      <c r="GE812" s="4">
        <v>403</v>
      </c>
      <c r="GF812" s="4">
        <v>397</v>
      </c>
      <c r="GG812" s="4">
        <v>385</v>
      </c>
      <c r="GH812" s="4">
        <v>369</v>
      </c>
      <c r="GI812" s="4">
        <v>356</v>
      </c>
      <c r="GJ812" s="4">
        <v>349</v>
      </c>
      <c r="GK812" s="4">
        <v>344</v>
      </c>
      <c r="GL812" s="4">
        <v>335</v>
      </c>
      <c r="GM812" s="4">
        <v>331</v>
      </c>
      <c r="GN812" s="4">
        <v>327</v>
      </c>
      <c r="GO812" s="4">
        <v>323</v>
      </c>
      <c r="GP812" s="4">
        <v>319</v>
      </c>
      <c r="GQ812" s="4">
        <v>315</v>
      </c>
      <c r="GR812" s="4">
        <v>312</v>
      </c>
      <c r="GS812" s="4">
        <v>309</v>
      </c>
      <c r="GT812" s="4">
        <v>306</v>
      </c>
      <c r="GU812" s="4">
        <v>303</v>
      </c>
      <c r="GV812" s="4">
        <v>299</v>
      </c>
      <c r="GW812" s="4">
        <v>295</v>
      </c>
      <c r="GX812" s="4">
        <v>291</v>
      </c>
      <c r="GY812" s="4">
        <v>287</v>
      </c>
      <c r="GZ812" s="4">
        <v>283</v>
      </c>
      <c r="HA812" s="4">
        <v>279</v>
      </c>
      <c r="HB812" s="4">
        <v>275</v>
      </c>
      <c r="HC812" s="19">
        <v>68.3</v>
      </c>
      <c r="HD812" s="19">
        <v>40.8</v>
      </c>
      <c r="HE812" s="19">
        <v>33.6</v>
      </c>
      <c r="HF812" s="19">
        <v>33.1</v>
      </c>
      <c r="HG812" s="19">
        <v>38.5</v>
      </c>
      <c r="HH812" s="19">
        <v>46.1</v>
      </c>
      <c r="HI812" s="19">
        <v>59.3</v>
      </c>
      <c r="HJ812" s="19">
        <v>58.2</v>
      </c>
      <c r="HK812" s="19">
        <v>68.8</v>
      </c>
      <c r="HL812" s="19">
        <v>83.8</v>
      </c>
      <c r="HM812" s="19">
        <v>82.8</v>
      </c>
      <c r="HN812" s="19">
        <v>81.8</v>
      </c>
      <c r="HO812" s="19">
        <v>80.8</v>
      </c>
      <c r="HP812" s="19">
        <v>106.3</v>
      </c>
      <c r="HQ812" s="19">
        <v>105</v>
      </c>
      <c r="HR812" s="19">
        <v>104</v>
      </c>
      <c r="HS812" s="19">
        <v>77.3</v>
      </c>
      <c r="HT812" s="19">
        <v>76.5</v>
      </c>
      <c r="HU812" s="19">
        <v>75.8</v>
      </c>
      <c r="HV812" s="19">
        <v>74.8</v>
      </c>
      <c r="HW812" s="19">
        <v>73.8</v>
      </c>
      <c r="HX812" s="19">
        <v>72.8</v>
      </c>
      <c r="HY812" s="19">
        <v>71.8</v>
      </c>
      <c r="HZ812" s="19">
        <v>70.8</v>
      </c>
      <c r="IA812" s="19">
        <v>55.8</v>
      </c>
      <c r="IB812" s="19">
        <v>45.8</v>
      </c>
    </row>
    <row r="813">
      <c r="A813" s="2" t="s">
        <v>4324</v>
      </c>
      <c r="B813" s="2" t="s">
        <v>279</v>
      </c>
      <c r="C813" s="2" t="s">
        <v>1411</v>
      </c>
      <c r="D813" s="2" t="s">
        <v>281</v>
      </c>
      <c r="E813" s="2" t="s">
        <v>282</v>
      </c>
      <c r="F813" s="2" t="s">
        <v>469</v>
      </c>
      <c r="G813" s="2" t="s">
        <v>469</v>
      </c>
      <c r="H813" s="2" t="s">
        <v>469</v>
      </c>
      <c r="I813" s="2" t="s">
        <v>4293</v>
      </c>
      <c r="J813" s="2" t="s">
        <v>247</v>
      </c>
      <c r="K813" s="2" t="s">
        <v>300</v>
      </c>
      <c r="L813" s="3">
        <v>12.15</v>
      </c>
      <c r="M813" s="3">
        <v>12.76</v>
      </c>
      <c r="N813" s="3">
        <v>26.99</v>
      </c>
      <c r="O813" s="2" t="s">
        <v>230</v>
      </c>
      <c r="P813" s="2" t="s">
        <v>231</v>
      </c>
      <c r="Q813" s="2" t="s">
        <v>232</v>
      </c>
      <c r="R813" s="2" t="s">
        <v>233</v>
      </c>
      <c r="S813" s="2" t="s">
        <v>4318</v>
      </c>
      <c r="T813" s="2" t="s">
        <v>469</v>
      </c>
      <c r="U813" s="2" t="s">
        <v>287</v>
      </c>
      <c r="V813" s="2" t="s">
        <v>236</v>
      </c>
      <c r="W813" s="2" t="s">
        <v>620</v>
      </c>
      <c r="X813" s="2" t="s">
        <v>233</v>
      </c>
      <c r="Y813" s="2" t="s">
        <v>4176</v>
      </c>
      <c r="Z813" s="4">
        <v>555</v>
      </c>
      <c r="AA813" s="4">
        <f>=ROUNDDOWN(118.085106382979,0)</f>
      </c>
      <c r="AB813" s="5">
        <v>4.7</v>
      </c>
      <c r="AC813" s="2" t="s">
        <v>233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233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233</v>
      </c>
      <c r="AW813" s="8" t="s">
        <v>233</v>
      </c>
      <c r="AX813" s="4" t="s">
        <v>233</v>
      </c>
      <c r="AY813" s="8" t="s">
        <v>233</v>
      </c>
      <c r="AZ813" s="7" t="s">
        <v>233</v>
      </c>
      <c r="BA813" s="7" t="s">
        <v>233</v>
      </c>
      <c r="BB813" s="7" t="s">
        <v>233</v>
      </c>
      <c r="BC813" s="4" t="s">
        <v>233</v>
      </c>
      <c r="BD813" s="8" t="s">
        <v>233</v>
      </c>
      <c r="BE813" s="4" t="s">
        <v>233</v>
      </c>
      <c r="BF813" s="8" t="s">
        <v>233</v>
      </c>
      <c r="BG813" s="7" t="s">
        <v>233</v>
      </c>
      <c r="BH813" s="7" t="s">
        <v>233</v>
      </c>
      <c r="BI813" s="7"/>
      <c r="BJ813" s="4">
        <v>25</v>
      </c>
      <c r="BK813" s="8">
        <v>325.8</v>
      </c>
      <c r="BL813" s="2" t="s">
        <v>1870</v>
      </c>
      <c r="BM813" s="7"/>
      <c r="BN813" s="7"/>
      <c r="BO813" s="4"/>
      <c r="BP813" s="8"/>
      <c r="BQ813" s="4"/>
      <c r="BR813" s="8"/>
      <c r="BS813" s="7"/>
      <c r="BT813" s="7"/>
      <c r="BU813" s="2" t="s">
        <v>4295</v>
      </c>
      <c r="BV813" s="2" t="s">
        <v>233</v>
      </c>
      <c r="BW813" s="2" t="s">
        <v>233</v>
      </c>
      <c r="BX813" s="2" t="s">
        <v>241</v>
      </c>
      <c r="BY813" s="2" t="s">
        <v>242</v>
      </c>
      <c r="BZ813" s="2" t="s">
        <v>230</v>
      </c>
      <c r="CA813" s="2" t="s">
        <v>4178</v>
      </c>
      <c r="CB813" s="2" t="s">
        <v>4325</v>
      </c>
      <c r="CC813" s="2" t="s">
        <v>245</v>
      </c>
      <c r="CD813" s="2" t="s">
        <v>233</v>
      </c>
      <c r="CE813" s="4">
        <v>555</v>
      </c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>
        <v>557</v>
      </c>
      <c r="GD813" s="4">
        <v>555</v>
      </c>
      <c r="GE813" s="4">
        <v>550</v>
      </c>
      <c r="GF813" s="4">
        <v>544</v>
      </c>
      <c r="GG813" s="4">
        <v>532</v>
      </c>
      <c r="GH813" s="4">
        <v>516</v>
      </c>
      <c r="GI813" s="4">
        <v>503</v>
      </c>
      <c r="GJ813" s="4">
        <v>496</v>
      </c>
      <c r="GK813" s="4">
        <v>491</v>
      </c>
      <c r="GL813" s="4">
        <v>482</v>
      </c>
      <c r="GM813" s="4">
        <v>478</v>
      </c>
      <c r="GN813" s="4">
        <v>474</v>
      </c>
      <c r="GO813" s="4">
        <v>470</v>
      </c>
      <c r="GP813" s="4">
        <v>466</v>
      </c>
      <c r="GQ813" s="4">
        <v>462</v>
      </c>
      <c r="GR813" s="4">
        <v>459</v>
      </c>
      <c r="GS813" s="4">
        <v>456</v>
      </c>
      <c r="GT813" s="4">
        <v>453</v>
      </c>
      <c r="GU813" s="4">
        <v>450</v>
      </c>
      <c r="GV813" s="4">
        <v>446</v>
      </c>
      <c r="GW813" s="4">
        <v>442</v>
      </c>
      <c r="GX813" s="4">
        <v>438</v>
      </c>
      <c r="GY813" s="4">
        <v>434</v>
      </c>
      <c r="GZ813" s="4">
        <v>430</v>
      </c>
      <c r="HA813" s="4">
        <v>426</v>
      </c>
      <c r="HB813" s="4">
        <v>422</v>
      </c>
      <c r="HC813" s="19">
        <v>92.8</v>
      </c>
      <c r="HD813" s="19">
        <v>55.5</v>
      </c>
      <c r="HE813" s="19">
        <v>45.8</v>
      </c>
      <c r="HF813" s="19">
        <v>45.3</v>
      </c>
      <c r="HG813" s="19">
        <v>53.2</v>
      </c>
      <c r="HH813" s="19">
        <v>64.5</v>
      </c>
      <c r="HI813" s="19">
        <v>83.8</v>
      </c>
      <c r="HJ813" s="19">
        <v>82.7</v>
      </c>
      <c r="HK813" s="19">
        <v>98.2</v>
      </c>
      <c r="HL813" s="19">
        <v>120.5</v>
      </c>
      <c r="HM813" s="19">
        <v>119.5</v>
      </c>
      <c r="HN813" s="19">
        <v>118.5</v>
      </c>
      <c r="HO813" s="19">
        <v>117.5</v>
      </c>
      <c r="HP813" s="19">
        <v>155.3</v>
      </c>
      <c r="HQ813" s="19">
        <v>154</v>
      </c>
      <c r="HR813" s="19">
        <v>153</v>
      </c>
      <c r="HS813" s="19">
        <v>114</v>
      </c>
      <c r="HT813" s="19">
        <v>113.3</v>
      </c>
      <c r="HU813" s="19">
        <v>112.5</v>
      </c>
      <c r="HV813" s="19">
        <v>111.5</v>
      </c>
      <c r="HW813" s="19">
        <v>110.5</v>
      </c>
      <c r="HX813" s="19">
        <v>109.5</v>
      </c>
      <c r="HY813" s="19">
        <v>108.5</v>
      </c>
      <c r="HZ813" s="19">
        <v>107.5</v>
      </c>
      <c r="IA813" s="19">
        <v>85.2</v>
      </c>
      <c r="IB813" s="19">
        <v>70.3</v>
      </c>
    </row>
    <row r="814">
      <c r="A814" s="2" t="s">
        <v>4326</v>
      </c>
      <c r="B814" s="2" t="s">
        <v>279</v>
      </c>
      <c r="C814" s="2" t="s">
        <v>1411</v>
      </c>
      <c r="D814" s="2" t="s">
        <v>281</v>
      </c>
      <c r="E814" s="2" t="s">
        <v>282</v>
      </c>
      <c r="F814" s="2" t="s">
        <v>469</v>
      </c>
      <c r="G814" s="2" t="s">
        <v>469</v>
      </c>
      <c r="H814" s="2" t="s">
        <v>469</v>
      </c>
      <c r="I814" s="2" t="s">
        <v>4269</v>
      </c>
      <c r="J814" s="2" t="s">
        <v>252</v>
      </c>
      <c r="K814" s="2" t="s">
        <v>300</v>
      </c>
      <c r="L814" s="3">
        <v>12.92</v>
      </c>
      <c r="M814" s="3">
        <v>13.57</v>
      </c>
      <c r="N814" s="3">
        <v>30.99</v>
      </c>
      <c r="O814" s="2" t="s">
        <v>230</v>
      </c>
      <c r="P814" s="2" t="s">
        <v>231</v>
      </c>
      <c r="Q814" s="2" t="s">
        <v>232</v>
      </c>
      <c r="R814" s="2" t="s">
        <v>233</v>
      </c>
      <c r="S814" s="2" t="s">
        <v>4318</v>
      </c>
      <c r="T814" s="2" t="s">
        <v>469</v>
      </c>
      <c r="U814" s="2" t="s">
        <v>233</v>
      </c>
      <c r="V814" s="2" t="s">
        <v>236</v>
      </c>
      <c r="W814" s="2" t="s">
        <v>237</v>
      </c>
      <c r="X814" s="2" t="s">
        <v>233</v>
      </c>
      <c r="Y814" s="2" t="s">
        <v>238</v>
      </c>
      <c r="Z814" s="4">
        <v>308</v>
      </c>
      <c r="AA814" s="4">
        <f>=ROUNDDOWN(51.3333333333333,0)</f>
      </c>
      <c r="AB814" s="5">
        <v>6</v>
      </c>
      <c r="AC814" s="2" t="s">
        <v>233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233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233</v>
      </c>
      <c r="AW814" s="8" t="s">
        <v>233</v>
      </c>
      <c r="AX814" s="4" t="s">
        <v>233</v>
      </c>
      <c r="AY814" s="8" t="s">
        <v>233</v>
      </c>
      <c r="AZ814" s="7" t="s">
        <v>233</v>
      </c>
      <c r="BA814" s="7" t="s">
        <v>233</v>
      </c>
      <c r="BB814" s="7" t="s">
        <v>233</v>
      </c>
      <c r="BC814" s="4" t="s">
        <v>233</v>
      </c>
      <c r="BD814" s="8" t="s">
        <v>233</v>
      </c>
      <c r="BE814" s="4" t="s">
        <v>233</v>
      </c>
      <c r="BF814" s="8" t="s">
        <v>233</v>
      </c>
      <c r="BG814" s="7" t="s">
        <v>233</v>
      </c>
      <c r="BH814" s="7" t="s">
        <v>233</v>
      </c>
      <c r="BI814" s="7"/>
      <c r="BJ814" s="4">
        <v>11</v>
      </c>
      <c r="BK814" s="8">
        <v>149.32</v>
      </c>
      <c r="BL814" s="2" t="s">
        <v>4327</v>
      </c>
      <c r="BM814" s="7"/>
      <c r="BN814" s="7"/>
      <c r="BO814" s="4"/>
      <c r="BP814" s="8"/>
      <c r="BQ814" s="4"/>
      <c r="BR814" s="8"/>
      <c r="BS814" s="7"/>
      <c r="BT814" s="7"/>
      <c r="BU814" s="2" t="s">
        <v>4272</v>
      </c>
      <c r="BV814" s="2" t="s">
        <v>233</v>
      </c>
      <c r="BW814" s="2" t="s">
        <v>233</v>
      </c>
      <c r="BX814" s="2" t="s">
        <v>241</v>
      </c>
      <c r="BY814" s="2" t="s">
        <v>242</v>
      </c>
      <c r="BZ814" s="2" t="s">
        <v>230</v>
      </c>
      <c r="CA814" s="2" t="s">
        <v>243</v>
      </c>
      <c r="CB814" s="2" t="s">
        <v>4328</v>
      </c>
      <c r="CC814" s="2" t="s">
        <v>245</v>
      </c>
      <c r="CD814" s="2" t="s">
        <v>233</v>
      </c>
      <c r="CE814" s="4">
        <v>308</v>
      </c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>
        <v>309</v>
      </c>
      <c r="GD814" s="4">
        <v>278</v>
      </c>
      <c r="GE814" s="4">
        <v>270</v>
      </c>
      <c r="GF814" s="4">
        <v>262</v>
      </c>
      <c r="GG814" s="4">
        <v>248</v>
      </c>
      <c r="GH814" s="4">
        <v>234</v>
      </c>
      <c r="GI814" s="4">
        <v>222</v>
      </c>
      <c r="GJ814" s="4">
        <v>215</v>
      </c>
      <c r="GK814" s="4">
        <v>209</v>
      </c>
      <c r="GL814" s="4">
        <v>201</v>
      </c>
      <c r="GM814" s="4">
        <v>195</v>
      </c>
      <c r="GN814" s="4">
        <v>189</v>
      </c>
      <c r="GO814" s="4">
        <v>183</v>
      </c>
      <c r="GP814" s="4">
        <v>177</v>
      </c>
      <c r="GQ814" s="4">
        <v>171</v>
      </c>
      <c r="GR814" s="4">
        <v>165</v>
      </c>
      <c r="GS814" s="4">
        <v>159</v>
      </c>
      <c r="GT814" s="4">
        <v>153</v>
      </c>
      <c r="GU814" s="4">
        <v>147</v>
      </c>
      <c r="GV814" s="4">
        <v>141</v>
      </c>
      <c r="GW814" s="4">
        <v>135</v>
      </c>
      <c r="GX814" s="4">
        <v>129</v>
      </c>
      <c r="GY814" s="4">
        <v>123</v>
      </c>
      <c r="GZ814" s="4">
        <v>117</v>
      </c>
      <c r="HA814" s="4">
        <v>111</v>
      </c>
      <c r="HB814" s="4">
        <v>105</v>
      </c>
      <c r="HC814" s="19">
        <v>20.6</v>
      </c>
      <c r="HD814" s="19">
        <v>25.3</v>
      </c>
      <c r="HE814" s="19">
        <v>22.5</v>
      </c>
      <c r="HF814" s="19">
        <v>21.8</v>
      </c>
      <c r="HG814" s="19">
        <v>24.8</v>
      </c>
      <c r="HH814" s="19">
        <v>29.3</v>
      </c>
      <c r="HI814" s="19">
        <v>31.7</v>
      </c>
      <c r="HJ814" s="19">
        <v>35.8</v>
      </c>
      <c r="HK814" s="19">
        <v>34.8</v>
      </c>
      <c r="HL814" s="19">
        <v>33.5</v>
      </c>
      <c r="HM814" s="19">
        <v>32.5</v>
      </c>
      <c r="HN814" s="19">
        <v>31.5</v>
      </c>
      <c r="HO814" s="19">
        <v>30.5</v>
      </c>
      <c r="HP814" s="19">
        <v>29.5</v>
      </c>
      <c r="HQ814" s="19">
        <v>28.5</v>
      </c>
      <c r="HR814" s="19">
        <v>27.5</v>
      </c>
      <c r="HS814" s="19">
        <v>26.5</v>
      </c>
      <c r="HT814" s="19">
        <v>25.5</v>
      </c>
      <c r="HU814" s="19">
        <v>24.5</v>
      </c>
      <c r="HV814" s="19">
        <v>23.5</v>
      </c>
      <c r="HW814" s="19">
        <v>22.5</v>
      </c>
      <c r="HX814" s="19">
        <v>21.5</v>
      </c>
      <c r="HY814" s="19">
        <v>20.5</v>
      </c>
      <c r="HZ814" s="19">
        <v>19.5</v>
      </c>
      <c r="IA814" s="19">
        <v>18.5</v>
      </c>
      <c r="IB814" s="19">
        <v>17.5</v>
      </c>
    </row>
    <row r="815">
      <c r="A815" s="2" t="s">
        <v>4329</v>
      </c>
      <c r="B815" s="2" t="s">
        <v>279</v>
      </c>
      <c r="C815" s="2" t="s">
        <v>1411</v>
      </c>
      <c r="D815" s="2" t="s">
        <v>281</v>
      </c>
      <c r="E815" s="2" t="s">
        <v>282</v>
      </c>
      <c r="F815" s="2" t="s">
        <v>469</v>
      </c>
      <c r="G815" s="2" t="s">
        <v>469</v>
      </c>
      <c r="H815" s="2" t="s">
        <v>469</v>
      </c>
      <c r="I815" s="2" t="s">
        <v>4293</v>
      </c>
      <c r="J815" s="2" t="s">
        <v>252</v>
      </c>
      <c r="K815" s="2" t="s">
        <v>300</v>
      </c>
      <c r="L815" s="3">
        <v>14.85</v>
      </c>
      <c r="M815" s="3">
        <v>15.59</v>
      </c>
      <c r="N815" s="3">
        <v>32.99</v>
      </c>
      <c r="O815" s="2" t="s">
        <v>230</v>
      </c>
      <c r="P815" s="2" t="s">
        <v>231</v>
      </c>
      <c r="Q815" s="2" t="s">
        <v>232</v>
      </c>
      <c r="R815" s="2" t="s">
        <v>233</v>
      </c>
      <c r="S815" s="2" t="s">
        <v>4318</v>
      </c>
      <c r="T815" s="2" t="s">
        <v>469</v>
      </c>
      <c r="U815" s="2" t="s">
        <v>665</v>
      </c>
      <c r="V815" s="2" t="s">
        <v>236</v>
      </c>
      <c r="W815" s="2" t="s">
        <v>620</v>
      </c>
      <c r="X815" s="2" t="s">
        <v>233</v>
      </c>
      <c r="Y815" s="2" t="s">
        <v>4176</v>
      </c>
      <c r="Z815" s="4">
        <v>103</v>
      </c>
      <c r="AA815" s="4">
        <f>=ROUNDDOWN(17.1666666666667,0)</f>
      </c>
      <c r="AB815" s="5">
        <v>6</v>
      </c>
      <c r="AC815" s="2" t="s">
        <v>139</v>
      </c>
      <c r="AD815" s="4">
        <v>30</v>
      </c>
      <c r="AE815" s="4">
        <v>170</v>
      </c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233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233</v>
      </c>
      <c r="AW815" s="8" t="s">
        <v>233</v>
      </c>
      <c r="AX815" s="4" t="s">
        <v>233</v>
      </c>
      <c r="AY815" s="8" t="s">
        <v>233</v>
      </c>
      <c r="AZ815" s="7" t="s">
        <v>233</v>
      </c>
      <c r="BA815" s="7" t="s">
        <v>233</v>
      </c>
      <c r="BB815" s="7" t="s">
        <v>233</v>
      </c>
      <c r="BC815" s="4" t="s">
        <v>233</v>
      </c>
      <c r="BD815" s="8" t="s">
        <v>233</v>
      </c>
      <c r="BE815" s="4" t="s">
        <v>233</v>
      </c>
      <c r="BF815" s="8" t="s">
        <v>233</v>
      </c>
      <c r="BG815" s="7" t="s">
        <v>233</v>
      </c>
      <c r="BH815" s="7" t="s">
        <v>233</v>
      </c>
      <c r="BI815" s="7"/>
      <c r="BJ815" s="4">
        <v>10</v>
      </c>
      <c r="BK815" s="8">
        <v>156.63</v>
      </c>
      <c r="BL815" s="2" t="s">
        <v>678</v>
      </c>
      <c r="BM815" s="7"/>
      <c r="BN815" s="7"/>
      <c r="BO815" s="4"/>
      <c r="BP815" s="8"/>
      <c r="BQ815" s="4"/>
      <c r="BR815" s="8"/>
      <c r="BS815" s="7"/>
      <c r="BT815" s="7"/>
      <c r="BU815" s="2" t="s">
        <v>4295</v>
      </c>
      <c r="BV815" s="2" t="s">
        <v>233</v>
      </c>
      <c r="BW815" s="2" t="s">
        <v>233</v>
      </c>
      <c r="BX815" s="2" t="s">
        <v>241</v>
      </c>
      <c r="BY815" s="2" t="s">
        <v>242</v>
      </c>
      <c r="BZ815" s="2" t="s">
        <v>230</v>
      </c>
      <c r="CA815" s="2" t="s">
        <v>4178</v>
      </c>
      <c r="CB815" s="2" t="s">
        <v>4017</v>
      </c>
      <c r="CC815" s="2" t="s">
        <v>245</v>
      </c>
      <c r="CD815" s="2" t="s">
        <v>233</v>
      </c>
      <c r="CE815" s="4">
        <v>103</v>
      </c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>
        <v>30</v>
      </c>
      <c r="DB815" s="4"/>
      <c r="DC815" s="4"/>
      <c r="DD815" s="4"/>
      <c r="DE815" s="4"/>
      <c r="DF815" s="4"/>
      <c r="DG815" s="4"/>
      <c r="DH815" s="4"/>
      <c r="DI815" s="4">
        <v>20</v>
      </c>
      <c r="DJ815" s="4"/>
      <c r="DK815" s="4"/>
      <c r="DL815" s="4"/>
      <c r="DM815" s="4"/>
      <c r="DN815" s="4"/>
      <c r="DO815" s="4"/>
      <c r="DP815" s="4"/>
      <c r="DQ815" s="4"/>
      <c r="DR815" s="4">
        <v>60</v>
      </c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>
        <v>60</v>
      </c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>
        <v>105</v>
      </c>
      <c r="GD815" s="4">
        <v>99</v>
      </c>
      <c r="GE815" s="4">
        <v>122</v>
      </c>
      <c r="GF815" s="4">
        <v>114</v>
      </c>
      <c r="GG815" s="4">
        <v>117</v>
      </c>
      <c r="GH815" s="4">
        <v>160</v>
      </c>
      <c r="GI815" s="4">
        <v>146</v>
      </c>
      <c r="GJ815" s="4">
        <v>138</v>
      </c>
      <c r="GK815" s="4">
        <v>132</v>
      </c>
      <c r="GL815" s="4">
        <v>122</v>
      </c>
      <c r="GM815" s="4">
        <v>116</v>
      </c>
      <c r="GN815" s="4">
        <v>110</v>
      </c>
      <c r="GO815" s="4">
        <v>104</v>
      </c>
      <c r="GP815" s="4">
        <v>98</v>
      </c>
      <c r="GQ815" s="4">
        <v>92</v>
      </c>
      <c r="GR815" s="4">
        <v>145</v>
      </c>
      <c r="GS815" s="4">
        <v>138</v>
      </c>
      <c r="GT815" s="4">
        <v>131</v>
      </c>
      <c r="GU815" s="4">
        <v>124</v>
      </c>
      <c r="GV815" s="4">
        <v>118</v>
      </c>
      <c r="GW815" s="4">
        <v>112</v>
      </c>
      <c r="GX815" s="4">
        <v>106</v>
      </c>
      <c r="GY815" s="4">
        <v>100</v>
      </c>
      <c r="GZ815" s="4">
        <v>93</v>
      </c>
      <c r="HA815" s="4">
        <v>86</v>
      </c>
      <c r="HB815" s="4">
        <v>79</v>
      </c>
      <c r="HC815" s="19">
        <v>10.5</v>
      </c>
      <c r="HD815" s="19">
        <v>8.3</v>
      </c>
      <c r="HE815" s="19">
        <v>8.7</v>
      </c>
      <c r="HF815" s="19">
        <v>8.1</v>
      </c>
      <c r="HG815" s="19">
        <v>10.6</v>
      </c>
      <c r="HH815" s="19">
        <v>16</v>
      </c>
      <c r="HI815" s="19">
        <v>18.3</v>
      </c>
      <c r="HJ815" s="19">
        <v>19.7</v>
      </c>
      <c r="HK815" s="19">
        <v>18.9</v>
      </c>
      <c r="HL815" s="19">
        <v>20.3</v>
      </c>
      <c r="HM815" s="19">
        <v>19.3</v>
      </c>
      <c r="HN815" s="19">
        <v>18.3</v>
      </c>
      <c r="HO815" s="19">
        <v>17.3</v>
      </c>
      <c r="HP815" s="19">
        <v>14</v>
      </c>
      <c r="HQ815" s="19">
        <v>13.1</v>
      </c>
      <c r="HR815" s="19">
        <v>20.7</v>
      </c>
      <c r="HS815" s="19">
        <v>23</v>
      </c>
      <c r="HT815" s="19">
        <v>21.8</v>
      </c>
      <c r="HU815" s="19">
        <v>20.7</v>
      </c>
      <c r="HV815" s="19">
        <v>19.7</v>
      </c>
      <c r="HW815" s="19">
        <v>18.7</v>
      </c>
      <c r="HX815" s="19">
        <v>15.1</v>
      </c>
      <c r="HY815" s="19">
        <v>14.3</v>
      </c>
      <c r="HZ815" s="19">
        <v>13.3</v>
      </c>
      <c r="IA815" s="19">
        <v>12.3</v>
      </c>
      <c r="IB815" s="19">
        <v>11.3</v>
      </c>
    </row>
    <row r="816">
      <c r="A816" s="2" t="s">
        <v>4330</v>
      </c>
      <c r="B816" s="2" t="s">
        <v>279</v>
      </c>
      <c r="C816" s="2" t="s">
        <v>1411</v>
      </c>
      <c r="D816" s="2" t="s">
        <v>281</v>
      </c>
      <c r="E816" s="2" t="s">
        <v>282</v>
      </c>
      <c r="F816" s="2" t="s">
        <v>469</v>
      </c>
      <c r="G816" s="2" t="s">
        <v>469</v>
      </c>
      <c r="H816" s="2" t="s">
        <v>469</v>
      </c>
      <c r="I816" s="2" t="s">
        <v>4269</v>
      </c>
      <c r="J816" s="2" t="s">
        <v>336</v>
      </c>
      <c r="K816" s="2" t="s">
        <v>300</v>
      </c>
      <c r="L816" s="3">
        <v>14.21</v>
      </c>
      <c r="M816" s="3">
        <v>14.92</v>
      </c>
      <c r="N816" s="3">
        <v>32.99</v>
      </c>
      <c r="O816" s="2" t="s">
        <v>230</v>
      </c>
      <c r="P816" s="2" t="s">
        <v>231</v>
      </c>
      <c r="Q816" s="2" t="s">
        <v>232</v>
      </c>
      <c r="R816" s="2" t="s">
        <v>233</v>
      </c>
      <c r="S816" s="2" t="s">
        <v>4318</v>
      </c>
      <c r="T816" s="2" t="s">
        <v>469</v>
      </c>
      <c r="U816" s="2" t="s">
        <v>233</v>
      </c>
      <c r="V816" s="2" t="s">
        <v>236</v>
      </c>
      <c r="W816" s="2" t="s">
        <v>237</v>
      </c>
      <c r="X816" s="2" t="s">
        <v>233</v>
      </c>
      <c r="Y816" s="2" t="s">
        <v>238</v>
      </c>
      <c r="Z816" s="4">
        <v>373</v>
      </c>
      <c r="AA816" s="4">
        <f>=ROUNDDOWN(13.4172661870504,0)</f>
      </c>
      <c r="AB816" s="5">
        <v>27.8</v>
      </c>
      <c r="AC816" s="2" t="s">
        <v>746</v>
      </c>
      <c r="AD816" s="4">
        <v>80</v>
      </c>
      <c r="AE816" s="4">
        <v>130</v>
      </c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233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233</v>
      </c>
      <c r="AW816" s="8" t="s">
        <v>233</v>
      </c>
      <c r="AX816" s="4" t="s">
        <v>233</v>
      </c>
      <c r="AY816" s="8" t="s">
        <v>233</v>
      </c>
      <c r="AZ816" s="7" t="s">
        <v>233</v>
      </c>
      <c r="BA816" s="7" t="s">
        <v>233</v>
      </c>
      <c r="BB816" s="7" t="s">
        <v>233</v>
      </c>
      <c r="BC816" s="4" t="s">
        <v>233</v>
      </c>
      <c r="BD816" s="8" t="s">
        <v>233</v>
      </c>
      <c r="BE816" s="4" t="s">
        <v>233</v>
      </c>
      <c r="BF816" s="8" t="s">
        <v>233</v>
      </c>
      <c r="BG816" s="7" t="s">
        <v>233</v>
      </c>
      <c r="BH816" s="7" t="s">
        <v>233</v>
      </c>
      <c r="BI816" s="7"/>
      <c r="BJ816" s="4">
        <v>135</v>
      </c>
      <c r="BK816" s="8">
        <v>1904.82</v>
      </c>
      <c r="BL816" s="2" t="s">
        <v>4331</v>
      </c>
      <c r="BM816" s="7"/>
      <c r="BN816" s="7"/>
      <c r="BO816" s="4"/>
      <c r="BP816" s="8"/>
      <c r="BQ816" s="4"/>
      <c r="BR816" s="8"/>
      <c r="BS816" s="7"/>
      <c r="BT816" s="7"/>
      <c r="BU816" s="2" t="s">
        <v>4272</v>
      </c>
      <c r="BV816" s="2" t="s">
        <v>233</v>
      </c>
      <c r="BW816" s="2" t="s">
        <v>233</v>
      </c>
      <c r="BX816" s="2" t="s">
        <v>241</v>
      </c>
      <c r="BY816" s="2" t="s">
        <v>242</v>
      </c>
      <c r="BZ816" s="2" t="s">
        <v>230</v>
      </c>
      <c r="CA816" s="2" t="s">
        <v>243</v>
      </c>
      <c r="CB816" s="2" t="s">
        <v>4332</v>
      </c>
      <c r="CC816" s="2" t="s">
        <v>245</v>
      </c>
      <c r="CD816" s="2" t="s">
        <v>233</v>
      </c>
      <c r="CE816" s="4">
        <v>373</v>
      </c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>
        <v>80</v>
      </c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>
        <v>50</v>
      </c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>
        <v>396</v>
      </c>
      <c r="GD816" s="4">
        <v>326</v>
      </c>
      <c r="GE816" s="4">
        <v>293</v>
      </c>
      <c r="GF816" s="4">
        <v>259</v>
      </c>
      <c r="GG816" s="4">
        <v>190</v>
      </c>
      <c r="GH816" s="4">
        <v>198</v>
      </c>
      <c r="GI816" s="4">
        <v>139</v>
      </c>
      <c r="GJ816" s="4">
        <v>105</v>
      </c>
      <c r="GK816" s="4">
        <v>78</v>
      </c>
      <c r="GL816" s="4">
        <v>36</v>
      </c>
      <c r="GM816" s="4">
        <v>2</v>
      </c>
      <c r="GN816" s="4"/>
      <c r="GO816" s="4"/>
      <c r="GP816" s="4"/>
      <c r="GQ816" s="4"/>
      <c r="GR816" s="4">
        <v>50</v>
      </c>
      <c r="GS816" s="4">
        <v>1</v>
      </c>
      <c r="GT816" s="4"/>
      <c r="GU816" s="4"/>
      <c r="GV816" s="4">
        <v>505</v>
      </c>
      <c r="GW816" s="4">
        <v>468</v>
      </c>
      <c r="GX816" s="4">
        <v>440</v>
      </c>
      <c r="GY816" s="4">
        <v>412</v>
      </c>
      <c r="GZ816" s="4">
        <v>386</v>
      </c>
      <c r="HA816" s="4">
        <v>360</v>
      </c>
      <c r="HB816" s="4">
        <v>334</v>
      </c>
      <c r="HC816" s="19">
        <v>7.6</v>
      </c>
      <c r="HD816" s="19">
        <v>6.3</v>
      </c>
      <c r="HE816" s="19">
        <v>5.1</v>
      </c>
      <c r="HF816" s="19">
        <v>4.5</v>
      </c>
      <c r="HG816" s="19">
        <v>4</v>
      </c>
      <c r="HH816" s="19">
        <v>5</v>
      </c>
      <c r="HI816" s="19">
        <v>4.1</v>
      </c>
      <c r="HJ816" s="19">
        <v>3.2</v>
      </c>
      <c r="HK816" s="19">
        <v>2.3</v>
      </c>
      <c r="HL816" s="19">
        <v>1.2</v>
      </c>
      <c r="HM816" s="19">
        <v>0.1</v>
      </c>
      <c r="HN816" s="20">
        <v>0</v>
      </c>
      <c r="HO816" s="20">
        <v>0</v>
      </c>
      <c r="HP816" s="20">
        <v>0</v>
      </c>
      <c r="HQ816" s="20">
        <v>0</v>
      </c>
      <c r="HR816" s="19">
        <v>1.5</v>
      </c>
      <c r="HS816" s="20">
        <v>0</v>
      </c>
      <c r="HT816" s="20">
        <v>0</v>
      </c>
      <c r="HU816" s="20">
        <v>0</v>
      </c>
      <c r="HV816" s="19">
        <v>16.8</v>
      </c>
      <c r="HW816" s="19">
        <v>17.3</v>
      </c>
      <c r="HX816" s="19">
        <v>16.9</v>
      </c>
      <c r="HY816" s="19">
        <v>15.8</v>
      </c>
      <c r="HZ816" s="19">
        <v>14.8</v>
      </c>
      <c r="IA816" s="19">
        <v>13.8</v>
      </c>
      <c r="IB816" s="19">
        <v>12.4</v>
      </c>
    </row>
    <row r="817">
      <c r="A817" s="2" t="s">
        <v>4333</v>
      </c>
      <c r="B817" s="2" t="s">
        <v>279</v>
      </c>
      <c r="C817" s="2" t="s">
        <v>1411</v>
      </c>
      <c r="D817" s="2" t="s">
        <v>281</v>
      </c>
      <c r="E817" s="2" t="s">
        <v>282</v>
      </c>
      <c r="F817" s="2" t="s">
        <v>469</v>
      </c>
      <c r="G817" s="2" t="s">
        <v>469</v>
      </c>
      <c r="H817" s="2" t="s">
        <v>469</v>
      </c>
      <c r="I817" s="2" t="s">
        <v>4293</v>
      </c>
      <c r="J817" s="2" t="s">
        <v>336</v>
      </c>
      <c r="K817" s="2" t="s">
        <v>300</v>
      </c>
      <c r="L817" s="3">
        <v>14.85</v>
      </c>
      <c r="M817" s="3">
        <v>15.59</v>
      </c>
      <c r="N817" s="3">
        <v>32.99</v>
      </c>
      <c r="O817" s="2" t="s">
        <v>230</v>
      </c>
      <c r="P817" s="2" t="s">
        <v>231</v>
      </c>
      <c r="Q817" s="2" t="s">
        <v>232</v>
      </c>
      <c r="R817" s="2" t="s">
        <v>233</v>
      </c>
      <c r="S817" s="2" t="s">
        <v>4318</v>
      </c>
      <c r="T817" s="2" t="s">
        <v>469</v>
      </c>
      <c r="U817" s="2" t="s">
        <v>665</v>
      </c>
      <c r="V817" s="2" t="s">
        <v>236</v>
      </c>
      <c r="W817" s="2" t="s">
        <v>620</v>
      </c>
      <c r="X817" s="2" t="s">
        <v>233</v>
      </c>
      <c r="Y817" s="2" t="s">
        <v>4176</v>
      </c>
      <c r="Z817" s="4">
        <v>133</v>
      </c>
      <c r="AA817" s="4">
        <f>=ROUNDDOWN(5.11538461538462,0)</f>
      </c>
      <c r="AB817" s="5">
        <v>26</v>
      </c>
      <c r="AC817" s="2" t="s">
        <v>139</v>
      </c>
      <c r="AD817" s="4">
        <v>150</v>
      </c>
      <c r="AE817" s="4">
        <v>750</v>
      </c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233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233</v>
      </c>
      <c r="AW817" s="8" t="s">
        <v>233</v>
      </c>
      <c r="AX817" s="4" t="s">
        <v>233</v>
      </c>
      <c r="AY817" s="8" t="s">
        <v>233</v>
      </c>
      <c r="AZ817" s="7" t="s">
        <v>233</v>
      </c>
      <c r="BA817" s="7" t="s">
        <v>233</v>
      </c>
      <c r="BB817" s="7" t="s">
        <v>233</v>
      </c>
      <c r="BC817" s="4" t="s">
        <v>233</v>
      </c>
      <c r="BD817" s="8" t="s">
        <v>233</v>
      </c>
      <c r="BE817" s="4" t="s">
        <v>233</v>
      </c>
      <c r="BF817" s="8" t="s">
        <v>233</v>
      </c>
      <c r="BG817" s="7" t="s">
        <v>233</v>
      </c>
      <c r="BH817" s="7" t="s">
        <v>233</v>
      </c>
      <c r="BI817" s="7"/>
      <c r="BJ817" s="4">
        <v>112</v>
      </c>
      <c r="BK817" s="8">
        <v>1749.75</v>
      </c>
      <c r="BL817" s="2" t="s">
        <v>570</v>
      </c>
      <c r="BM817" s="7"/>
      <c r="BN817" s="7"/>
      <c r="BO817" s="4"/>
      <c r="BP817" s="8"/>
      <c r="BQ817" s="4"/>
      <c r="BR817" s="8"/>
      <c r="BS817" s="7"/>
      <c r="BT817" s="7"/>
      <c r="BU817" s="2" t="s">
        <v>4295</v>
      </c>
      <c r="BV817" s="2" t="s">
        <v>233</v>
      </c>
      <c r="BW817" s="2" t="s">
        <v>233</v>
      </c>
      <c r="BX817" s="2" t="s">
        <v>241</v>
      </c>
      <c r="BY817" s="2" t="s">
        <v>242</v>
      </c>
      <c r="BZ817" s="2" t="s">
        <v>230</v>
      </c>
      <c r="CA817" s="2" t="s">
        <v>4178</v>
      </c>
      <c r="CB817" s="2" t="s">
        <v>4017</v>
      </c>
      <c r="CC817" s="2" t="s">
        <v>245</v>
      </c>
      <c r="CD817" s="2" t="s">
        <v>233</v>
      </c>
      <c r="CE817" s="4">
        <v>133</v>
      </c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>
        <v>150</v>
      </c>
      <c r="DB817" s="4"/>
      <c r="DC817" s="4"/>
      <c r="DD817" s="4"/>
      <c r="DE817" s="4"/>
      <c r="DF817" s="4"/>
      <c r="DG817" s="4"/>
      <c r="DH817" s="4"/>
      <c r="DI817" s="4">
        <v>120</v>
      </c>
      <c r="DJ817" s="4"/>
      <c r="DK817" s="4"/>
      <c r="DL817" s="4"/>
      <c r="DM817" s="4"/>
      <c r="DN817" s="4"/>
      <c r="DO817" s="4"/>
      <c r="DP817" s="4"/>
      <c r="DQ817" s="4"/>
      <c r="DR817" s="4">
        <v>300</v>
      </c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>
        <v>180</v>
      </c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>
        <v>161</v>
      </c>
      <c r="GD817" s="4">
        <v>125</v>
      </c>
      <c r="GE817" s="4">
        <v>246</v>
      </c>
      <c r="GF817" s="4">
        <v>215</v>
      </c>
      <c r="GG817" s="4">
        <v>267</v>
      </c>
      <c r="GH817" s="4">
        <v>497</v>
      </c>
      <c r="GI817" s="4">
        <v>440</v>
      </c>
      <c r="GJ817" s="4">
        <v>409</v>
      </c>
      <c r="GK817" s="4">
        <v>386</v>
      </c>
      <c r="GL817" s="4">
        <v>347</v>
      </c>
      <c r="GM817" s="4">
        <v>316</v>
      </c>
      <c r="GN817" s="4">
        <v>285</v>
      </c>
      <c r="GO817" s="4">
        <v>254</v>
      </c>
      <c r="GP817" s="4">
        <v>223</v>
      </c>
      <c r="GQ817" s="4">
        <v>192</v>
      </c>
      <c r="GR817" s="4">
        <v>341</v>
      </c>
      <c r="GS817" s="4">
        <v>310</v>
      </c>
      <c r="GT817" s="4">
        <v>279</v>
      </c>
      <c r="GU817" s="4">
        <v>248</v>
      </c>
      <c r="GV817" s="4">
        <v>222</v>
      </c>
      <c r="GW817" s="4">
        <v>196</v>
      </c>
      <c r="GX817" s="4">
        <v>170</v>
      </c>
      <c r="GY817" s="4">
        <v>144</v>
      </c>
      <c r="GZ817" s="4">
        <v>121</v>
      </c>
      <c r="HA817" s="4">
        <v>98</v>
      </c>
      <c r="HB817" s="4">
        <v>280</v>
      </c>
      <c r="HC817" s="19">
        <v>3.9</v>
      </c>
      <c r="HD817" s="19">
        <v>2.5</v>
      </c>
      <c r="HE817" s="19">
        <v>4.4</v>
      </c>
      <c r="HF817" s="19">
        <v>3.8</v>
      </c>
      <c r="HG817" s="19">
        <v>5.9</v>
      </c>
      <c r="HH817" s="19">
        <v>13.1</v>
      </c>
      <c r="HI817" s="19">
        <v>14.2</v>
      </c>
      <c r="HJ817" s="19">
        <v>13.2</v>
      </c>
      <c r="HK817" s="19">
        <v>11.7</v>
      </c>
      <c r="HL817" s="19">
        <v>11.2</v>
      </c>
      <c r="HM817" s="19">
        <v>10.2</v>
      </c>
      <c r="HN817" s="19">
        <v>9.2</v>
      </c>
      <c r="HO817" s="19">
        <v>8.2</v>
      </c>
      <c r="HP817" s="19">
        <v>7.2</v>
      </c>
      <c r="HQ817" s="19">
        <v>6.2</v>
      </c>
      <c r="HR817" s="19">
        <v>11.4</v>
      </c>
      <c r="HS817" s="19">
        <v>11.1</v>
      </c>
      <c r="HT817" s="19">
        <v>10.3</v>
      </c>
      <c r="HU817" s="19">
        <v>9.5</v>
      </c>
      <c r="HV817" s="19">
        <v>8.9</v>
      </c>
      <c r="HW817" s="19">
        <v>8.2</v>
      </c>
      <c r="HX817" s="19">
        <v>7.1</v>
      </c>
      <c r="HY817" s="19">
        <v>6.3</v>
      </c>
      <c r="HZ817" s="19">
        <v>5.3</v>
      </c>
      <c r="IA817" s="19">
        <v>4.1</v>
      </c>
      <c r="IB817" s="19">
        <v>11.7</v>
      </c>
    </row>
    <row r="818">
      <c r="A818" s="2" t="s">
        <v>4334</v>
      </c>
      <c r="B818" s="2" t="s">
        <v>279</v>
      </c>
      <c r="C818" s="2" t="s">
        <v>1411</v>
      </c>
      <c r="D818" s="2" t="s">
        <v>281</v>
      </c>
      <c r="E818" s="2" t="s">
        <v>282</v>
      </c>
      <c r="F818" s="2" t="s">
        <v>469</v>
      </c>
      <c r="G818" s="2" t="s">
        <v>469</v>
      </c>
      <c r="H818" s="2" t="s">
        <v>469</v>
      </c>
      <c r="I818" s="2" t="s">
        <v>4269</v>
      </c>
      <c r="J818" s="2" t="s">
        <v>256</v>
      </c>
      <c r="K818" s="2" t="s">
        <v>300</v>
      </c>
      <c r="L818" s="3">
        <v>16.75</v>
      </c>
      <c r="M818" s="3">
        <v>17.59</v>
      </c>
      <c r="N818" s="3">
        <v>37.99</v>
      </c>
      <c r="O818" s="2" t="s">
        <v>230</v>
      </c>
      <c r="P818" s="2" t="s">
        <v>231</v>
      </c>
      <c r="Q818" s="2" t="s">
        <v>232</v>
      </c>
      <c r="R818" s="2" t="s">
        <v>233</v>
      </c>
      <c r="S818" s="2" t="s">
        <v>4318</v>
      </c>
      <c r="T818" s="2" t="s">
        <v>469</v>
      </c>
      <c r="U818" s="2" t="s">
        <v>233</v>
      </c>
      <c r="V818" s="2" t="s">
        <v>236</v>
      </c>
      <c r="W818" s="2" t="s">
        <v>237</v>
      </c>
      <c r="X818" s="2" t="s">
        <v>233</v>
      </c>
      <c r="Y818" s="2" t="s">
        <v>238</v>
      </c>
      <c r="Z818" s="4">
        <v>252</v>
      </c>
      <c r="AA818" s="4">
        <f>=ROUNDDOWN(30,0)</f>
      </c>
      <c r="AB818" s="5">
        <v>8.4</v>
      </c>
      <c r="AC818" s="2" t="s">
        <v>139</v>
      </c>
      <c r="AD818" s="4">
        <v>60</v>
      </c>
      <c r="AE818" s="4">
        <v>240</v>
      </c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233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233</v>
      </c>
      <c r="AW818" s="8" t="s">
        <v>233</v>
      </c>
      <c r="AX818" s="4" t="s">
        <v>233</v>
      </c>
      <c r="AY818" s="8" t="s">
        <v>233</v>
      </c>
      <c r="AZ818" s="7" t="s">
        <v>233</v>
      </c>
      <c r="BA818" s="7" t="s">
        <v>233</v>
      </c>
      <c r="BB818" s="7"/>
      <c r="BC818" s="4" t="s">
        <v>233</v>
      </c>
      <c r="BD818" s="8" t="s">
        <v>233</v>
      </c>
      <c r="BE818" s="4" t="s">
        <v>233</v>
      </c>
      <c r="BF818" s="8" t="s">
        <v>233</v>
      </c>
      <c r="BG818" s="7" t="s">
        <v>233</v>
      </c>
      <c r="BH818" s="7" t="s">
        <v>233</v>
      </c>
      <c r="BI818" s="7"/>
      <c r="BJ818" s="4">
        <v>36</v>
      </c>
      <c r="BK818" s="8">
        <v>671.97</v>
      </c>
      <c r="BL818" s="2" t="s">
        <v>4335</v>
      </c>
      <c r="BM818" s="7"/>
      <c r="BN818" s="7"/>
      <c r="BO818" s="4"/>
      <c r="BP818" s="8"/>
      <c r="BQ818" s="4"/>
      <c r="BR818" s="8"/>
      <c r="BS818" s="7"/>
      <c r="BT818" s="7"/>
      <c r="BU818" s="2" t="s">
        <v>4272</v>
      </c>
      <c r="BV818" s="2" t="s">
        <v>233</v>
      </c>
      <c r="BW818" s="2" t="s">
        <v>233</v>
      </c>
      <c r="BX818" s="2" t="s">
        <v>241</v>
      </c>
      <c r="BY818" s="2" t="s">
        <v>242</v>
      </c>
      <c r="BZ818" s="2" t="s">
        <v>230</v>
      </c>
      <c r="CA818" s="2" t="s">
        <v>243</v>
      </c>
      <c r="CB818" s="2" t="s">
        <v>1102</v>
      </c>
      <c r="CC818" s="2" t="s">
        <v>245</v>
      </c>
      <c r="CD818" s="2" t="s">
        <v>233</v>
      </c>
      <c r="CE818" s="4">
        <v>252</v>
      </c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>
        <v>60</v>
      </c>
      <c r="DB818" s="4"/>
      <c r="DC818" s="4"/>
      <c r="DD818" s="4"/>
      <c r="DE818" s="4"/>
      <c r="DF818" s="4"/>
      <c r="DG818" s="4"/>
      <c r="DH818" s="4"/>
      <c r="DI818" s="4">
        <v>90</v>
      </c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>
        <v>90</v>
      </c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>
        <v>254</v>
      </c>
      <c r="GD818" s="4">
        <v>252</v>
      </c>
      <c r="GE818" s="4">
        <v>310</v>
      </c>
      <c r="GF818" s="4">
        <v>308</v>
      </c>
      <c r="GG818" s="4">
        <v>393</v>
      </c>
      <c r="GH818" s="4">
        <v>388</v>
      </c>
      <c r="GI818" s="4">
        <v>382</v>
      </c>
      <c r="GJ818" s="4">
        <v>338</v>
      </c>
      <c r="GK818" s="4">
        <v>336</v>
      </c>
      <c r="GL818" s="4">
        <v>333</v>
      </c>
      <c r="GM818" s="4">
        <v>331</v>
      </c>
      <c r="GN818" s="4">
        <v>329</v>
      </c>
      <c r="GO818" s="4">
        <v>327</v>
      </c>
      <c r="GP818" s="4">
        <v>323</v>
      </c>
      <c r="GQ818" s="4">
        <v>314</v>
      </c>
      <c r="GR818" s="4">
        <v>395</v>
      </c>
      <c r="GS818" s="4">
        <v>388</v>
      </c>
      <c r="GT818" s="4">
        <v>381</v>
      </c>
      <c r="GU818" s="4">
        <v>374</v>
      </c>
      <c r="GV818" s="4">
        <v>367</v>
      </c>
      <c r="GW818" s="4">
        <v>360</v>
      </c>
      <c r="GX818" s="4">
        <v>353</v>
      </c>
      <c r="GY818" s="4">
        <v>346</v>
      </c>
      <c r="GZ818" s="4">
        <v>339</v>
      </c>
      <c r="HA818" s="4">
        <v>332</v>
      </c>
      <c r="HB818" s="4">
        <v>325</v>
      </c>
      <c r="HC818" s="19">
        <v>84.7</v>
      </c>
      <c r="HD818" s="19">
        <v>63</v>
      </c>
      <c r="HE818" s="19">
        <v>77.5</v>
      </c>
      <c r="HF818" s="19">
        <v>20.5</v>
      </c>
      <c r="HG818" s="19">
        <v>28.1</v>
      </c>
      <c r="HH818" s="19">
        <v>27.7</v>
      </c>
      <c r="HI818" s="19">
        <v>29.4</v>
      </c>
      <c r="HJ818" s="19">
        <v>169</v>
      </c>
      <c r="HK818" s="19">
        <v>168</v>
      </c>
      <c r="HL818" s="19">
        <v>166.5</v>
      </c>
      <c r="HM818" s="19">
        <v>82.8</v>
      </c>
      <c r="HN818" s="19">
        <v>54.8</v>
      </c>
      <c r="HO818" s="19">
        <v>46.7</v>
      </c>
      <c r="HP818" s="19">
        <v>40.4</v>
      </c>
      <c r="HQ818" s="19">
        <v>39.3</v>
      </c>
      <c r="HR818" s="19">
        <v>56.4</v>
      </c>
      <c r="HS818" s="19">
        <v>55.4</v>
      </c>
      <c r="HT818" s="19">
        <v>54.4</v>
      </c>
      <c r="HU818" s="19">
        <v>53.4</v>
      </c>
      <c r="HV818" s="19">
        <v>52.4</v>
      </c>
      <c r="HW818" s="19">
        <v>51.4</v>
      </c>
      <c r="HX818" s="19">
        <v>50.4</v>
      </c>
      <c r="HY818" s="19">
        <v>49.4</v>
      </c>
      <c r="HZ818" s="19">
        <v>48.4</v>
      </c>
      <c r="IA818" s="19">
        <v>47.4</v>
      </c>
      <c r="IB818" s="19">
        <v>40.6</v>
      </c>
    </row>
    <row r="819">
      <c r="A819" s="2" t="s">
        <v>4336</v>
      </c>
      <c r="B819" s="2" t="s">
        <v>279</v>
      </c>
      <c r="C819" s="2" t="s">
        <v>1411</v>
      </c>
      <c r="D819" s="2" t="s">
        <v>281</v>
      </c>
      <c r="E819" s="2" t="s">
        <v>282</v>
      </c>
      <c r="F819" s="2" t="s">
        <v>469</v>
      </c>
      <c r="G819" s="2" t="s">
        <v>469</v>
      </c>
      <c r="H819" s="2" t="s">
        <v>469</v>
      </c>
      <c r="I819" s="2" t="s">
        <v>4269</v>
      </c>
      <c r="J819" s="2" t="s">
        <v>228</v>
      </c>
      <c r="K819" s="2" t="s">
        <v>1777</v>
      </c>
      <c r="L819" s="3">
        <v>11.18</v>
      </c>
      <c r="M819" s="3">
        <v>11.74</v>
      </c>
      <c r="N819" s="3">
        <v>27.99</v>
      </c>
      <c r="O819" s="2" t="s">
        <v>230</v>
      </c>
      <c r="P819" s="2" t="s">
        <v>231</v>
      </c>
      <c r="Q819" s="2" t="s">
        <v>232</v>
      </c>
      <c r="R819" s="2" t="s">
        <v>233</v>
      </c>
      <c r="S819" s="2" t="s">
        <v>4337</v>
      </c>
      <c r="T819" s="2" t="s">
        <v>469</v>
      </c>
      <c r="U819" s="2" t="s">
        <v>781</v>
      </c>
      <c r="V819" s="2" t="s">
        <v>236</v>
      </c>
      <c r="W819" s="2" t="s">
        <v>237</v>
      </c>
      <c r="X819" s="2" t="s">
        <v>233</v>
      </c>
      <c r="Y819" s="2" t="s">
        <v>3120</v>
      </c>
      <c r="Z819" s="4">
        <v>80</v>
      </c>
      <c r="AA819" s="4">
        <f>=ROUNDDOWN(10,0)</f>
      </c>
      <c r="AB819" s="5">
        <v>8</v>
      </c>
      <c r="AC819" s="2" t="s">
        <v>746</v>
      </c>
      <c r="AD819" s="4">
        <v>40</v>
      </c>
      <c r="AE819" s="4">
        <v>100</v>
      </c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233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233</v>
      </c>
      <c r="AW819" s="8" t="s">
        <v>233</v>
      </c>
      <c r="AX819" s="4" t="s">
        <v>233</v>
      </c>
      <c r="AY819" s="8" t="s">
        <v>233</v>
      </c>
      <c r="AZ819" s="7" t="s">
        <v>233</v>
      </c>
      <c r="BA819" s="7" t="s">
        <v>233</v>
      </c>
      <c r="BB819" s="7"/>
      <c r="BC819" s="4" t="s">
        <v>233</v>
      </c>
      <c r="BD819" s="8" t="s">
        <v>233</v>
      </c>
      <c r="BE819" s="4" t="s">
        <v>233</v>
      </c>
      <c r="BF819" s="8" t="s">
        <v>233</v>
      </c>
      <c r="BG819" s="7" t="s">
        <v>233</v>
      </c>
      <c r="BH819" s="7" t="s">
        <v>233</v>
      </c>
      <c r="BI819" s="7"/>
      <c r="BJ819" s="4">
        <v>9</v>
      </c>
      <c r="BK819" s="8">
        <v>132.09</v>
      </c>
      <c r="BL819" s="2" t="s">
        <v>4338</v>
      </c>
      <c r="BM819" s="7"/>
      <c r="BN819" s="7"/>
      <c r="BO819" s="4"/>
      <c r="BP819" s="8"/>
      <c r="BQ819" s="4"/>
      <c r="BR819" s="8"/>
      <c r="BS819" s="7"/>
      <c r="BT819" s="7"/>
      <c r="BU819" s="2" t="s">
        <v>4272</v>
      </c>
      <c r="BV819" s="2" t="s">
        <v>233</v>
      </c>
      <c r="BW819" s="2" t="s">
        <v>233</v>
      </c>
      <c r="BX819" s="2" t="s">
        <v>241</v>
      </c>
      <c r="BY819" s="2" t="s">
        <v>242</v>
      </c>
      <c r="BZ819" s="2" t="s">
        <v>230</v>
      </c>
      <c r="CA819" s="2" t="s">
        <v>1143</v>
      </c>
      <c r="CB819" s="2" t="s">
        <v>1920</v>
      </c>
      <c r="CC819" s="2" t="s">
        <v>245</v>
      </c>
      <c r="CD819" s="2" t="s">
        <v>233</v>
      </c>
      <c r="CE819" s="4">
        <v>80</v>
      </c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>
        <v>40</v>
      </c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>
        <v>60</v>
      </c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>
        <v>85</v>
      </c>
      <c r="GD819" s="4">
        <v>76</v>
      </c>
      <c r="GE819" s="4">
        <v>68</v>
      </c>
      <c r="GF819" s="4">
        <v>58</v>
      </c>
      <c r="GG819" s="4">
        <v>38</v>
      </c>
      <c r="GH819" s="4">
        <v>57</v>
      </c>
      <c r="GI819" s="4">
        <v>38</v>
      </c>
      <c r="GJ819" s="4">
        <v>28</v>
      </c>
      <c r="GK819" s="4">
        <v>20</v>
      </c>
      <c r="GL819" s="4">
        <v>7</v>
      </c>
      <c r="GM819" s="4"/>
      <c r="GN819" s="4"/>
      <c r="GO819" s="4"/>
      <c r="GP819" s="4"/>
      <c r="GQ819" s="4"/>
      <c r="GR819" s="4">
        <v>60</v>
      </c>
      <c r="GS819" s="4">
        <v>46</v>
      </c>
      <c r="GT819" s="4">
        <v>38</v>
      </c>
      <c r="GU819" s="4">
        <v>30</v>
      </c>
      <c r="GV819" s="4">
        <v>478</v>
      </c>
      <c r="GW819" s="4">
        <v>468</v>
      </c>
      <c r="GX819" s="4">
        <v>459</v>
      </c>
      <c r="GY819" s="4">
        <v>450</v>
      </c>
      <c r="GZ819" s="4">
        <v>436</v>
      </c>
      <c r="HA819" s="4">
        <v>422</v>
      </c>
      <c r="HB819" s="4">
        <v>408</v>
      </c>
      <c r="HC819" s="19">
        <v>7.1</v>
      </c>
      <c r="HD819" s="19">
        <v>5.1</v>
      </c>
      <c r="HE819" s="19">
        <v>3.8</v>
      </c>
      <c r="HF819" s="19">
        <v>3.2</v>
      </c>
      <c r="HG819" s="19">
        <v>2.7</v>
      </c>
      <c r="HH819" s="19">
        <v>4.8</v>
      </c>
      <c r="HI819" s="19">
        <v>3.8</v>
      </c>
      <c r="HJ819" s="19">
        <v>3.1</v>
      </c>
      <c r="HK819" s="19">
        <v>2.5</v>
      </c>
      <c r="HL819" s="19">
        <v>1</v>
      </c>
      <c r="HM819" s="20">
        <v>0</v>
      </c>
      <c r="HN819" s="20">
        <v>0</v>
      </c>
      <c r="HO819" s="20">
        <v>0</v>
      </c>
      <c r="HP819" s="20">
        <v>0</v>
      </c>
      <c r="HQ819" s="20">
        <v>0</v>
      </c>
      <c r="HR819" s="19">
        <v>6</v>
      </c>
      <c r="HS819" s="19">
        <v>5.1</v>
      </c>
      <c r="HT819" s="19">
        <v>4.2</v>
      </c>
      <c r="HU819" s="19">
        <v>3</v>
      </c>
      <c r="HV819" s="19">
        <v>47.8</v>
      </c>
      <c r="HW819" s="19">
        <v>39</v>
      </c>
      <c r="HX819" s="19">
        <v>35.3</v>
      </c>
      <c r="HY819" s="19">
        <v>32.1</v>
      </c>
      <c r="HZ819" s="19">
        <v>31.1</v>
      </c>
      <c r="IA819" s="19">
        <v>32.5</v>
      </c>
      <c r="IB819" s="19">
        <v>34</v>
      </c>
    </row>
    <row r="820">
      <c r="A820" s="2" t="s">
        <v>4339</v>
      </c>
      <c r="B820" s="2" t="s">
        <v>279</v>
      </c>
      <c r="C820" s="2" t="s">
        <v>1411</v>
      </c>
      <c r="D820" s="2" t="s">
        <v>281</v>
      </c>
      <c r="E820" s="2" t="s">
        <v>282</v>
      </c>
      <c r="F820" s="2" t="s">
        <v>469</v>
      </c>
      <c r="G820" s="2" t="s">
        <v>469</v>
      </c>
      <c r="H820" s="2" t="s">
        <v>469</v>
      </c>
      <c r="I820" s="2" t="s">
        <v>4269</v>
      </c>
      <c r="J820" s="2" t="s">
        <v>247</v>
      </c>
      <c r="K820" s="2" t="s">
        <v>1777</v>
      </c>
      <c r="L820" s="3">
        <v>11.18</v>
      </c>
      <c r="M820" s="3">
        <v>11.74</v>
      </c>
      <c r="N820" s="3">
        <v>27.99</v>
      </c>
      <c r="O820" s="2" t="s">
        <v>230</v>
      </c>
      <c r="P820" s="2" t="s">
        <v>231</v>
      </c>
      <c r="Q820" s="2" t="s">
        <v>232</v>
      </c>
      <c r="R820" s="2" t="s">
        <v>233</v>
      </c>
      <c r="S820" s="2" t="s">
        <v>4337</v>
      </c>
      <c r="T820" s="2" t="s">
        <v>469</v>
      </c>
      <c r="U820" s="2" t="s">
        <v>781</v>
      </c>
      <c r="V820" s="2" t="s">
        <v>236</v>
      </c>
      <c r="W820" s="2" t="s">
        <v>237</v>
      </c>
      <c r="X820" s="2" t="s">
        <v>233</v>
      </c>
      <c r="Y820" s="2" t="s">
        <v>3120</v>
      </c>
      <c r="Z820" s="4">
        <v>436</v>
      </c>
      <c r="AA820" s="4">
        <f>=ROUNDDOWN(145.333333333333,0)</f>
      </c>
      <c r="AB820" s="5">
        <v>3</v>
      </c>
      <c r="AC820" s="2" t="s">
        <v>233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233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233</v>
      </c>
      <c r="AW820" s="8" t="s">
        <v>233</v>
      </c>
      <c r="AX820" s="4" t="s">
        <v>233</v>
      </c>
      <c r="AY820" s="8" t="s">
        <v>233</v>
      </c>
      <c r="AZ820" s="7" t="s">
        <v>233</v>
      </c>
      <c r="BA820" s="7" t="s">
        <v>233</v>
      </c>
      <c r="BB820" s="7"/>
      <c r="BC820" s="4" t="s">
        <v>233</v>
      </c>
      <c r="BD820" s="8" t="s">
        <v>233</v>
      </c>
      <c r="BE820" s="4" t="s">
        <v>233</v>
      </c>
      <c r="BF820" s="8" t="s">
        <v>233</v>
      </c>
      <c r="BG820" s="7" t="s">
        <v>233</v>
      </c>
      <c r="BH820" s="7" t="s">
        <v>233</v>
      </c>
      <c r="BI820" s="7"/>
      <c r="BJ820" s="4">
        <v>2</v>
      </c>
      <c r="BK820" s="8">
        <v>24.4</v>
      </c>
      <c r="BL820" s="2" t="s">
        <v>868</v>
      </c>
      <c r="BM820" s="7"/>
      <c r="BN820" s="7"/>
      <c r="BO820" s="4"/>
      <c r="BP820" s="8"/>
      <c r="BQ820" s="4"/>
      <c r="BR820" s="8"/>
      <c r="BS820" s="7"/>
      <c r="BT820" s="7"/>
      <c r="BU820" s="2" t="s">
        <v>4272</v>
      </c>
      <c r="BV820" s="2" t="s">
        <v>233</v>
      </c>
      <c r="BW820" s="2" t="s">
        <v>233</v>
      </c>
      <c r="BX820" s="2" t="s">
        <v>241</v>
      </c>
      <c r="BY820" s="2" t="s">
        <v>242</v>
      </c>
      <c r="BZ820" s="2" t="s">
        <v>230</v>
      </c>
      <c r="CA820" s="2" t="s">
        <v>1143</v>
      </c>
      <c r="CB820" s="2" t="s">
        <v>233</v>
      </c>
      <c r="CC820" s="2" t="s">
        <v>245</v>
      </c>
      <c r="CD820" s="2" t="s">
        <v>233</v>
      </c>
      <c r="CE820" s="4">
        <v>436</v>
      </c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>
        <v>436</v>
      </c>
      <c r="GD820" s="4">
        <v>423</v>
      </c>
      <c r="GE820" s="4">
        <v>418</v>
      </c>
      <c r="GF820" s="4">
        <v>414</v>
      </c>
      <c r="GG820" s="4">
        <v>407</v>
      </c>
      <c r="GH820" s="4">
        <v>398</v>
      </c>
      <c r="GI820" s="4">
        <v>391</v>
      </c>
      <c r="GJ820" s="4">
        <v>387</v>
      </c>
      <c r="GK820" s="4">
        <v>383</v>
      </c>
      <c r="GL820" s="4">
        <v>378</v>
      </c>
      <c r="GM820" s="4">
        <v>375</v>
      </c>
      <c r="GN820" s="4">
        <v>372</v>
      </c>
      <c r="GO820" s="4">
        <v>369</v>
      </c>
      <c r="GP820" s="4">
        <v>366</v>
      </c>
      <c r="GQ820" s="4">
        <v>363</v>
      </c>
      <c r="GR820" s="4">
        <v>361</v>
      </c>
      <c r="GS820" s="4">
        <v>359</v>
      </c>
      <c r="GT820" s="4">
        <v>357</v>
      </c>
      <c r="GU820" s="4">
        <v>355</v>
      </c>
      <c r="GV820" s="4">
        <v>352</v>
      </c>
      <c r="GW820" s="4">
        <v>349</v>
      </c>
      <c r="GX820" s="4">
        <v>345</v>
      </c>
      <c r="GY820" s="4">
        <v>341</v>
      </c>
      <c r="GZ820" s="4">
        <v>337</v>
      </c>
      <c r="HA820" s="4">
        <v>333</v>
      </c>
      <c r="HB820" s="4">
        <v>327</v>
      </c>
      <c r="HC820" s="19">
        <v>62.3</v>
      </c>
      <c r="HD820" s="19">
        <v>70.5</v>
      </c>
      <c r="HE820" s="19">
        <v>59.7</v>
      </c>
      <c r="HF820" s="19">
        <v>59.1</v>
      </c>
      <c r="HG820" s="19">
        <v>67.8</v>
      </c>
      <c r="HH820" s="19">
        <v>79.6</v>
      </c>
      <c r="HI820" s="19">
        <v>97.8</v>
      </c>
      <c r="HJ820" s="19">
        <v>96.8</v>
      </c>
      <c r="HK820" s="19">
        <v>95.8</v>
      </c>
      <c r="HL820" s="19">
        <v>126</v>
      </c>
      <c r="HM820" s="19">
        <v>125</v>
      </c>
      <c r="HN820" s="19">
        <v>124</v>
      </c>
      <c r="HO820" s="19">
        <v>184.5</v>
      </c>
      <c r="HP820" s="19">
        <v>183</v>
      </c>
      <c r="HQ820" s="19">
        <v>181.5</v>
      </c>
      <c r="HR820" s="19">
        <v>180.5</v>
      </c>
      <c r="HS820" s="19">
        <v>179.5</v>
      </c>
      <c r="HT820" s="19">
        <v>119</v>
      </c>
      <c r="HU820" s="19">
        <v>88.8</v>
      </c>
      <c r="HV820" s="19">
        <v>88</v>
      </c>
      <c r="HW820" s="19">
        <v>87.3</v>
      </c>
      <c r="HX820" s="19">
        <v>86.3</v>
      </c>
      <c r="HY820" s="19">
        <v>68.2</v>
      </c>
      <c r="HZ820" s="19">
        <v>56.2</v>
      </c>
      <c r="IA820" s="19">
        <v>55.5</v>
      </c>
      <c r="IB820" s="19">
        <v>40.9</v>
      </c>
    </row>
    <row r="821">
      <c r="A821" s="2" t="s">
        <v>4340</v>
      </c>
      <c r="B821" s="2" t="s">
        <v>279</v>
      </c>
      <c r="C821" s="2" t="s">
        <v>1411</v>
      </c>
      <c r="D821" s="2" t="s">
        <v>281</v>
      </c>
      <c r="E821" s="2" t="s">
        <v>282</v>
      </c>
      <c r="F821" s="2" t="s">
        <v>469</v>
      </c>
      <c r="G821" s="2" t="s">
        <v>469</v>
      </c>
      <c r="H821" s="2" t="s">
        <v>469</v>
      </c>
      <c r="I821" s="2" t="s">
        <v>4269</v>
      </c>
      <c r="J821" s="2" t="s">
        <v>252</v>
      </c>
      <c r="K821" s="2" t="s">
        <v>1777</v>
      </c>
      <c r="L821" s="3">
        <v>12.92</v>
      </c>
      <c r="M821" s="3">
        <v>13.57</v>
      </c>
      <c r="N821" s="3">
        <v>30.99</v>
      </c>
      <c r="O821" s="2" t="s">
        <v>230</v>
      </c>
      <c r="P821" s="2" t="s">
        <v>231</v>
      </c>
      <c r="Q821" s="2" t="s">
        <v>232</v>
      </c>
      <c r="R821" s="2" t="s">
        <v>233</v>
      </c>
      <c r="S821" s="2" t="s">
        <v>4337</v>
      </c>
      <c r="T821" s="2" t="s">
        <v>469</v>
      </c>
      <c r="U821" s="2" t="s">
        <v>287</v>
      </c>
      <c r="V821" s="2" t="s">
        <v>236</v>
      </c>
      <c r="W821" s="2" t="s">
        <v>237</v>
      </c>
      <c r="X821" s="2" t="s">
        <v>233</v>
      </c>
      <c r="Y821" s="2" t="s">
        <v>3120</v>
      </c>
      <c r="Z821" s="4">
        <v>136</v>
      </c>
      <c r="AA821" s="4">
        <f>=ROUNDDOWN(34,0)</f>
      </c>
      <c r="AB821" s="5">
        <v>4</v>
      </c>
      <c r="AC821" s="2" t="s">
        <v>746</v>
      </c>
      <c r="AD821" s="4">
        <v>60</v>
      </c>
      <c r="AE821" s="4">
        <v>160</v>
      </c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233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233</v>
      </c>
      <c r="AW821" s="8" t="s">
        <v>233</v>
      </c>
      <c r="AX821" s="4" t="s">
        <v>233</v>
      </c>
      <c r="AY821" s="8" t="s">
        <v>233</v>
      </c>
      <c r="AZ821" s="7" t="s">
        <v>233</v>
      </c>
      <c r="BA821" s="7" t="s">
        <v>233</v>
      </c>
      <c r="BB821" s="7"/>
      <c r="BC821" s="4" t="s">
        <v>233</v>
      </c>
      <c r="BD821" s="8" t="s">
        <v>233</v>
      </c>
      <c r="BE821" s="4" t="s">
        <v>233</v>
      </c>
      <c r="BF821" s="8" t="s">
        <v>233</v>
      </c>
      <c r="BG821" s="7" t="s">
        <v>233</v>
      </c>
      <c r="BH821" s="7" t="s">
        <v>233</v>
      </c>
      <c r="BI821" s="7"/>
      <c r="BJ821" s="4">
        <v>14</v>
      </c>
      <c r="BK821" s="8">
        <v>190.26</v>
      </c>
      <c r="BL821" s="2" t="s">
        <v>4341</v>
      </c>
      <c r="BM821" s="7"/>
      <c r="BN821" s="7"/>
      <c r="BO821" s="4"/>
      <c r="BP821" s="8"/>
      <c r="BQ821" s="4"/>
      <c r="BR821" s="8"/>
      <c r="BS821" s="7"/>
      <c r="BT821" s="7"/>
      <c r="BU821" s="2" t="s">
        <v>4272</v>
      </c>
      <c r="BV821" s="2" t="s">
        <v>233</v>
      </c>
      <c r="BW821" s="2" t="s">
        <v>233</v>
      </c>
      <c r="BX821" s="2" t="s">
        <v>241</v>
      </c>
      <c r="BY821" s="2" t="s">
        <v>242</v>
      </c>
      <c r="BZ821" s="2" t="s">
        <v>230</v>
      </c>
      <c r="CA821" s="2" t="s">
        <v>1143</v>
      </c>
      <c r="CB821" s="2" t="s">
        <v>2904</v>
      </c>
      <c r="CC821" s="2" t="s">
        <v>245</v>
      </c>
      <c r="CD821" s="2" t="s">
        <v>233</v>
      </c>
      <c r="CE821" s="4">
        <v>136</v>
      </c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>
        <v>60</v>
      </c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>
        <v>100</v>
      </c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>
        <v>138</v>
      </c>
      <c r="GD821" s="4">
        <v>134</v>
      </c>
      <c r="GE821" s="4">
        <v>129</v>
      </c>
      <c r="GF821" s="4">
        <v>124</v>
      </c>
      <c r="GG821" s="4">
        <v>114</v>
      </c>
      <c r="GH821" s="4">
        <v>164</v>
      </c>
      <c r="GI821" s="4">
        <v>156</v>
      </c>
      <c r="GJ821" s="4">
        <v>151</v>
      </c>
      <c r="GK821" s="4">
        <v>147</v>
      </c>
      <c r="GL821" s="4">
        <v>141</v>
      </c>
      <c r="GM821" s="4">
        <v>137</v>
      </c>
      <c r="GN821" s="4">
        <v>133</v>
      </c>
      <c r="GO821" s="4">
        <v>129</v>
      </c>
      <c r="GP821" s="4">
        <v>125</v>
      </c>
      <c r="GQ821" s="4">
        <v>121</v>
      </c>
      <c r="GR821" s="4">
        <v>217</v>
      </c>
      <c r="GS821" s="4">
        <v>213</v>
      </c>
      <c r="GT821" s="4">
        <v>209</v>
      </c>
      <c r="GU821" s="4">
        <v>205</v>
      </c>
      <c r="GV821" s="4">
        <v>217</v>
      </c>
      <c r="GW821" s="4">
        <v>213</v>
      </c>
      <c r="GX821" s="4">
        <v>209</v>
      </c>
      <c r="GY821" s="4">
        <v>205</v>
      </c>
      <c r="GZ821" s="4">
        <v>201</v>
      </c>
      <c r="HA821" s="4">
        <v>197</v>
      </c>
      <c r="HB821" s="4">
        <v>193</v>
      </c>
      <c r="HC821" s="19">
        <v>23</v>
      </c>
      <c r="HD821" s="19">
        <v>16.8</v>
      </c>
      <c r="HE821" s="19">
        <v>16.1</v>
      </c>
      <c r="HF821" s="19">
        <v>15.5</v>
      </c>
      <c r="HG821" s="19">
        <v>16.3</v>
      </c>
      <c r="HH821" s="19">
        <v>27.3</v>
      </c>
      <c r="HI821" s="19">
        <v>31.2</v>
      </c>
      <c r="HJ821" s="19">
        <v>37.8</v>
      </c>
      <c r="HK821" s="19">
        <v>36.8</v>
      </c>
      <c r="HL821" s="19">
        <v>35.3</v>
      </c>
      <c r="HM821" s="19">
        <v>34.3</v>
      </c>
      <c r="HN821" s="19">
        <v>33.3</v>
      </c>
      <c r="HO821" s="19">
        <v>32.3</v>
      </c>
      <c r="HP821" s="19">
        <v>31.3</v>
      </c>
      <c r="HQ821" s="19">
        <v>30.3</v>
      </c>
      <c r="HR821" s="19">
        <v>54.3</v>
      </c>
      <c r="HS821" s="19">
        <v>53.3</v>
      </c>
      <c r="HT821" s="19">
        <v>52.3</v>
      </c>
      <c r="HU821" s="19">
        <v>51.3</v>
      </c>
      <c r="HV821" s="19">
        <v>54.3</v>
      </c>
      <c r="HW821" s="19">
        <v>53.3</v>
      </c>
      <c r="HX821" s="19">
        <v>52.3</v>
      </c>
      <c r="HY821" s="19">
        <v>51.3</v>
      </c>
      <c r="HZ821" s="19">
        <v>50.3</v>
      </c>
      <c r="IA821" s="19">
        <v>49.3</v>
      </c>
      <c r="IB821" s="19">
        <v>48.3</v>
      </c>
    </row>
    <row r="822">
      <c r="A822" s="2" t="s">
        <v>4342</v>
      </c>
      <c r="B822" s="2" t="s">
        <v>279</v>
      </c>
      <c r="C822" s="2" t="s">
        <v>1411</v>
      </c>
      <c r="D822" s="2" t="s">
        <v>281</v>
      </c>
      <c r="E822" s="2" t="s">
        <v>282</v>
      </c>
      <c r="F822" s="2" t="s">
        <v>469</v>
      </c>
      <c r="G822" s="2" t="s">
        <v>469</v>
      </c>
      <c r="H822" s="2" t="s">
        <v>469</v>
      </c>
      <c r="I822" s="2" t="s">
        <v>4269</v>
      </c>
      <c r="J822" s="2" t="s">
        <v>336</v>
      </c>
      <c r="K822" s="2" t="s">
        <v>1777</v>
      </c>
      <c r="L822" s="3">
        <v>14.21</v>
      </c>
      <c r="M822" s="3">
        <v>14.92</v>
      </c>
      <c r="N822" s="3">
        <v>32.99</v>
      </c>
      <c r="O822" s="2" t="s">
        <v>230</v>
      </c>
      <c r="P822" s="2" t="s">
        <v>231</v>
      </c>
      <c r="Q822" s="2" t="s">
        <v>232</v>
      </c>
      <c r="R822" s="2" t="s">
        <v>233</v>
      </c>
      <c r="S822" s="2" t="s">
        <v>4337</v>
      </c>
      <c r="T822" s="2" t="s">
        <v>469</v>
      </c>
      <c r="U822" s="2" t="s">
        <v>287</v>
      </c>
      <c r="V822" s="2" t="s">
        <v>236</v>
      </c>
      <c r="W822" s="2" t="s">
        <v>237</v>
      </c>
      <c r="X822" s="2" t="s">
        <v>233</v>
      </c>
      <c r="Y822" s="2" t="s">
        <v>3120</v>
      </c>
      <c r="Z822" s="4">
        <v>242</v>
      </c>
      <c r="AA822" s="4">
        <f>=ROUNDDOWN(67.2222222222222,0)</f>
      </c>
      <c r="AB822" s="5">
        <v>3.6</v>
      </c>
      <c r="AC822" s="2" t="s">
        <v>2230</v>
      </c>
      <c r="AD822" s="4">
        <v>140</v>
      </c>
      <c r="AE822" s="4">
        <v>140</v>
      </c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233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233</v>
      </c>
      <c r="AW822" s="8" t="s">
        <v>233</v>
      </c>
      <c r="AX822" s="4" t="s">
        <v>233</v>
      </c>
      <c r="AY822" s="8" t="s">
        <v>233</v>
      </c>
      <c r="AZ822" s="7" t="s">
        <v>233</v>
      </c>
      <c r="BA822" s="7" t="s">
        <v>233</v>
      </c>
      <c r="BB822" s="7"/>
      <c r="BC822" s="4" t="s">
        <v>233</v>
      </c>
      <c r="BD822" s="8" t="s">
        <v>233</v>
      </c>
      <c r="BE822" s="4" t="s">
        <v>233</v>
      </c>
      <c r="BF822" s="8" t="s">
        <v>233</v>
      </c>
      <c r="BG822" s="7" t="s">
        <v>233</v>
      </c>
      <c r="BH822" s="7" t="s">
        <v>233</v>
      </c>
      <c r="BI822" s="7"/>
      <c r="BJ822" s="4">
        <v>15</v>
      </c>
      <c r="BK822" s="8">
        <v>228.55</v>
      </c>
      <c r="BL822" s="2" t="s">
        <v>4343</v>
      </c>
      <c r="BM822" s="7"/>
      <c r="BN822" s="7"/>
      <c r="BO822" s="4"/>
      <c r="BP822" s="8"/>
      <c r="BQ822" s="4"/>
      <c r="BR822" s="8"/>
      <c r="BS822" s="7"/>
      <c r="BT822" s="7"/>
      <c r="BU822" s="2" t="s">
        <v>4272</v>
      </c>
      <c r="BV822" s="2" t="s">
        <v>233</v>
      </c>
      <c r="BW822" s="2" t="s">
        <v>233</v>
      </c>
      <c r="BX822" s="2" t="s">
        <v>241</v>
      </c>
      <c r="BY822" s="2" t="s">
        <v>242</v>
      </c>
      <c r="BZ822" s="2" t="s">
        <v>230</v>
      </c>
      <c r="CA822" s="2" t="s">
        <v>1143</v>
      </c>
      <c r="CB822" s="2" t="s">
        <v>3440</v>
      </c>
      <c r="CC822" s="2" t="s">
        <v>245</v>
      </c>
      <c r="CD822" s="2" t="s">
        <v>233</v>
      </c>
      <c r="CE822" s="4">
        <v>242</v>
      </c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>
        <v>140</v>
      </c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>
        <v>247</v>
      </c>
      <c r="GD822" s="4">
        <v>240</v>
      </c>
      <c r="GE822" s="4">
        <v>236</v>
      </c>
      <c r="GF822" s="4">
        <v>231</v>
      </c>
      <c r="GG822" s="4">
        <v>221</v>
      </c>
      <c r="GH822" s="4">
        <v>210</v>
      </c>
      <c r="GI822" s="4">
        <v>201</v>
      </c>
      <c r="GJ822" s="4">
        <v>196</v>
      </c>
      <c r="GK822" s="4">
        <v>192</v>
      </c>
      <c r="GL822" s="4">
        <v>186</v>
      </c>
      <c r="GM822" s="4">
        <v>181</v>
      </c>
      <c r="GN822" s="4">
        <v>176</v>
      </c>
      <c r="GO822" s="4">
        <v>171</v>
      </c>
      <c r="GP822" s="4">
        <v>166</v>
      </c>
      <c r="GQ822" s="4">
        <v>161</v>
      </c>
      <c r="GR822" s="4">
        <v>296</v>
      </c>
      <c r="GS822" s="4">
        <v>291</v>
      </c>
      <c r="GT822" s="4">
        <v>286</v>
      </c>
      <c r="GU822" s="4">
        <v>281</v>
      </c>
      <c r="GV822" s="4">
        <v>277</v>
      </c>
      <c r="GW822" s="4">
        <v>273</v>
      </c>
      <c r="GX822" s="4">
        <v>269</v>
      </c>
      <c r="GY822" s="4">
        <v>265</v>
      </c>
      <c r="GZ822" s="4">
        <v>261</v>
      </c>
      <c r="HA822" s="4">
        <v>257</v>
      </c>
      <c r="HB822" s="4">
        <v>253</v>
      </c>
      <c r="HC822" s="19">
        <v>41.2</v>
      </c>
      <c r="HD822" s="19">
        <v>30</v>
      </c>
      <c r="HE822" s="19">
        <v>26.2</v>
      </c>
      <c r="HF822" s="19">
        <v>25.7</v>
      </c>
      <c r="HG822" s="19">
        <v>31.6</v>
      </c>
      <c r="HH822" s="19">
        <v>35</v>
      </c>
      <c r="HI822" s="19">
        <v>40.2</v>
      </c>
      <c r="HJ822" s="19">
        <v>39.2</v>
      </c>
      <c r="HK822" s="19">
        <v>38.4</v>
      </c>
      <c r="HL822" s="19">
        <v>37.2</v>
      </c>
      <c r="HM822" s="19">
        <v>36.2</v>
      </c>
      <c r="HN822" s="19">
        <v>35.2</v>
      </c>
      <c r="HO822" s="19">
        <v>34.2</v>
      </c>
      <c r="HP822" s="19">
        <v>33.2</v>
      </c>
      <c r="HQ822" s="19">
        <v>32.2</v>
      </c>
      <c r="HR822" s="19">
        <v>59.2</v>
      </c>
      <c r="HS822" s="19">
        <v>72.8</v>
      </c>
      <c r="HT822" s="19">
        <v>71.5</v>
      </c>
      <c r="HU822" s="19">
        <v>70.3</v>
      </c>
      <c r="HV822" s="19">
        <v>69.3</v>
      </c>
      <c r="HW822" s="19">
        <v>68.3</v>
      </c>
      <c r="HX822" s="19">
        <v>67.3</v>
      </c>
      <c r="HY822" s="19">
        <v>66.3</v>
      </c>
      <c r="HZ822" s="19">
        <v>65.3</v>
      </c>
      <c r="IA822" s="19">
        <v>64.3</v>
      </c>
      <c r="IB822" s="19">
        <v>63.3</v>
      </c>
    </row>
    <row r="823">
      <c r="A823" s="2" t="s">
        <v>4344</v>
      </c>
      <c r="B823" s="2" t="s">
        <v>279</v>
      </c>
      <c r="C823" s="2" t="s">
        <v>1411</v>
      </c>
      <c r="D823" s="2" t="s">
        <v>281</v>
      </c>
      <c r="E823" s="2" t="s">
        <v>282</v>
      </c>
      <c r="F823" s="2" t="s">
        <v>469</v>
      </c>
      <c r="G823" s="2" t="s">
        <v>469</v>
      </c>
      <c r="H823" s="2" t="s">
        <v>469</v>
      </c>
      <c r="I823" s="2" t="s">
        <v>4269</v>
      </c>
      <c r="J823" s="2" t="s">
        <v>256</v>
      </c>
      <c r="K823" s="2" t="s">
        <v>1777</v>
      </c>
      <c r="L823" s="3">
        <v>16.75</v>
      </c>
      <c r="M823" s="3">
        <v>17.59</v>
      </c>
      <c r="N823" s="3">
        <v>37.99</v>
      </c>
      <c r="O823" s="2" t="s">
        <v>230</v>
      </c>
      <c r="P823" s="2" t="s">
        <v>231</v>
      </c>
      <c r="Q823" s="2" t="s">
        <v>232</v>
      </c>
      <c r="R823" s="2" t="s">
        <v>233</v>
      </c>
      <c r="S823" s="2" t="s">
        <v>4337</v>
      </c>
      <c r="T823" s="2" t="s">
        <v>469</v>
      </c>
      <c r="U823" s="2" t="s">
        <v>287</v>
      </c>
      <c r="V823" s="2" t="s">
        <v>236</v>
      </c>
      <c r="W823" s="2" t="s">
        <v>237</v>
      </c>
      <c r="X823" s="2" t="s">
        <v>233</v>
      </c>
      <c r="Y823" s="2" t="s">
        <v>3120</v>
      </c>
      <c r="Z823" s="4">
        <v>109</v>
      </c>
      <c r="AA823" s="4">
        <f>=ROUNDDOWN(54.5,0)</f>
      </c>
      <c r="AB823" s="5">
        <v>2</v>
      </c>
      <c r="AC823" s="2" t="s">
        <v>233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233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233</v>
      </c>
      <c r="AW823" s="8" t="s">
        <v>233</v>
      </c>
      <c r="AX823" s="4" t="s">
        <v>233</v>
      </c>
      <c r="AY823" s="8" t="s">
        <v>233</v>
      </c>
      <c r="AZ823" s="7" t="s">
        <v>233</v>
      </c>
      <c r="BA823" s="7" t="s">
        <v>233</v>
      </c>
      <c r="BB823" s="7"/>
      <c r="BC823" s="4" t="s">
        <v>233</v>
      </c>
      <c r="BD823" s="8" t="s">
        <v>233</v>
      </c>
      <c r="BE823" s="4" t="s">
        <v>233</v>
      </c>
      <c r="BF823" s="8" t="s">
        <v>233</v>
      </c>
      <c r="BG823" s="7" t="s">
        <v>233</v>
      </c>
      <c r="BH823" s="7" t="s">
        <v>233</v>
      </c>
      <c r="BI823" s="7"/>
      <c r="BJ823" s="4">
        <v>2</v>
      </c>
      <c r="BK823" s="8">
        <v>32.44</v>
      </c>
      <c r="BL823" s="2" t="s">
        <v>324</v>
      </c>
      <c r="BM823" s="7"/>
      <c r="BN823" s="7"/>
      <c r="BO823" s="4"/>
      <c r="BP823" s="8"/>
      <c r="BQ823" s="4"/>
      <c r="BR823" s="8"/>
      <c r="BS823" s="7"/>
      <c r="BT823" s="7"/>
      <c r="BU823" s="2" t="s">
        <v>4272</v>
      </c>
      <c r="BV823" s="2" t="s">
        <v>233</v>
      </c>
      <c r="BW823" s="2" t="s">
        <v>233</v>
      </c>
      <c r="BX823" s="2" t="s">
        <v>241</v>
      </c>
      <c r="BY823" s="2" t="s">
        <v>242</v>
      </c>
      <c r="BZ823" s="2" t="s">
        <v>230</v>
      </c>
      <c r="CA823" s="2" t="s">
        <v>1143</v>
      </c>
      <c r="CB823" s="2" t="s">
        <v>233</v>
      </c>
      <c r="CC823" s="2" t="s">
        <v>245</v>
      </c>
      <c r="CD823" s="2" t="s">
        <v>233</v>
      </c>
      <c r="CE823" s="4">
        <v>109</v>
      </c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>
        <v>110</v>
      </c>
      <c r="GD823" s="4">
        <v>105</v>
      </c>
      <c r="GE823" s="4">
        <v>103</v>
      </c>
      <c r="GF823" s="4">
        <v>101</v>
      </c>
      <c r="GG823" s="4">
        <v>98</v>
      </c>
      <c r="GH823" s="4">
        <v>95</v>
      </c>
      <c r="GI823" s="4">
        <v>92</v>
      </c>
      <c r="GJ823" s="4">
        <v>90</v>
      </c>
      <c r="GK823" s="4">
        <v>88</v>
      </c>
      <c r="GL823" s="4">
        <v>86</v>
      </c>
      <c r="GM823" s="4">
        <v>84</v>
      </c>
      <c r="GN823" s="4">
        <v>82</v>
      </c>
      <c r="GO823" s="4">
        <v>80</v>
      </c>
      <c r="GP823" s="4">
        <v>78</v>
      </c>
      <c r="GQ823" s="4">
        <v>76</v>
      </c>
      <c r="GR823" s="4">
        <v>74</v>
      </c>
      <c r="GS823" s="4">
        <v>72</v>
      </c>
      <c r="GT823" s="4">
        <v>70</v>
      </c>
      <c r="GU823" s="4">
        <v>68</v>
      </c>
      <c r="GV823" s="4">
        <v>92</v>
      </c>
      <c r="GW823" s="4">
        <v>90</v>
      </c>
      <c r="GX823" s="4">
        <v>88</v>
      </c>
      <c r="GY823" s="4">
        <v>86</v>
      </c>
      <c r="GZ823" s="4">
        <v>84</v>
      </c>
      <c r="HA823" s="4">
        <v>82</v>
      </c>
      <c r="HB823" s="4">
        <v>80</v>
      </c>
      <c r="HC823" s="19">
        <v>36.7</v>
      </c>
      <c r="HD823" s="19">
        <v>52.5</v>
      </c>
      <c r="HE823" s="19">
        <v>34.3</v>
      </c>
      <c r="HF823" s="19">
        <v>33.7</v>
      </c>
      <c r="HG823" s="19">
        <v>49</v>
      </c>
      <c r="HH823" s="19">
        <v>47.5</v>
      </c>
      <c r="HI823" s="19">
        <v>46</v>
      </c>
      <c r="HJ823" s="19">
        <v>45</v>
      </c>
      <c r="HK823" s="19">
        <v>44</v>
      </c>
      <c r="HL823" s="19">
        <v>43</v>
      </c>
      <c r="HM823" s="19">
        <v>42</v>
      </c>
      <c r="HN823" s="19">
        <v>41</v>
      </c>
      <c r="HO823" s="19">
        <v>40</v>
      </c>
      <c r="HP823" s="19">
        <v>39</v>
      </c>
      <c r="HQ823" s="19">
        <v>38</v>
      </c>
      <c r="HR823" s="19">
        <v>37</v>
      </c>
      <c r="HS823" s="19">
        <v>36</v>
      </c>
      <c r="HT823" s="19">
        <v>35</v>
      </c>
      <c r="HU823" s="19">
        <v>34</v>
      </c>
      <c r="HV823" s="19">
        <v>46</v>
      </c>
      <c r="HW823" s="19">
        <v>45</v>
      </c>
      <c r="HX823" s="19">
        <v>44</v>
      </c>
      <c r="HY823" s="19">
        <v>43</v>
      </c>
      <c r="HZ823" s="19">
        <v>42</v>
      </c>
      <c r="IA823" s="19">
        <v>41</v>
      </c>
      <c r="IB823" s="19">
        <v>40</v>
      </c>
    </row>
    <row r="824">
      <c r="A824" s="2" t="s">
        <v>4345</v>
      </c>
      <c r="B824" s="2" t="s">
        <v>279</v>
      </c>
      <c r="C824" s="2" t="s">
        <v>1411</v>
      </c>
      <c r="D824" s="2" t="s">
        <v>281</v>
      </c>
      <c r="E824" s="2" t="s">
        <v>282</v>
      </c>
      <c r="F824" s="2" t="s">
        <v>469</v>
      </c>
      <c r="G824" s="2" t="s">
        <v>469</v>
      </c>
      <c r="H824" s="2" t="s">
        <v>469</v>
      </c>
      <c r="I824" s="2" t="s">
        <v>4269</v>
      </c>
      <c r="J824" s="2" t="s">
        <v>228</v>
      </c>
      <c r="K824" s="2" t="s">
        <v>1706</v>
      </c>
      <c r="L824" s="3">
        <v>11.18</v>
      </c>
      <c r="M824" s="3">
        <v>11.74</v>
      </c>
      <c r="N824" s="3">
        <v>27.99</v>
      </c>
      <c r="O824" s="2" t="s">
        <v>230</v>
      </c>
      <c r="P824" s="2" t="s">
        <v>231</v>
      </c>
      <c r="Q824" s="2" t="s">
        <v>232</v>
      </c>
      <c r="R824" s="2" t="s">
        <v>233</v>
      </c>
      <c r="S824" s="2" t="s">
        <v>4346</v>
      </c>
      <c r="T824" s="2" t="s">
        <v>469</v>
      </c>
      <c r="U824" s="2" t="s">
        <v>233</v>
      </c>
      <c r="V824" s="2" t="s">
        <v>236</v>
      </c>
      <c r="W824" s="2" t="s">
        <v>237</v>
      </c>
      <c r="X824" s="2" t="s">
        <v>233</v>
      </c>
      <c r="Y824" s="2" t="s">
        <v>238</v>
      </c>
      <c r="Z824" s="4">
        <v>225</v>
      </c>
      <c r="AA824" s="4">
        <f>=ROUNDDOWN(50,0)</f>
      </c>
      <c r="AB824" s="5">
        <v>4.5</v>
      </c>
      <c r="AC824" s="2" t="s">
        <v>139</v>
      </c>
      <c r="AD824" s="4">
        <v>40</v>
      </c>
      <c r="AE824" s="4">
        <v>70</v>
      </c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233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233</v>
      </c>
      <c r="AW824" s="8" t="s">
        <v>233</v>
      </c>
      <c r="AX824" s="4" t="s">
        <v>233</v>
      </c>
      <c r="AY824" s="8" t="s">
        <v>233</v>
      </c>
      <c r="AZ824" s="7" t="s">
        <v>233</v>
      </c>
      <c r="BA824" s="7" t="s">
        <v>233</v>
      </c>
      <c r="BB824" s="7" t="s">
        <v>233</v>
      </c>
      <c r="BC824" s="4" t="s">
        <v>233</v>
      </c>
      <c r="BD824" s="8" t="s">
        <v>233</v>
      </c>
      <c r="BE824" s="4" t="s">
        <v>233</v>
      </c>
      <c r="BF824" s="8" t="s">
        <v>233</v>
      </c>
      <c r="BG824" s="7" t="s">
        <v>233</v>
      </c>
      <c r="BH824" s="7" t="s">
        <v>233</v>
      </c>
      <c r="BI824" s="7"/>
      <c r="BJ824" s="4">
        <v>19</v>
      </c>
      <c r="BK824" s="8">
        <v>208.36</v>
      </c>
      <c r="BL824" s="2" t="s">
        <v>1660</v>
      </c>
      <c r="BM824" s="7"/>
      <c r="BN824" s="7"/>
      <c r="BO824" s="4"/>
      <c r="BP824" s="8"/>
      <c r="BQ824" s="4"/>
      <c r="BR824" s="8"/>
      <c r="BS824" s="7"/>
      <c r="BT824" s="7"/>
      <c r="BU824" s="2" t="s">
        <v>4272</v>
      </c>
      <c r="BV824" s="2" t="s">
        <v>233</v>
      </c>
      <c r="BW824" s="2" t="s">
        <v>233</v>
      </c>
      <c r="BX824" s="2" t="s">
        <v>241</v>
      </c>
      <c r="BY824" s="2" t="s">
        <v>242</v>
      </c>
      <c r="BZ824" s="2" t="s">
        <v>230</v>
      </c>
      <c r="CA824" s="2" t="s">
        <v>243</v>
      </c>
      <c r="CB824" s="2" t="s">
        <v>1057</v>
      </c>
      <c r="CC824" s="2" t="s">
        <v>245</v>
      </c>
      <c r="CD824" s="2" t="s">
        <v>233</v>
      </c>
      <c r="CE824" s="4">
        <v>225</v>
      </c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>
        <v>40</v>
      </c>
      <c r="DB824" s="4"/>
      <c r="DC824" s="4"/>
      <c r="DD824" s="4"/>
      <c r="DE824" s="4"/>
      <c r="DF824" s="4"/>
      <c r="DG824" s="4"/>
      <c r="DH824" s="4"/>
      <c r="DI824" s="4">
        <v>30</v>
      </c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>
        <v>232</v>
      </c>
      <c r="GD824" s="4">
        <v>223</v>
      </c>
      <c r="GE824" s="4">
        <v>257</v>
      </c>
      <c r="GF824" s="4">
        <v>250</v>
      </c>
      <c r="GG824" s="4">
        <v>265</v>
      </c>
      <c r="GH824" s="4">
        <v>250</v>
      </c>
      <c r="GI824" s="4">
        <v>237</v>
      </c>
      <c r="GJ824" s="4">
        <v>230</v>
      </c>
      <c r="GK824" s="4">
        <v>225</v>
      </c>
      <c r="GL824" s="4">
        <v>216</v>
      </c>
      <c r="GM824" s="4">
        <v>211</v>
      </c>
      <c r="GN824" s="4">
        <v>206</v>
      </c>
      <c r="GO824" s="4">
        <v>201</v>
      </c>
      <c r="GP824" s="4">
        <v>196</v>
      </c>
      <c r="GQ824" s="4">
        <v>191</v>
      </c>
      <c r="GR824" s="4">
        <v>186</v>
      </c>
      <c r="GS824" s="4">
        <v>181</v>
      </c>
      <c r="GT824" s="4">
        <v>176</v>
      </c>
      <c r="GU824" s="4">
        <v>171</v>
      </c>
      <c r="GV824" s="4">
        <v>165</v>
      </c>
      <c r="GW824" s="4">
        <v>159</v>
      </c>
      <c r="GX824" s="4">
        <v>153</v>
      </c>
      <c r="GY824" s="4">
        <v>147</v>
      </c>
      <c r="GZ824" s="4">
        <v>138</v>
      </c>
      <c r="HA824" s="4">
        <v>129</v>
      </c>
      <c r="HB824" s="4">
        <v>120</v>
      </c>
      <c r="HC824" s="19">
        <v>25.8</v>
      </c>
      <c r="HD824" s="19">
        <v>20.3</v>
      </c>
      <c r="HE824" s="19">
        <v>21.4</v>
      </c>
      <c r="HF824" s="19">
        <v>20.8</v>
      </c>
      <c r="HG824" s="19">
        <v>26.5</v>
      </c>
      <c r="HH824" s="19">
        <v>31.3</v>
      </c>
      <c r="HI824" s="19">
        <v>39.5</v>
      </c>
      <c r="HJ824" s="19">
        <v>38.3</v>
      </c>
      <c r="HK824" s="19">
        <v>37.5</v>
      </c>
      <c r="HL824" s="19">
        <v>43.2</v>
      </c>
      <c r="HM824" s="19">
        <v>42.2</v>
      </c>
      <c r="HN824" s="19">
        <v>41.2</v>
      </c>
      <c r="HO824" s="19">
        <v>40.2</v>
      </c>
      <c r="HP824" s="19">
        <v>39.2</v>
      </c>
      <c r="HQ824" s="19">
        <v>38.2</v>
      </c>
      <c r="HR824" s="19">
        <v>37.2</v>
      </c>
      <c r="HS824" s="19">
        <v>30.2</v>
      </c>
      <c r="HT824" s="19">
        <v>29.3</v>
      </c>
      <c r="HU824" s="19">
        <v>28.5</v>
      </c>
      <c r="HV824" s="19">
        <v>23.6</v>
      </c>
      <c r="HW824" s="19">
        <v>19.9</v>
      </c>
      <c r="HX824" s="19">
        <v>19.1</v>
      </c>
      <c r="HY824" s="19">
        <v>16.3</v>
      </c>
      <c r="HZ824" s="19">
        <v>15.3</v>
      </c>
      <c r="IA824" s="19">
        <v>16.1</v>
      </c>
      <c r="IB824" s="19">
        <v>15</v>
      </c>
    </row>
    <row r="825">
      <c r="A825" s="2" t="s">
        <v>4347</v>
      </c>
      <c r="B825" s="2" t="s">
        <v>279</v>
      </c>
      <c r="C825" s="2" t="s">
        <v>1411</v>
      </c>
      <c r="D825" s="2" t="s">
        <v>281</v>
      </c>
      <c r="E825" s="2" t="s">
        <v>282</v>
      </c>
      <c r="F825" s="2" t="s">
        <v>469</v>
      </c>
      <c r="G825" s="2" t="s">
        <v>469</v>
      </c>
      <c r="H825" s="2" t="s">
        <v>469</v>
      </c>
      <c r="I825" s="2" t="s">
        <v>4293</v>
      </c>
      <c r="J825" s="2" t="s">
        <v>228</v>
      </c>
      <c r="K825" s="2" t="s">
        <v>1706</v>
      </c>
      <c r="L825" s="3">
        <v>12.15</v>
      </c>
      <c r="M825" s="3">
        <v>12.76</v>
      </c>
      <c r="N825" s="3">
        <v>26.99</v>
      </c>
      <c r="O825" s="2" t="s">
        <v>230</v>
      </c>
      <c r="P825" s="2" t="s">
        <v>231</v>
      </c>
      <c r="Q825" s="2" t="s">
        <v>232</v>
      </c>
      <c r="R825" s="2" t="s">
        <v>233</v>
      </c>
      <c r="S825" s="2" t="s">
        <v>4346</v>
      </c>
      <c r="T825" s="2" t="s">
        <v>469</v>
      </c>
      <c r="U825" s="2" t="s">
        <v>287</v>
      </c>
      <c r="V825" s="2" t="s">
        <v>236</v>
      </c>
      <c r="W825" s="2" t="s">
        <v>620</v>
      </c>
      <c r="X825" s="2" t="s">
        <v>233</v>
      </c>
      <c r="Y825" s="2" t="s">
        <v>4176</v>
      </c>
      <c r="Z825" s="4">
        <v>52</v>
      </c>
      <c r="AA825" s="4">
        <f>=ROUNDDOWN(7.42857142857143,0)</f>
      </c>
      <c r="AB825" s="5">
        <v>7</v>
      </c>
      <c r="AC825" s="2" t="s">
        <v>139</v>
      </c>
      <c r="AD825" s="4">
        <v>76</v>
      </c>
      <c r="AE825" s="4">
        <v>76</v>
      </c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233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233</v>
      </c>
      <c r="AW825" s="8" t="s">
        <v>233</v>
      </c>
      <c r="AX825" s="4" t="s">
        <v>233</v>
      </c>
      <c r="AY825" s="8" t="s">
        <v>233</v>
      </c>
      <c r="AZ825" s="7" t="s">
        <v>233</v>
      </c>
      <c r="BA825" s="7" t="s">
        <v>233</v>
      </c>
      <c r="BB825" s="7" t="s">
        <v>233</v>
      </c>
      <c r="BC825" s="4" t="s">
        <v>233</v>
      </c>
      <c r="BD825" s="8" t="s">
        <v>233</v>
      </c>
      <c r="BE825" s="4" t="s">
        <v>233</v>
      </c>
      <c r="BF825" s="8" t="s">
        <v>233</v>
      </c>
      <c r="BG825" s="7" t="s">
        <v>233</v>
      </c>
      <c r="BH825" s="7" t="s">
        <v>233</v>
      </c>
      <c r="BI825" s="7"/>
      <c r="BJ825" s="4">
        <v>31</v>
      </c>
      <c r="BK825" s="8">
        <v>394.82</v>
      </c>
      <c r="BL825" s="2" t="s">
        <v>570</v>
      </c>
      <c r="BM825" s="7"/>
      <c r="BN825" s="7"/>
      <c r="BO825" s="4"/>
      <c r="BP825" s="8"/>
      <c r="BQ825" s="4"/>
      <c r="BR825" s="8"/>
      <c r="BS825" s="7"/>
      <c r="BT825" s="7"/>
      <c r="BU825" s="2" t="s">
        <v>4295</v>
      </c>
      <c r="BV825" s="2" t="s">
        <v>233</v>
      </c>
      <c r="BW825" s="2" t="s">
        <v>233</v>
      </c>
      <c r="BX825" s="2" t="s">
        <v>241</v>
      </c>
      <c r="BY825" s="2" t="s">
        <v>242</v>
      </c>
      <c r="BZ825" s="2" t="s">
        <v>230</v>
      </c>
      <c r="CA825" s="2" t="s">
        <v>4178</v>
      </c>
      <c r="CB825" s="2" t="s">
        <v>4348</v>
      </c>
      <c r="CC825" s="2" t="s">
        <v>245</v>
      </c>
      <c r="CD825" s="2" t="s">
        <v>233</v>
      </c>
      <c r="CE825" s="4">
        <v>52</v>
      </c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>
        <v>76</v>
      </c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>
        <v>58</v>
      </c>
      <c r="GD825" s="4">
        <v>48</v>
      </c>
      <c r="GE825" s="4">
        <v>116</v>
      </c>
      <c r="GF825" s="4">
        <v>106</v>
      </c>
      <c r="GG825" s="4">
        <v>86</v>
      </c>
      <c r="GH825" s="4">
        <v>65</v>
      </c>
      <c r="GI825" s="4">
        <v>47</v>
      </c>
      <c r="GJ825" s="4">
        <v>38</v>
      </c>
      <c r="GK825" s="4">
        <v>31</v>
      </c>
      <c r="GL825" s="4">
        <v>19</v>
      </c>
      <c r="GM825" s="4">
        <v>12</v>
      </c>
      <c r="GN825" s="4">
        <v>5</v>
      </c>
      <c r="GO825" s="4"/>
      <c r="GP825" s="4"/>
      <c r="GQ825" s="4"/>
      <c r="GR825" s="4"/>
      <c r="GS825" s="4"/>
      <c r="GT825" s="4"/>
      <c r="GU825" s="4"/>
      <c r="GV825" s="4">
        <v>201</v>
      </c>
      <c r="GW825" s="4">
        <v>193</v>
      </c>
      <c r="GX825" s="4">
        <v>185</v>
      </c>
      <c r="GY825" s="4">
        <v>177</v>
      </c>
      <c r="GZ825" s="4">
        <v>164</v>
      </c>
      <c r="HA825" s="4">
        <v>151</v>
      </c>
      <c r="HB825" s="4">
        <v>138</v>
      </c>
      <c r="HC825" s="19">
        <v>4.8</v>
      </c>
      <c r="HD825" s="19">
        <v>3.2</v>
      </c>
      <c r="HE825" s="19">
        <v>6.8</v>
      </c>
      <c r="HF825" s="19">
        <v>6.2</v>
      </c>
      <c r="HG825" s="19">
        <v>6.1</v>
      </c>
      <c r="HH825" s="19">
        <v>5.4</v>
      </c>
      <c r="HI825" s="19">
        <v>5.2</v>
      </c>
      <c r="HJ825" s="19">
        <v>4.8</v>
      </c>
      <c r="HK825" s="19">
        <v>3.9</v>
      </c>
      <c r="HL825" s="19">
        <v>2.7</v>
      </c>
      <c r="HM825" s="19">
        <v>1.7</v>
      </c>
      <c r="HN825" s="19">
        <v>0.7</v>
      </c>
      <c r="HO825" s="20">
        <v>0</v>
      </c>
      <c r="HP825" s="20">
        <v>0</v>
      </c>
      <c r="HQ825" s="20">
        <v>0</v>
      </c>
      <c r="HR825" s="20">
        <v>0</v>
      </c>
      <c r="HS825" s="20">
        <v>0</v>
      </c>
      <c r="HT825" s="20">
        <v>0</v>
      </c>
      <c r="HU825" s="20">
        <v>0</v>
      </c>
      <c r="HV825" s="19">
        <v>22.3</v>
      </c>
      <c r="HW825" s="19">
        <v>19.3</v>
      </c>
      <c r="HX825" s="19">
        <v>15.4</v>
      </c>
      <c r="HY825" s="19">
        <v>13.6</v>
      </c>
      <c r="HZ825" s="19">
        <v>12.6</v>
      </c>
      <c r="IA825" s="19">
        <v>12.6</v>
      </c>
      <c r="IB825" s="19">
        <v>13.8</v>
      </c>
    </row>
    <row r="826">
      <c r="A826" s="2" t="s">
        <v>4349</v>
      </c>
      <c r="B826" s="2" t="s">
        <v>279</v>
      </c>
      <c r="C826" s="2" t="s">
        <v>1411</v>
      </c>
      <c r="D826" s="2" t="s">
        <v>281</v>
      </c>
      <c r="E826" s="2" t="s">
        <v>282</v>
      </c>
      <c r="F826" s="2" t="s">
        <v>469</v>
      </c>
      <c r="G826" s="2" t="s">
        <v>469</v>
      </c>
      <c r="H826" s="2" t="s">
        <v>469</v>
      </c>
      <c r="I826" s="2" t="s">
        <v>4269</v>
      </c>
      <c r="J826" s="2" t="s">
        <v>247</v>
      </c>
      <c r="K826" s="2" t="s">
        <v>1706</v>
      </c>
      <c r="L826" s="3">
        <v>11.18</v>
      </c>
      <c r="M826" s="3">
        <v>11.74</v>
      </c>
      <c r="N826" s="3">
        <v>27.99</v>
      </c>
      <c r="O826" s="2" t="s">
        <v>230</v>
      </c>
      <c r="P826" s="2" t="s">
        <v>231</v>
      </c>
      <c r="Q826" s="2" t="s">
        <v>232</v>
      </c>
      <c r="R826" s="2" t="s">
        <v>233</v>
      </c>
      <c r="S826" s="2" t="s">
        <v>4346</v>
      </c>
      <c r="T826" s="2" t="s">
        <v>469</v>
      </c>
      <c r="U826" s="2" t="s">
        <v>233</v>
      </c>
      <c r="V826" s="2" t="s">
        <v>236</v>
      </c>
      <c r="W826" s="2" t="s">
        <v>237</v>
      </c>
      <c r="X826" s="2" t="s">
        <v>233</v>
      </c>
      <c r="Y826" s="2" t="s">
        <v>238</v>
      </c>
      <c r="Z826" s="4">
        <v>329</v>
      </c>
      <c r="AA826" s="4">
        <f>=ROUNDDOWN(164.5,0)</f>
      </c>
      <c r="AB826" s="5">
        <v>2</v>
      </c>
      <c r="AC826" s="2" t="s">
        <v>233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233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233</v>
      </c>
      <c r="AW826" s="8" t="s">
        <v>233</v>
      </c>
      <c r="AX826" s="4" t="s">
        <v>233</v>
      </c>
      <c r="AY826" s="8" t="s">
        <v>233</v>
      </c>
      <c r="AZ826" s="7" t="s">
        <v>233</v>
      </c>
      <c r="BA826" s="7" t="s">
        <v>233</v>
      </c>
      <c r="BB826" s="7" t="s">
        <v>233</v>
      </c>
      <c r="BC826" s="4" t="s">
        <v>233</v>
      </c>
      <c r="BD826" s="8" t="s">
        <v>233</v>
      </c>
      <c r="BE826" s="4" t="s">
        <v>233</v>
      </c>
      <c r="BF826" s="8" t="s">
        <v>233</v>
      </c>
      <c r="BG826" s="7" t="s">
        <v>233</v>
      </c>
      <c r="BH826" s="7" t="s">
        <v>233</v>
      </c>
      <c r="BI826" s="7"/>
      <c r="BJ826" s="4">
        <v>15</v>
      </c>
      <c r="BK826" s="8">
        <v>173.2</v>
      </c>
      <c r="BL826" s="2" t="s">
        <v>4323</v>
      </c>
      <c r="BM826" s="7"/>
      <c r="BN826" s="7"/>
      <c r="BO826" s="4"/>
      <c r="BP826" s="8"/>
      <c r="BQ826" s="4"/>
      <c r="BR826" s="8"/>
      <c r="BS826" s="7"/>
      <c r="BT826" s="7"/>
      <c r="BU826" s="2" t="s">
        <v>4272</v>
      </c>
      <c r="BV826" s="2" t="s">
        <v>233</v>
      </c>
      <c r="BW826" s="2" t="s">
        <v>233</v>
      </c>
      <c r="BX826" s="2" t="s">
        <v>241</v>
      </c>
      <c r="BY826" s="2" t="s">
        <v>242</v>
      </c>
      <c r="BZ826" s="2" t="s">
        <v>230</v>
      </c>
      <c r="CA826" s="2" t="s">
        <v>243</v>
      </c>
      <c r="CB826" s="2" t="s">
        <v>4350</v>
      </c>
      <c r="CC826" s="2" t="s">
        <v>245</v>
      </c>
      <c r="CD826" s="2" t="s">
        <v>233</v>
      </c>
      <c r="CE826" s="4">
        <v>329</v>
      </c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>
        <v>330</v>
      </c>
      <c r="GD826" s="4">
        <v>328</v>
      </c>
      <c r="GE826" s="4">
        <v>325</v>
      </c>
      <c r="GF826" s="4">
        <v>322</v>
      </c>
      <c r="GG826" s="4">
        <v>316</v>
      </c>
      <c r="GH826" s="4">
        <v>308</v>
      </c>
      <c r="GI826" s="4">
        <v>302</v>
      </c>
      <c r="GJ826" s="4">
        <v>299</v>
      </c>
      <c r="GK826" s="4">
        <v>296</v>
      </c>
      <c r="GL826" s="4">
        <v>292</v>
      </c>
      <c r="GM826" s="4">
        <v>290</v>
      </c>
      <c r="GN826" s="4">
        <v>288</v>
      </c>
      <c r="GO826" s="4">
        <v>286</v>
      </c>
      <c r="GP826" s="4">
        <v>284</v>
      </c>
      <c r="GQ826" s="4">
        <v>282</v>
      </c>
      <c r="GR826" s="4">
        <v>281</v>
      </c>
      <c r="GS826" s="4">
        <v>280</v>
      </c>
      <c r="GT826" s="4">
        <v>279</v>
      </c>
      <c r="GU826" s="4">
        <v>278</v>
      </c>
      <c r="GV826" s="4">
        <v>276</v>
      </c>
      <c r="GW826" s="4">
        <v>274</v>
      </c>
      <c r="GX826" s="4">
        <v>272</v>
      </c>
      <c r="GY826" s="4">
        <v>270</v>
      </c>
      <c r="GZ826" s="4">
        <v>268</v>
      </c>
      <c r="HA826" s="4">
        <v>266</v>
      </c>
      <c r="HB826" s="4">
        <v>264</v>
      </c>
      <c r="HC826" s="19">
        <v>82.5</v>
      </c>
      <c r="HD826" s="19">
        <v>65.6</v>
      </c>
      <c r="HE826" s="19">
        <v>54.2</v>
      </c>
      <c r="HF826" s="19">
        <v>53.7</v>
      </c>
      <c r="HG826" s="19">
        <v>63.2</v>
      </c>
      <c r="HH826" s="19">
        <v>77</v>
      </c>
      <c r="HI826" s="19">
        <v>100.7</v>
      </c>
      <c r="HJ826" s="19">
        <v>99.7</v>
      </c>
      <c r="HK826" s="19">
        <v>148</v>
      </c>
      <c r="HL826" s="19">
        <v>146</v>
      </c>
      <c r="HM826" s="19">
        <v>145</v>
      </c>
      <c r="HN826" s="19">
        <v>144</v>
      </c>
      <c r="HO826" s="19">
        <v>143</v>
      </c>
      <c r="HP826" s="19">
        <v>284</v>
      </c>
      <c r="HQ826" s="19">
        <v>282</v>
      </c>
      <c r="HR826" s="19">
        <v>281</v>
      </c>
      <c r="HS826" s="19">
        <v>140</v>
      </c>
      <c r="HT826" s="19">
        <v>139.5</v>
      </c>
      <c r="HU826" s="19">
        <v>139</v>
      </c>
      <c r="HV826" s="19">
        <v>138</v>
      </c>
      <c r="HW826" s="19">
        <v>137</v>
      </c>
      <c r="HX826" s="19">
        <v>136</v>
      </c>
      <c r="HY826" s="19">
        <v>135</v>
      </c>
      <c r="HZ826" s="19">
        <v>134</v>
      </c>
      <c r="IA826" s="19">
        <v>133</v>
      </c>
      <c r="IB826" s="19">
        <v>88</v>
      </c>
    </row>
    <row r="827">
      <c r="A827" s="2" t="s">
        <v>4351</v>
      </c>
      <c r="B827" s="2" t="s">
        <v>279</v>
      </c>
      <c r="C827" s="2" t="s">
        <v>1411</v>
      </c>
      <c r="D827" s="2" t="s">
        <v>281</v>
      </c>
      <c r="E827" s="2" t="s">
        <v>282</v>
      </c>
      <c r="F827" s="2" t="s">
        <v>469</v>
      </c>
      <c r="G827" s="2" t="s">
        <v>469</v>
      </c>
      <c r="H827" s="2" t="s">
        <v>469</v>
      </c>
      <c r="I827" s="2" t="s">
        <v>4293</v>
      </c>
      <c r="J827" s="2" t="s">
        <v>247</v>
      </c>
      <c r="K827" s="2" t="s">
        <v>1706</v>
      </c>
      <c r="L827" s="3">
        <v>12.15</v>
      </c>
      <c r="M827" s="3">
        <v>12.76</v>
      </c>
      <c r="N827" s="3">
        <v>26.99</v>
      </c>
      <c r="O827" s="2" t="s">
        <v>230</v>
      </c>
      <c r="P827" s="2" t="s">
        <v>231</v>
      </c>
      <c r="Q827" s="2" t="s">
        <v>232</v>
      </c>
      <c r="R827" s="2" t="s">
        <v>233</v>
      </c>
      <c r="S827" s="2" t="s">
        <v>4346</v>
      </c>
      <c r="T827" s="2" t="s">
        <v>469</v>
      </c>
      <c r="U827" s="2" t="s">
        <v>287</v>
      </c>
      <c r="V827" s="2" t="s">
        <v>236</v>
      </c>
      <c r="W827" s="2" t="s">
        <v>620</v>
      </c>
      <c r="X827" s="2" t="s">
        <v>233</v>
      </c>
      <c r="Y827" s="2" t="s">
        <v>4176</v>
      </c>
      <c r="Z827" s="4">
        <v>270</v>
      </c>
      <c r="AA827" s="4">
        <f>=ROUNDDOWN(67.5,0)</f>
      </c>
      <c r="AB827" s="5">
        <v>4</v>
      </c>
      <c r="AC827" s="2" t="s">
        <v>233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233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233</v>
      </c>
      <c r="AW827" s="8" t="s">
        <v>233</v>
      </c>
      <c r="AX827" s="4" t="s">
        <v>233</v>
      </c>
      <c r="AY827" s="8" t="s">
        <v>233</v>
      </c>
      <c r="AZ827" s="7" t="s">
        <v>233</v>
      </c>
      <c r="BA827" s="7" t="s">
        <v>233</v>
      </c>
      <c r="BB827" s="7" t="s">
        <v>233</v>
      </c>
      <c r="BC827" s="4" t="s">
        <v>233</v>
      </c>
      <c r="BD827" s="8" t="s">
        <v>233</v>
      </c>
      <c r="BE827" s="4" t="s">
        <v>233</v>
      </c>
      <c r="BF827" s="8" t="s">
        <v>233</v>
      </c>
      <c r="BG827" s="7" t="s">
        <v>233</v>
      </c>
      <c r="BH827" s="7" t="s">
        <v>233</v>
      </c>
      <c r="BI827" s="7"/>
      <c r="BJ827" s="4">
        <v>7</v>
      </c>
      <c r="BK827" s="8">
        <v>88.91</v>
      </c>
      <c r="BL827" s="2" t="s">
        <v>4352</v>
      </c>
      <c r="BM827" s="7"/>
      <c r="BN827" s="7"/>
      <c r="BO827" s="4"/>
      <c r="BP827" s="8"/>
      <c r="BQ827" s="4"/>
      <c r="BR827" s="8"/>
      <c r="BS827" s="7"/>
      <c r="BT827" s="7"/>
      <c r="BU827" s="2" t="s">
        <v>4295</v>
      </c>
      <c r="BV827" s="2" t="s">
        <v>233</v>
      </c>
      <c r="BW827" s="2" t="s">
        <v>233</v>
      </c>
      <c r="BX827" s="2" t="s">
        <v>241</v>
      </c>
      <c r="BY827" s="2" t="s">
        <v>242</v>
      </c>
      <c r="BZ827" s="2" t="s">
        <v>230</v>
      </c>
      <c r="CA827" s="2" t="s">
        <v>4178</v>
      </c>
      <c r="CB827" s="2" t="s">
        <v>406</v>
      </c>
      <c r="CC827" s="2" t="s">
        <v>245</v>
      </c>
      <c r="CD827" s="2" t="s">
        <v>233</v>
      </c>
      <c r="CE827" s="4">
        <v>270</v>
      </c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>
        <v>270</v>
      </c>
      <c r="GD827" s="4">
        <v>268</v>
      </c>
      <c r="GE827" s="4">
        <v>263</v>
      </c>
      <c r="GF827" s="4">
        <v>257</v>
      </c>
      <c r="GG827" s="4">
        <v>245</v>
      </c>
      <c r="GH827" s="4">
        <v>229</v>
      </c>
      <c r="GI827" s="4">
        <v>216</v>
      </c>
      <c r="GJ827" s="4">
        <v>209</v>
      </c>
      <c r="GK827" s="4">
        <v>204</v>
      </c>
      <c r="GL827" s="4">
        <v>195</v>
      </c>
      <c r="GM827" s="4">
        <v>191</v>
      </c>
      <c r="GN827" s="4">
        <v>187</v>
      </c>
      <c r="GO827" s="4">
        <v>183</v>
      </c>
      <c r="GP827" s="4">
        <v>179</v>
      </c>
      <c r="GQ827" s="4">
        <v>175</v>
      </c>
      <c r="GR827" s="4">
        <v>172</v>
      </c>
      <c r="GS827" s="4">
        <v>169</v>
      </c>
      <c r="GT827" s="4">
        <v>166</v>
      </c>
      <c r="GU827" s="4">
        <v>163</v>
      </c>
      <c r="GV827" s="4">
        <v>271</v>
      </c>
      <c r="GW827" s="4">
        <v>267</v>
      </c>
      <c r="GX827" s="4">
        <v>263</v>
      </c>
      <c r="GY827" s="4">
        <v>259</v>
      </c>
      <c r="GZ827" s="4">
        <v>255</v>
      </c>
      <c r="HA827" s="4">
        <v>251</v>
      </c>
      <c r="HB827" s="4">
        <v>247</v>
      </c>
      <c r="HC827" s="19">
        <v>45</v>
      </c>
      <c r="HD827" s="19">
        <v>26.8</v>
      </c>
      <c r="HE827" s="19">
        <v>21.9</v>
      </c>
      <c r="HF827" s="19">
        <v>21.4</v>
      </c>
      <c r="HG827" s="19">
        <v>24.5</v>
      </c>
      <c r="HH827" s="19">
        <v>28.6</v>
      </c>
      <c r="HI827" s="19">
        <v>36</v>
      </c>
      <c r="HJ827" s="19">
        <v>34.8</v>
      </c>
      <c r="HK827" s="19">
        <v>40.8</v>
      </c>
      <c r="HL827" s="19">
        <v>48.8</v>
      </c>
      <c r="HM827" s="19">
        <v>47.8</v>
      </c>
      <c r="HN827" s="19">
        <v>46.8</v>
      </c>
      <c r="HO827" s="19">
        <v>45.8</v>
      </c>
      <c r="HP827" s="19">
        <v>59.7</v>
      </c>
      <c r="HQ827" s="19">
        <v>58.3</v>
      </c>
      <c r="HR827" s="19">
        <v>57.3</v>
      </c>
      <c r="HS827" s="19">
        <v>42.3</v>
      </c>
      <c r="HT827" s="19">
        <v>41.5</v>
      </c>
      <c r="HU827" s="19">
        <v>40.8</v>
      </c>
      <c r="HV827" s="19">
        <v>67.8</v>
      </c>
      <c r="HW827" s="19">
        <v>66.8</v>
      </c>
      <c r="HX827" s="19">
        <v>65.8</v>
      </c>
      <c r="HY827" s="19">
        <v>64.8</v>
      </c>
      <c r="HZ827" s="19">
        <v>63.8</v>
      </c>
      <c r="IA827" s="19">
        <v>50.2</v>
      </c>
      <c r="IB827" s="19">
        <v>41.2</v>
      </c>
    </row>
    <row r="828">
      <c r="A828" s="2" t="s">
        <v>4353</v>
      </c>
      <c r="B828" s="2" t="s">
        <v>279</v>
      </c>
      <c r="C828" s="2" t="s">
        <v>1411</v>
      </c>
      <c r="D828" s="2" t="s">
        <v>281</v>
      </c>
      <c r="E828" s="2" t="s">
        <v>282</v>
      </c>
      <c r="F828" s="2" t="s">
        <v>469</v>
      </c>
      <c r="G828" s="2" t="s">
        <v>469</v>
      </c>
      <c r="H828" s="2" t="s">
        <v>469</v>
      </c>
      <c r="I828" s="2" t="s">
        <v>4269</v>
      </c>
      <c r="J828" s="2" t="s">
        <v>252</v>
      </c>
      <c r="K828" s="2" t="s">
        <v>1706</v>
      </c>
      <c r="L828" s="3">
        <v>12.92</v>
      </c>
      <c r="M828" s="3">
        <v>13.57</v>
      </c>
      <c r="N828" s="3">
        <v>30.99</v>
      </c>
      <c r="O828" s="2" t="s">
        <v>230</v>
      </c>
      <c r="P828" s="2" t="s">
        <v>231</v>
      </c>
      <c r="Q828" s="2" t="s">
        <v>232</v>
      </c>
      <c r="R828" s="2" t="s">
        <v>233</v>
      </c>
      <c r="S828" s="2" t="s">
        <v>4346</v>
      </c>
      <c r="T828" s="2" t="s">
        <v>469</v>
      </c>
      <c r="U828" s="2" t="s">
        <v>233</v>
      </c>
      <c r="V828" s="2" t="s">
        <v>236</v>
      </c>
      <c r="W828" s="2" t="s">
        <v>237</v>
      </c>
      <c r="X828" s="2" t="s">
        <v>233</v>
      </c>
      <c r="Y828" s="2" t="s">
        <v>238</v>
      </c>
      <c r="Z828" s="4">
        <v>80</v>
      </c>
      <c r="AA828" s="4">
        <f>=ROUNDDOWN(12.3076923076923,0)</f>
      </c>
      <c r="AB828" s="5">
        <v>6.5</v>
      </c>
      <c r="AC828" s="2" t="s">
        <v>139</v>
      </c>
      <c r="AD828" s="4">
        <v>50</v>
      </c>
      <c r="AE828" s="4">
        <v>220</v>
      </c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233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233</v>
      </c>
      <c r="AW828" s="8" t="s">
        <v>233</v>
      </c>
      <c r="AX828" s="4" t="s">
        <v>233</v>
      </c>
      <c r="AY828" s="8" t="s">
        <v>233</v>
      </c>
      <c r="AZ828" s="7" t="s">
        <v>233</v>
      </c>
      <c r="BA828" s="7" t="s">
        <v>233</v>
      </c>
      <c r="BB828" s="7" t="s">
        <v>233</v>
      </c>
      <c r="BC828" s="4" t="s">
        <v>233</v>
      </c>
      <c r="BD828" s="8" t="s">
        <v>233</v>
      </c>
      <c r="BE828" s="4" t="s">
        <v>233</v>
      </c>
      <c r="BF828" s="8" t="s">
        <v>233</v>
      </c>
      <c r="BG828" s="7" t="s">
        <v>233</v>
      </c>
      <c r="BH828" s="7" t="s">
        <v>233</v>
      </c>
      <c r="BI828" s="7"/>
      <c r="BJ828" s="4">
        <v>22</v>
      </c>
      <c r="BK828" s="8">
        <v>286.06</v>
      </c>
      <c r="BL828" s="2" t="s">
        <v>4354</v>
      </c>
      <c r="BM828" s="7"/>
      <c r="BN828" s="7"/>
      <c r="BO828" s="4"/>
      <c r="BP828" s="8"/>
      <c r="BQ828" s="4"/>
      <c r="BR828" s="8"/>
      <c r="BS828" s="7"/>
      <c r="BT828" s="7"/>
      <c r="BU828" s="2" t="s">
        <v>4272</v>
      </c>
      <c r="BV828" s="2" t="s">
        <v>233</v>
      </c>
      <c r="BW828" s="2" t="s">
        <v>233</v>
      </c>
      <c r="BX828" s="2" t="s">
        <v>241</v>
      </c>
      <c r="BY828" s="2" t="s">
        <v>242</v>
      </c>
      <c r="BZ828" s="2" t="s">
        <v>230</v>
      </c>
      <c r="CA828" s="2" t="s">
        <v>243</v>
      </c>
      <c r="CB828" s="2" t="s">
        <v>2631</v>
      </c>
      <c r="CC828" s="2" t="s">
        <v>245</v>
      </c>
      <c r="CD828" s="2" t="s">
        <v>233</v>
      </c>
      <c r="CE828" s="4">
        <v>80</v>
      </c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>
        <v>50</v>
      </c>
      <c r="DB828" s="4"/>
      <c r="DC828" s="4"/>
      <c r="DD828" s="4"/>
      <c r="DE828" s="4"/>
      <c r="DF828" s="4"/>
      <c r="DG828" s="4"/>
      <c r="DH828" s="4"/>
      <c r="DI828" s="4">
        <v>20</v>
      </c>
      <c r="DJ828" s="4"/>
      <c r="DK828" s="4"/>
      <c r="DL828" s="4"/>
      <c r="DM828" s="4"/>
      <c r="DN828" s="4"/>
      <c r="DO828" s="4"/>
      <c r="DP828" s="4"/>
      <c r="DQ828" s="4"/>
      <c r="DR828" s="4">
        <v>80</v>
      </c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>
        <v>70</v>
      </c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>
        <v>83</v>
      </c>
      <c r="GD828" s="4">
        <v>77</v>
      </c>
      <c r="GE828" s="4">
        <v>119</v>
      </c>
      <c r="GF828" s="4">
        <v>109</v>
      </c>
      <c r="GG828" s="4">
        <v>109</v>
      </c>
      <c r="GH828" s="4">
        <v>169</v>
      </c>
      <c r="GI828" s="4">
        <v>152</v>
      </c>
      <c r="GJ828" s="4">
        <v>143</v>
      </c>
      <c r="GK828" s="4">
        <v>136</v>
      </c>
      <c r="GL828" s="4">
        <v>125</v>
      </c>
      <c r="GM828" s="4">
        <v>118</v>
      </c>
      <c r="GN828" s="4">
        <v>111</v>
      </c>
      <c r="GO828" s="4">
        <v>104</v>
      </c>
      <c r="GP828" s="4">
        <v>97</v>
      </c>
      <c r="GQ828" s="4">
        <v>90</v>
      </c>
      <c r="GR828" s="4">
        <v>152</v>
      </c>
      <c r="GS828" s="4">
        <v>144</v>
      </c>
      <c r="GT828" s="4">
        <v>136</v>
      </c>
      <c r="GU828" s="4">
        <v>128</v>
      </c>
      <c r="GV828" s="4">
        <v>121</v>
      </c>
      <c r="GW828" s="4">
        <v>114</v>
      </c>
      <c r="GX828" s="4">
        <v>107</v>
      </c>
      <c r="GY828" s="4">
        <v>100</v>
      </c>
      <c r="GZ828" s="4">
        <v>92</v>
      </c>
      <c r="HA828" s="4">
        <v>84</v>
      </c>
      <c r="HB828" s="4">
        <v>76</v>
      </c>
      <c r="HC828" s="19">
        <v>7.5</v>
      </c>
      <c r="HD828" s="19">
        <v>5.5</v>
      </c>
      <c r="HE828" s="19">
        <v>7</v>
      </c>
      <c r="HF828" s="19">
        <v>6.8</v>
      </c>
      <c r="HG828" s="19">
        <v>8.4</v>
      </c>
      <c r="HH828" s="19">
        <v>15.4</v>
      </c>
      <c r="HI828" s="19">
        <v>19</v>
      </c>
      <c r="HJ828" s="19">
        <v>17.9</v>
      </c>
      <c r="HK828" s="19">
        <v>17</v>
      </c>
      <c r="HL828" s="19">
        <v>17.9</v>
      </c>
      <c r="HM828" s="19">
        <v>16.9</v>
      </c>
      <c r="HN828" s="19">
        <v>15.9</v>
      </c>
      <c r="HO828" s="19">
        <v>13</v>
      </c>
      <c r="HP828" s="19">
        <v>12.1</v>
      </c>
      <c r="HQ828" s="19">
        <v>11.3</v>
      </c>
      <c r="HR828" s="19">
        <v>19</v>
      </c>
      <c r="HS828" s="19">
        <v>18</v>
      </c>
      <c r="HT828" s="19">
        <v>19.4</v>
      </c>
      <c r="HU828" s="19">
        <v>18.3</v>
      </c>
      <c r="HV828" s="19">
        <v>17.3</v>
      </c>
      <c r="HW828" s="19">
        <v>14.3</v>
      </c>
      <c r="HX828" s="19">
        <v>13.4</v>
      </c>
      <c r="HY828" s="19">
        <v>12.5</v>
      </c>
      <c r="HZ828" s="19">
        <v>11.5</v>
      </c>
      <c r="IA828" s="19">
        <v>10.5</v>
      </c>
      <c r="IB828" s="19">
        <v>9.5</v>
      </c>
    </row>
    <row r="829">
      <c r="A829" s="2" t="s">
        <v>4355</v>
      </c>
      <c r="B829" s="2" t="s">
        <v>279</v>
      </c>
      <c r="C829" s="2" t="s">
        <v>1411</v>
      </c>
      <c r="D829" s="2" t="s">
        <v>281</v>
      </c>
      <c r="E829" s="2" t="s">
        <v>282</v>
      </c>
      <c r="F829" s="2" t="s">
        <v>469</v>
      </c>
      <c r="G829" s="2" t="s">
        <v>469</v>
      </c>
      <c r="H829" s="2" t="s">
        <v>469</v>
      </c>
      <c r="I829" s="2" t="s">
        <v>4293</v>
      </c>
      <c r="J829" s="2" t="s">
        <v>252</v>
      </c>
      <c r="K829" s="2" t="s">
        <v>1706</v>
      </c>
      <c r="L829" s="3">
        <v>14.85</v>
      </c>
      <c r="M829" s="3">
        <v>15.59</v>
      </c>
      <c r="N829" s="3">
        <v>32.99</v>
      </c>
      <c r="O829" s="2" t="s">
        <v>230</v>
      </c>
      <c r="P829" s="2" t="s">
        <v>231</v>
      </c>
      <c r="Q829" s="2" t="s">
        <v>232</v>
      </c>
      <c r="R829" s="2" t="s">
        <v>233</v>
      </c>
      <c r="S829" s="2" t="s">
        <v>4346</v>
      </c>
      <c r="T829" s="2" t="s">
        <v>469</v>
      </c>
      <c r="U829" s="2" t="s">
        <v>665</v>
      </c>
      <c r="V829" s="2" t="s">
        <v>236</v>
      </c>
      <c r="W829" s="2" t="s">
        <v>620</v>
      </c>
      <c r="X829" s="2" t="s">
        <v>233</v>
      </c>
      <c r="Y829" s="2" t="s">
        <v>4176</v>
      </c>
      <c r="Z829" s="4">
        <v>117</v>
      </c>
      <c r="AA829" s="4">
        <f>=ROUNDDOWN(18,0)</f>
      </c>
      <c r="AB829" s="5">
        <v>6.5</v>
      </c>
      <c r="AC829" s="2" t="s">
        <v>147</v>
      </c>
      <c r="AD829" s="4">
        <v>40</v>
      </c>
      <c r="AE829" s="4">
        <v>230</v>
      </c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233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233</v>
      </c>
      <c r="AW829" s="8" t="s">
        <v>233</v>
      </c>
      <c r="AX829" s="4" t="s">
        <v>233</v>
      </c>
      <c r="AY829" s="8" t="s">
        <v>233</v>
      </c>
      <c r="AZ829" s="7" t="s">
        <v>233</v>
      </c>
      <c r="BA829" s="7" t="s">
        <v>233</v>
      </c>
      <c r="BB829" s="7" t="s">
        <v>233</v>
      </c>
      <c r="BC829" s="4" t="s">
        <v>233</v>
      </c>
      <c r="BD829" s="8" t="s">
        <v>233</v>
      </c>
      <c r="BE829" s="4" t="s">
        <v>233</v>
      </c>
      <c r="BF829" s="8" t="s">
        <v>233</v>
      </c>
      <c r="BG829" s="7" t="s">
        <v>233</v>
      </c>
      <c r="BH829" s="7" t="s">
        <v>233</v>
      </c>
      <c r="BI829" s="7"/>
      <c r="BJ829" s="4">
        <v>22</v>
      </c>
      <c r="BK829" s="8">
        <v>345.72</v>
      </c>
      <c r="BL829" s="2" t="s">
        <v>4356</v>
      </c>
      <c r="BM829" s="7"/>
      <c r="BN829" s="7"/>
      <c r="BO829" s="4"/>
      <c r="BP829" s="8"/>
      <c r="BQ829" s="4"/>
      <c r="BR829" s="8"/>
      <c r="BS829" s="7"/>
      <c r="BT829" s="7"/>
      <c r="BU829" s="2" t="s">
        <v>4295</v>
      </c>
      <c r="BV829" s="2" t="s">
        <v>233</v>
      </c>
      <c r="BW829" s="2" t="s">
        <v>233</v>
      </c>
      <c r="BX829" s="2" t="s">
        <v>241</v>
      </c>
      <c r="BY829" s="2" t="s">
        <v>242</v>
      </c>
      <c r="BZ829" s="2" t="s">
        <v>230</v>
      </c>
      <c r="CA829" s="2" t="s">
        <v>4178</v>
      </c>
      <c r="CB829" s="2" t="s">
        <v>4017</v>
      </c>
      <c r="CC829" s="2" t="s">
        <v>245</v>
      </c>
      <c r="CD829" s="2" t="s">
        <v>233</v>
      </c>
      <c r="CE829" s="4">
        <v>117</v>
      </c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>
        <v>40</v>
      </c>
      <c r="DJ829" s="4"/>
      <c r="DK829" s="4"/>
      <c r="DL829" s="4"/>
      <c r="DM829" s="4"/>
      <c r="DN829" s="4"/>
      <c r="DO829" s="4"/>
      <c r="DP829" s="4"/>
      <c r="DQ829" s="4"/>
      <c r="DR829" s="4">
        <v>100</v>
      </c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>
        <v>90</v>
      </c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>
        <v>123</v>
      </c>
      <c r="GD829" s="4">
        <v>114</v>
      </c>
      <c r="GE829" s="4">
        <v>106</v>
      </c>
      <c r="GF829" s="4">
        <v>96</v>
      </c>
      <c r="GG829" s="4">
        <v>116</v>
      </c>
      <c r="GH829" s="4">
        <v>196</v>
      </c>
      <c r="GI829" s="4">
        <v>179</v>
      </c>
      <c r="GJ829" s="4">
        <v>170</v>
      </c>
      <c r="GK829" s="4">
        <v>163</v>
      </c>
      <c r="GL829" s="4">
        <v>152</v>
      </c>
      <c r="GM829" s="4">
        <v>145</v>
      </c>
      <c r="GN829" s="4">
        <v>138</v>
      </c>
      <c r="GO829" s="4">
        <v>131</v>
      </c>
      <c r="GP829" s="4">
        <v>124</v>
      </c>
      <c r="GQ829" s="4">
        <v>117</v>
      </c>
      <c r="GR829" s="4">
        <v>199</v>
      </c>
      <c r="GS829" s="4">
        <v>191</v>
      </c>
      <c r="GT829" s="4">
        <v>183</v>
      </c>
      <c r="GU829" s="4">
        <v>175</v>
      </c>
      <c r="GV829" s="4">
        <v>173</v>
      </c>
      <c r="GW829" s="4">
        <v>166</v>
      </c>
      <c r="GX829" s="4">
        <v>159</v>
      </c>
      <c r="GY829" s="4">
        <v>152</v>
      </c>
      <c r="GZ829" s="4">
        <v>144</v>
      </c>
      <c r="HA829" s="4">
        <v>136</v>
      </c>
      <c r="HB829" s="4">
        <v>128</v>
      </c>
      <c r="HC829" s="19">
        <v>10.3</v>
      </c>
      <c r="HD829" s="19">
        <v>8.1</v>
      </c>
      <c r="HE829" s="19">
        <v>6.2</v>
      </c>
      <c r="HF829" s="19">
        <v>6</v>
      </c>
      <c r="HG829" s="19">
        <v>8.9</v>
      </c>
      <c r="HH829" s="19">
        <v>17.8</v>
      </c>
      <c r="HI829" s="19">
        <v>22.4</v>
      </c>
      <c r="HJ829" s="19">
        <v>21.3</v>
      </c>
      <c r="HK829" s="19">
        <v>20.4</v>
      </c>
      <c r="HL829" s="19">
        <v>21.7</v>
      </c>
      <c r="HM829" s="19">
        <v>20.7</v>
      </c>
      <c r="HN829" s="19">
        <v>19.7</v>
      </c>
      <c r="HO829" s="19">
        <v>16.4</v>
      </c>
      <c r="HP829" s="19">
        <v>15.5</v>
      </c>
      <c r="HQ829" s="19">
        <v>14.6</v>
      </c>
      <c r="HR829" s="19">
        <v>24.9</v>
      </c>
      <c r="HS829" s="19">
        <v>23.9</v>
      </c>
      <c r="HT829" s="19">
        <v>26.1</v>
      </c>
      <c r="HU829" s="19">
        <v>25</v>
      </c>
      <c r="HV829" s="19">
        <v>24.7</v>
      </c>
      <c r="HW829" s="19">
        <v>20.8</v>
      </c>
      <c r="HX829" s="19">
        <v>19.9</v>
      </c>
      <c r="HY829" s="19">
        <v>19</v>
      </c>
      <c r="HZ829" s="19">
        <v>18</v>
      </c>
      <c r="IA829" s="19">
        <v>17</v>
      </c>
      <c r="IB829" s="19">
        <v>16</v>
      </c>
    </row>
    <row r="830">
      <c r="A830" s="2" t="s">
        <v>4357</v>
      </c>
      <c r="B830" s="2" t="s">
        <v>279</v>
      </c>
      <c r="C830" s="2" t="s">
        <v>1411</v>
      </c>
      <c r="D830" s="2" t="s">
        <v>281</v>
      </c>
      <c r="E830" s="2" t="s">
        <v>282</v>
      </c>
      <c r="F830" s="2" t="s">
        <v>469</v>
      </c>
      <c r="G830" s="2" t="s">
        <v>469</v>
      </c>
      <c r="H830" s="2" t="s">
        <v>469</v>
      </c>
      <c r="I830" s="2" t="s">
        <v>4269</v>
      </c>
      <c r="J830" s="2" t="s">
        <v>336</v>
      </c>
      <c r="K830" s="2" t="s">
        <v>1706</v>
      </c>
      <c r="L830" s="3">
        <v>14.21</v>
      </c>
      <c r="M830" s="3">
        <v>14.92</v>
      </c>
      <c r="N830" s="3">
        <v>32.99</v>
      </c>
      <c r="O830" s="2" t="s">
        <v>230</v>
      </c>
      <c r="P830" s="2" t="s">
        <v>231</v>
      </c>
      <c r="Q830" s="2" t="s">
        <v>232</v>
      </c>
      <c r="R830" s="2" t="s">
        <v>233</v>
      </c>
      <c r="S830" s="2" t="s">
        <v>4346</v>
      </c>
      <c r="T830" s="2" t="s">
        <v>469</v>
      </c>
      <c r="U830" s="2" t="s">
        <v>233</v>
      </c>
      <c r="V830" s="2" t="s">
        <v>236</v>
      </c>
      <c r="W830" s="2" t="s">
        <v>237</v>
      </c>
      <c r="X830" s="2" t="s">
        <v>233</v>
      </c>
      <c r="Y830" s="2" t="s">
        <v>238</v>
      </c>
      <c r="Z830" s="4">
        <v>6</v>
      </c>
      <c r="AA830" s="4">
        <f>=ROUNDDOWN(0.135135135135135,0)</f>
      </c>
      <c r="AB830" s="5">
        <v>44.4</v>
      </c>
      <c r="AC830" s="2" t="s">
        <v>139</v>
      </c>
      <c r="AD830" s="4">
        <v>350</v>
      </c>
      <c r="AE830" s="4">
        <v>1050</v>
      </c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233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233</v>
      </c>
      <c r="AW830" s="8" t="s">
        <v>233</v>
      </c>
      <c r="AX830" s="4" t="s">
        <v>233</v>
      </c>
      <c r="AY830" s="8" t="s">
        <v>233</v>
      </c>
      <c r="AZ830" s="7" t="s">
        <v>233</v>
      </c>
      <c r="BA830" s="7" t="s">
        <v>233</v>
      </c>
      <c r="BB830" s="7" t="s">
        <v>233</v>
      </c>
      <c r="BC830" s="4" t="s">
        <v>233</v>
      </c>
      <c r="BD830" s="8" t="s">
        <v>233</v>
      </c>
      <c r="BE830" s="4" t="s">
        <v>233</v>
      </c>
      <c r="BF830" s="8" t="s">
        <v>233</v>
      </c>
      <c r="BG830" s="7" t="s">
        <v>233</v>
      </c>
      <c r="BH830" s="7" t="s">
        <v>233</v>
      </c>
      <c r="BI830" s="7"/>
      <c r="BJ830" s="4">
        <v>153</v>
      </c>
      <c r="BK830" s="8">
        <v>2153.94</v>
      </c>
      <c r="BL830" s="2" t="s">
        <v>4358</v>
      </c>
      <c r="BM830" s="7"/>
      <c r="BN830" s="7"/>
      <c r="BO830" s="4"/>
      <c r="BP830" s="8"/>
      <c r="BQ830" s="4"/>
      <c r="BR830" s="8"/>
      <c r="BS830" s="7"/>
      <c r="BT830" s="7"/>
      <c r="BU830" s="2" t="s">
        <v>4272</v>
      </c>
      <c r="BV830" s="2" t="s">
        <v>233</v>
      </c>
      <c r="BW830" s="2" t="s">
        <v>233</v>
      </c>
      <c r="BX830" s="2" t="s">
        <v>241</v>
      </c>
      <c r="BY830" s="2" t="s">
        <v>242</v>
      </c>
      <c r="BZ830" s="2" t="s">
        <v>230</v>
      </c>
      <c r="CA830" s="2" t="s">
        <v>243</v>
      </c>
      <c r="CB830" s="2" t="s">
        <v>4359</v>
      </c>
      <c r="CC830" s="2" t="s">
        <v>245</v>
      </c>
      <c r="CD830" s="2" t="s">
        <v>233</v>
      </c>
      <c r="CE830" s="4">
        <v>6</v>
      </c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>
        <v>350</v>
      </c>
      <c r="DB830" s="4"/>
      <c r="DC830" s="4"/>
      <c r="DD830" s="4"/>
      <c r="DE830" s="4"/>
      <c r="DF830" s="4"/>
      <c r="DG830" s="4"/>
      <c r="DH830" s="4"/>
      <c r="DI830" s="4">
        <v>230</v>
      </c>
      <c r="DJ830" s="4"/>
      <c r="DK830" s="4"/>
      <c r="DL830" s="4"/>
      <c r="DM830" s="4"/>
      <c r="DN830" s="4"/>
      <c r="DO830" s="4"/>
      <c r="DP830" s="4"/>
      <c r="DQ830" s="4"/>
      <c r="DR830" s="4">
        <v>320</v>
      </c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>
        <v>150</v>
      </c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>
        <v>41</v>
      </c>
      <c r="GD830" s="4"/>
      <c r="GE830" s="4">
        <v>350</v>
      </c>
      <c r="GF830" s="4">
        <v>297</v>
      </c>
      <c r="GG830" s="4">
        <v>413</v>
      </c>
      <c r="GH830" s="4">
        <v>614</v>
      </c>
      <c r="GI830" s="4">
        <v>517</v>
      </c>
      <c r="GJ830" s="4">
        <v>464</v>
      </c>
      <c r="GK830" s="4">
        <v>424</v>
      </c>
      <c r="GL830" s="4">
        <v>358</v>
      </c>
      <c r="GM830" s="4">
        <v>305</v>
      </c>
      <c r="GN830" s="4">
        <v>252</v>
      </c>
      <c r="GO830" s="4">
        <v>199</v>
      </c>
      <c r="GP830" s="4">
        <v>146</v>
      </c>
      <c r="GQ830" s="4">
        <v>93</v>
      </c>
      <c r="GR830" s="4">
        <v>190</v>
      </c>
      <c r="GS830" s="4">
        <v>137</v>
      </c>
      <c r="GT830" s="4">
        <v>84</v>
      </c>
      <c r="GU830" s="4">
        <v>31</v>
      </c>
      <c r="GV830" s="4">
        <v>640</v>
      </c>
      <c r="GW830" s="4">
        <v>596</v>
      </c>
      <c r="GX830" s="4">
        <v>552</v>
      </c>
      <c r="GY830" s="4">
        <v>508</v>
      </c>
      <c r="GZ830" s="4">
        <v>468</v>
      </c>
      <c r="HA830" s="4">
        <v>428</v>
      </c>
      <c r="HB830" s="4">
        <v>388</v>
      </c>
      <c r="HC830" s="19">
        <v>0.6</v>
      </c>
      <c r="HD830" s="20">
        <v>0</v>
      </c>
      <c r="HE830" s="19">
        <v>3.6</v>
      </c>
      <c r="HF830" s="19">
        <v>3.1</v>
      </c>
      <c r="HG830" s="19">
        <v>5.4</v>
      </c>
      <c r="HH830" s="19">
        <v>9.6</v>
      </c>
      <c r="HI830" s="19">
        <v>9.8</v>
      </c>
      <c r="HJ830" s="19">
        <v>8.8</v>
      </c>
      <c r="HK830" s="19">
        <v>7.6</v>
      </c>
      <c r="HL830" s="19">
        <v>6.8</v>
      </c>
      <c r="HM830" s="19">
        <v>5.8</v>
      </c>
      <c r="HN830" s="19">
        <v>4.8</v>
      </c>
      <c r="HO830" s="19">
        <v>3.8</v>
      </c>
      <c r="HP830" s="19">
        <v>2.8</v>
      </c>
      <c r="HQ830" s="19">
        <v>1.8</v>
      </c>
      <c r="HR830" s="19">
        <v>3.7</v>
      </c>
      <c r="HS830" s="19">
        <v>2.9</v>
      </c>
      <c r="HT830" s="19">
        <v>1.8</v>
      </c>
      <c r="HU830" s="19">
        <v>0.7</v>
      </c>
      <c r="HV830" s="19">
        <v>14.9</v>
      </c>
      <c r="HW830" s="19">
        <v>14.2</v>
      </c>
      <c r="HX830" s="19">
        <v>13.5</v>
      </c>
      <c r="HY830" s="19">
        <v>12.7</v>
      </c>
      <c r="HZ830" s="19">
        <v>11.7</v>
      </c>
      <c r="IA830" s="19">
        <v>10.4</v>
      </c>
      <c r="IB830" s="19">
        <v>9.2</v>
      </c>
    </row>
    <row r="831">
      <c r="A831" s="2" t="s">
        <v>4360</v>
      </c>
      <c r="B831" s="2" t="s">
        <v>279</v>
      </c>
      <c r="C831" s="2" t="s">
        <v>1411</v>
      </c>
      <c r="D831" s="2" t="s">
        <v>281</v>
      </c>
      <c r="E831" s="2" t="s">
        <v>282</v>
      </c>
      <c r="F831" s="2" t="s">
        <v>469</v>
      </c>
      <c r="G831" s="2" t="s">
        <v>469</v>
      </c>
      <c r="H831" s="2" t="s">
        <v>469</v>
      </c>
      <c r="I831" s="2" t="s">
        <v>4293</v>
      </c>
      <c r="J831" s="2" t="s">
        <v>336</v>
      </c>
      <c r="K831" s="2" t="s">
        <v>1706</v>
      </c>
      <c r="L831" s="3">
        <v>14.85</v>
      </c>
      <c r="M831" s="3">
        <v>15.59</v>
      </c>
      <c r="N831" s="3">
        <v>32.99</v>
      </c>
      <c r="O831" s="2" t="s">
        <v>230</v>
      </c>
      <c r="P831" s="2" t="s">
        <v>231</v>
      </c>
      <c r="Q831" s="2" t="s">
        <v>232</v>
      </c>
      <c r="R831" s="2" t="s">
        <v>233</v>
      </c>
      <c r="S831" s="2" t="s">
        <v>4346</v>
      </c>
      <c r="T831" s="2" t="s">
        <v>469</v>
      </c>
      <c r="U831" s="2" t="s">
        <v>665</v>
      </c>
      <c r="V831" s="2" t="s">
        <v>236</v>
      </c>
      <c r="W831" s="2" t="s">
        <v>620</v>
      </c>
      <c r="X831" s="2" t="s">
        <v>233</v>
      </c>
      <c r="Y831" s="2" t="s">
        <v>4176</v>
      </c>
      <c r="Z831" s="4">
        <v>27</v>
      </c>
      <c r="AA831" s="4">
        <f>=ROUNDDOWN(1.08,0)</f>
      </c>
      <c r="AB831" s="5">
        <v>25</v>
      </c>
      <c r="AC831" s="2" t="s">
        <v>147</v>
      </c>
      <c r="AD831" s="4">
        <v>160</v>
      </c>
      <c r="AE831" s="4">
        <v>880</v>
      </c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233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233</v>
      </c>
      <c r="AW831" s="8" t="s">
        <v>233</v>
      </c>
      <c r="AX831" s="4" t="s">
        <v>233</v>
      </c>
      <c r="AY831" s="8" t="s">
        <v>233</v>
      </c>
      <c r="AZ831" s="7" t="s">
        <v>233</v>
      </c>
      <c r="BA831" s="7" t="s">
        <v>233</v>
      </c>
      <c r="BB831" s="7" t="s">
        <v>233</v>
      </c>
      <c r="BC831" s="4" t="s">
        <v>233</v>
      </c>
      <c r="BD831" s="8" t="s">
        <v>233</v>
      </c>
      <c r="BE831" s="4" t="s">
        <v>233</v>
      </c>
      <c r="BF831" s="8" t="s">
        <v>233</v>
      </c>
      <c r="BG831" s="7" t="s">
        <v>233</v>
      </c>
      <c r="BH831" s="7" t="s">
        <v>233</v>
      </c>
      <c r="BI831" s="7"/>
      <c r="BJ831" s="4">
        <v>194</v>
      </c>
      <c r="BK831" s="8">
        <v>3035.51</v>
      </c>
      <c r="BL831" s="2" t="s">
        <v>4361</v>
      </c>
      <c r="BM831" s="7"/>
      <c r="BN831" s="7"/>
      <c r="BO831" s="4"/>
      <c r="BP831" s="8"/>
      <c r="BQ831" s="4"/>
      <c r="BR831" s="8"/>
      <c r="BS831" s="7"/>
      <c r="BT831" s="7"/>
      <c r="BU831" s="2" t="s">
        <v>4295</v>
      </c>
      <c r="BV831" s="2" t="s">
        <v>233</v>
      </c>
      <c r="BW831" s="2" t="s">
        <v>233</v>
      </c>
      <c r="BX831" s="2" t="s">
        <v>241</v>
      </c>
      <c r="BY831" s="2" t="s">
        <v>242</v>
      </c>
      <c r="BZ831" s="2" t="s">
        <v>230</v>
      </c>
      <c r="CA831" s="2" t="s">
        <v>4178</v>
      </c>
      <c r="CB831" s="2" t="s">
        <v>2590</v>
      </c>
      <c r="CC831" s="2" t="s">
        <v>245</v>
      </c>
      <c r="CD831" s="2" t="s">
        <v>233</v>
      </c>
      <c r="CE831" s="4">
        <v>27</v>
      </c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>
        <v>160</v>
      </c>
      <c r="DJ831" s="4"/>
      <c r="DK831" s="4"/>
      <c r="DL831" s="4"/>
      <c r="DM831" s="4"/>
      <c r="DN831" s="4"/>
      <c r="DO831" s="4"/>
      <c r="DP831" s="4"/>
      <c r="DQ831" s="4"/>
      <c r="DR831" s="4">
        <v>400</v>
      </c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>
        <v>320</v>
      </c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>
        <v>56</v>
      </c>
      <c r="GD831" s="4">
        <v>15</v>
      </c>
      <c r="GE831" s="4"/>
      <c r="GF831" s="4"/>
      <c r="GG831" s="4">
        <v>160</v>
      </c>
      <c r="GH831" s="4">
        <v>492</v>
      </c>
      <c r="GI831" s="4">
        <v>437</v>
      </c>
      <c r="GJ831" s="4">
        <v>407</v>
      </c>
      <c r="GK831" s="4">
        <v>384</v>
      </c>
      <c r="GL831" s="4">
        <v>346</v>
      </c>
      <c r="GM831" s="4">
        <v>316</v>
      </c>
      <c r="GN831" s="4">
        <v>286</v>
      </c>
      <c r="GO831" s="4">
        <v>256</v>
      </c>
      <c r="GP831" s="4">
        <v>226</v>
      </c>
      <c r="GQ831" s="4">
        <v>196</v>
      </c>
      <c r="GR831" s="4">
        <v>486</v>
      </c>
      <c r="GS831" s="4">
        <v>456</v>
      </c>
      <c r="GT831" s="4">
        <v>426</v>
      </c>
      <c r="GU831" s="4">
        <v>396</v>
      </c>
      <c r="GV831" s="4">
        <v>570</v>
      </c>
      <c r="GW831" s="4">
        <v>545</v>
      </c>
      <c r="GX831" s="4">
        <v>520</v>
      </c>
      <c r="GY831" s="4">
        <v>495</v>
      </c>
      <c r="GZ831" s="4">
        <v>472</v>
      </c>
      <c r="HA831" s="4">
        <v>449</v>
      </c>
      <c r="HB831" s="4">
        <v>426</v>
      </c>
      <c r="HC831" s="19">
        <v>1.4</v>
      </c>
      <c r="HD831" s="19">
        <v>0.3</v>
      </c>
      <c r="HE831" s="20">
        <v>0</v>
      </c>
      <c r="HF831" s="20">
        <v>0</v>
      </c>
      <c r="HG831" s="19">
        <v>3.6</v>
      </c>
      <c r="HH831" s="19">
        <v>13.7</v>
      </c>
      <c r="HI831" s="19">
        <v>14.6</v>
      </c>
      <c r="HJ831" s="19">
        <v>13.6</v>
      </c>
      <c r="HK831" s="19">
        <v>12</v>
      </c>
      <c r="HL831" s="19">
        <v>11.5</v>
      </c>
      <c r="HM831" s="19">
        <v>10.5</v>
      </c>
      <c r="HN831" s="19">
        <v>9.5</v>
      </c>
      <c r="HO831" s="19">
        <v>8.5</v>
      </c>
      <c r="HP831" s="19">
        <v>7.5</v>
      </c>
      <c r="HQ831" s="19">
        <v>6.5</v>
      </c>
      <c r="HR831" s="19">
        <v>16.8</v>
      </c>
      <c r="HS831" s="19">
        <v>16.3</v>
      </c>
      <c r="HT831" s="19">
        <v>16.4</v>
      </c>
      <c r="HU831" s="19">
        <v>15.8</v>
      </c>
      <c r="HV831" s="19">
        <v>23.8</v>
      </c>
      <c r="HW831" s="19">
        <v>22.7</v>
      </c>
      <c r="HX831" s="19">
        <v>21.7</v>
      </c>
      <c r="HY831" s="19">
        <v>21.5</v>
      </c>
      <c r="HZ831" s="19">
        <v>20.5</v>
      </c>
      <c r="IA831" s="19">
        <v>18.7</v>
      </c>
      <c r="IB831" s="19">
        <v>17.8</v>
      </c>
    </row>
    <row r="832">
      <c r="A832" s="2" t="s">
        <v>4362</v>
      </c>
      <c r="B832" s="2" t="s">
        <v>279</v>
      </c>
      <c r="C832" s="2" t="s">
        <v>1411</v>
      </c>
      <c r="D832" s="2" t="s">
        <v>281</v>
      </c>
      <c r="E832" s="2" t="s">
        <v>282</v>
      </c>
      <c r="F832" s="2" t="s">
        <v>469</v>
      </c>
      <c r="G832" s="2" t="s">
        <v>469</v>
      </c>
      <c r="H832" s="2" t="s">
        <v>469</v>
      </c>
      <c r="I832" s="2" t="s">
        <v>4269</v>
      </c>
      <c r="J832" s="2" t="s">
        <v>256</v>
      </c>
      <c r="K832" s="2" t="s">
        <v>1706</v>
      </c>
      <c r="L832" s="3">
        <v>16.75</v>
      </c>
      <c r="M832" s="3">
        <v>17.59</v>
      </c>
      <c r="N832" s="3">
        <v>37.99</v>
      </c>
      <c r="O832" s="2" t="s">
        <v>230</v>
      </c>
      <c r="P832" s="2" t="s">
        <v>231</v>
      </c>
      <c r="Q832" s="2" t="s">
        <v>232</v>
      </c>
      <c r="R832" s="2" t="s">
        <v>233</v>
      </c>
      <c r="S832" s="2" t="s">
        <v>4346</v>
      </c>
      <c r="T832" s="2" t="s">
        <v>469</v>
      </c>
      <c r="U832" s="2" t="s">
        <v>233</v>
      </c>
      <c r="V832" s="2" t="s">
        <v>236</v>
      </c>
      <c r="W832" s="2" t="s">
        <v>237</v>
      </c>
      <c r="X832" s="2" t="s">
        <v>233</v>
      </c>
      <c r="Y832" s="2" t="s">
        <v>238</v>
      </c>
      <c r="Z832" s="4">
        <v>222</v>
      </c>
      <c r="AA832" s="4">
        <f>=ROUNDDOWN(20.1818181818182,0)</f>
      </c>
      <c r="AB832" s="5">
        <v>11</v>
      </c>
      <c r="AC832" s="2" t="s">
        <v>139</v>
      </c>
      <c r="AD832" s="4">
        <v>60</v>
      </c>
      <c r="AE832" s="4">
        <v>140</v>
      </c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233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233</v>
      </c>
      <c r="AW832" s="8" t="s">
        <v>233</v>
      </c>
      <c r="AX832" s="4" t="s">
        <v>233</v>
      </c>
      <c r="AY832" s="8" t="s">
        <v>233</v>
      </c>
      <c r="AZ832" s="7" t="s">
        <v>233</v>
      </c>
      <c r="BA832" s="7" t="s">
        <v>233</v>
      </c>
      <c r="BB832" s="7"/>
      <c r="BC832" s="4" t="s">
        <v>233</v>
      </c>
      <c r="BD832" s="8" t="s">
        <v>233</v>
      </c>
      <c r="BE832" s="4" t="s">
        <v>233</v>
      </c>
      <c r="BF832" s="8" t="s">
        <v>233</v>
      </c>
      <c r="BG832" s="7" t="s">
        <v>233</v>
      </c>
      <c r="BH832" s="7" t="s">
        <v>233</v>
      </c>
      <c r="BI832" s="7"/>
      <c r="BJ832" s="4">
        <v>33</v>
      </c>
      <c r="BK832" s="8">
        <v>582.9</v>
      </c>
      <c r="BL832" s="2" t="s">
        <v>4358</v>
      </c>
      <c r="BM832" s="7"/>
      <c r="BN832" s="7"/>
      <c r="BO832" s="4"/>
      <c r="BP832" s="8"/>
      <c r="BQ832" s="4"/>
      <c r="BR832" s="8"/>
      <c r="BS832" s="7"/>
      <c r="BT832" s="7"/>
      <c r="BU832" s="2" t="s">
        <v>4272</v>
      </c>
      <c r="BV832" s="2" t="s">
        <v>233</v>
      </c>
      <c r="BW832" s="2" t="s">
        <v>233</v>
      </c>
      <c r="BX832" s="2" t="s">
        <v>241</v>
      </c>
      <c r="BY832" s="2" t="s">
        <v>242</v>
      </c>
      <c r="BZ832" s="2" t="s">
        <v>230</v>
      </c>
      <c r="CA832" s="2" t="s">
        <v>243</v>
      </c>
      <c r="CB832" s="2" t="s">
        <v>472</v>
      </c>
      <c r="CC832" s="2" t="s">
        <v>245</v>
      </c>
      <c r="CD832" s="2" t="s">
        <v>233</v>
      </c>
      <c r="CE832" s="4">
        <v>222</v>
      </c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>
        <v>60</v>
      </c>
      <c r="DB832" s="4"/>
      <c r="DC832" s="4"/>
      <c r="DD832" s="4"/>
      <c r="DE832" s="4"/>
      <c r="DF832" s="4"/>
      <c r="DG832" s="4"/>
      <c r="DH832" s="4"/>
      <c r="DI832" s="4">
        <v>80</v>
      </c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>
        <v>230</v>
      </c>
      <c r="GD832" s="4">
        <v>216</v>
      </c>
      <c r="GE832" s="4">
        <v>265</v>
      </c>
      <c r="GF832" s="4">
        <v>253</v>
      </c>
      <c r="GG832" s="4">
        <v>308</v>
      </c>
      <c r="GH832" s="4">
        <v>282</v>
      </c>
      <c r="GI832" s="4">
        <v>260</v>
      </c>
      <c r="GJ832" s="4">
        <v>248</v>
      </c>
      <c r="GK832" s="4">
        <v>239</v>
      </c>
      <c r="GL832" s="4">
        <v>225</v>
      </c>
      <c r="GM832" s="4">
        <v>214</v>
      </c>
      <c r="GN832" s="4">
        <v>203</v>
      </c>
      <c r="GO832" s="4">
        <v>192</v>
      </c>
      <c r="GP832" s="4">
        <v>181</v>
      </c>
      <c r="GQ832" s="4">
        <v>170</v>
      </c>
      <c r="GR832" s="4">
        <v>159</v>
      </c>
      <c r="GS832" s="4">
        <v>148</v>
      </c>
      <c r="GT832" s="4">
        <v>137</v>
      </c>
      <c r="GU832" s="4">
        <v>126</v>
      </c>
      <c r="GV832" s="4">
        <v>156</v>
      </c>
      <c r="GW832" s="4">
        <v>144</v>
      </c>
      <c r="GX832" s="4">
        <v>132</v>
      </c>
      <c r="GY832" s="4">
        <v>120</v>
      </c>
      <c r="GZ832" s="4">
        <v>110</v>
      </c>
      <c r="HA832" s="4">
        <v>100</v>
      </c>
      <c r="HB832" s="4">
        <v>90</v>
      </c>
      <c r="HC832" s="19">
        <v>14.4</v>
      </c>
      <c r="HD832" s="19">
        <v>12</v>
      </c>
      <c r="HE832" s="19">
        <v>12.6</v>
      </c>
      <c r="HF832" s="19">
        <v>12</v>
      </c>
      <c r="HG832" s="19">
        <v>18.1</v>
      </c>
      <c r="HH832" s="19">
        <v>20.1</v>
      </c>
      <c r="HI832" s="19">
        <v>21.7</v>
      </c>
      <c r="HJ832" s="19">
        <v>22.5</v>
      </c>
      <c r="HK832" s="19">
        <v>19.9</v>
      </c>
      <c r="HL832" s="19">
        <v>20.5</v>
      </c>
      <c r="HM832" s="19">
        <v>19.5</v>
      </c>
      <c r="HN832" s="19">
        <v>18.5</v>
      </c>
      <c r="HO832" s="19">
        <v>17.5</v>
      </c>
      <c r="HP832" s="19">
        <v>16.5</v>
      </c>
      <c r="HQ832" s="19">
        <v>15.5</v>
      </c>
      <c r="HR832" s="19">
        <v>14.5</v>
      </c>
      <c r="HS832" s="19">
        <v>12.3</v>
      </c>
      <c r="HT832" s="19">
        <v>11.4</v>
      </c>
      <c r="HU832" s="19">
        <v>10.5</v>
      </c>
      <c r="HV832" s="19">
        <v>13</v>
      </c>
      <c r="HW832" s="19">
        <v>13.1</v>
      </c>
      <c r="HX832" s="19">
        <v>13.2</v>
      </c>
      <c r="HY832" s="19">
        <v>12</v>
      </c>
      <c r="HZ832" s="19">
        <v>11</v>
      </c>
      <c r="IA832" s="19">
        <v>10</v>
      </c>
      <c r="IB832" s="19">
        <v>9</v>
      </c>
    </row>
    <row r="833">
      <c r="A833" s="2" t="s">
        <v>4363</v>
      </c>
      <c r="B833" s="2" t="s">
        <v>279</v>
      </c>
      <c r="C833" s="2" t="s">
        <v>1411</v>
      </c>
      <c r="D833" s="2" t="s">
        <v>281</v>
      </c>
      <c r="E833" s="2" t="s">
        <v>282</v>
      </c>
      <c r="F833" s="2" t="s">
        <v>469</v>
      </c>
      <c r="G833" s="2" t="s">
        <v>469</v>
      </c>
      <c r="H833" s="2" t="s">
        <v>469</v>
      </c>
      <c r="I833" s="2" t="s">
        <v>4269</v>
      </c>
      <c r="J833" s="2" t="s">
        <v>228</v>
      </c>
      <c r="K833" s="2" t="s">
        <v>651</v>
      </c>
      <c r="L833" s="3">
        <v>11.18</v>
      </c>
      <c r="M833" s="3">
        <v>11.74</v>
      </c>
      <c r="N833" s="3">
        <v>27.99</v>
      </c>
      <c r="O833" s="2" t="s">
        <v>230</v>
      </c>
      <c r="P833" s="2" t="s">
        <v>231</v>
      </c>
      <c r="Q833" s="2" t="s">
        <v>232</v>
      </c>
      <c r="R833" s="2" t="s">
        <v>233</v>
      </c>
      <c r="S833" s="2" t="s">
        <v>4364</v>
      </c>
      <c r="T833" s="2" t="s">
        <v>469</v>
      </c>
      <c r="U833" s="2" t="s">
        <v>233</v>
      </c>
      <c r="V833" s="2" t="s">
        <v>236</v>
      </c>
      <c r="W833" s="2" t="s">
        <v>237</v>
      </c>
      <c r="X833" s="2" t="s">
        <v>233</v>
      </c>
      <c r="Y833" s="2" t="s">
        <v>238</v>
      </c>
      <c r="Z833" s="4">
        <v>190</v>
      </c>
      <c r="AA833" s="4">
        <f>=ROUNDDOWN(25.3333333333333,0)</f>
      </c>
      <c r="AB833" s="5">
        <v>7.5</v>
      </c>
      <c r="AC833" s="2" t="s">
        <v>147</v>
      </c>
      <c r="AD833" s="4">
        <v>30</v>
      </c>
      <c r="AE833" s="4">
        <v>160</v>
      </c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233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233</v>
      </c>
      <c r="AW833" s="8" t="s">
        <v>233</v>
      </c>
      <c r="AX833" s="4" t="s">
        <v>233</v>
      </c>
      <c r="AY833" s="8" t="s">
        <v>233</v>
      </c>
      <c r="AZ833" s="7" t="s">
        <v>233</v>
      </c>
      <c r="BA833" s="7" t="s">
        <v>233</v>
      </c>
      <c r="BB833" s="7"/>
      <c r="BC833" s="4" t="s">
        <v>233</v>
      </c>
      <c r="BD833" s="8" t="s">
        <v>233</v>
      </c>
      <c r="BE833" s="4" t="s">
        <v>233</v>
      </c>
      <c r="BF833" s="8" t="s">
        <v>233</v>
      </c>
      <c r="BG833" s="7" t="s">
        <v>233</v>
      </c>
      <c r="BH833" s="7" t="s">
        <v>233</v>
      </c>
      <c r="BI833" s="7"/>
      <c r="BJ833" s="4">
        <v>31</v>
      </c>
      <c r="BK833" s="8">
        <v>355.38</v>
      </c>
      <c r="BL833" s="2" t="s">
        <v>4365</v>
      </c>
      <c r="BM833" s="7"/>
      <c r="BN833" s="7"/>
      <c r="BO833" s="4"/>
      <c r="BP833" s="8"/>
      <c r="BQ833" s="4"/>
      <c r="BR833" s="8"/>
      <c r="BS833" s="7"/>
      <c r="BT833" s="7"/>
      <c r="BU833" s="2" t="s">
        <v>4272</v>
      </c>
      <c r="BV833" s="2" t="s">
        <v>233</v>
      </c>
      <c r="BW833" s="2" t="s">
        <v>233</v>
      </c>
      <c r="BX833" s="2" t="s">
        <v>241</v>
      </c>
      <c r="BY833" s="2" t="s">
        <v>242</v>
      </c>
      <c r="BZ833" s="2" t="s">
        <v>230</v>
      </c>
      <c r="CA833" s="2" t="s">
        <v>4219</v>
      </c>
      <c r="CB833" s="2" t="s">
        <v>425</v>
      </c>
      <c r="CC833" s="2" t="s">
        <v>245</v>
      </c>
      <c r="CD833" s="2" t="s">
        <v>233</v>
      </c>
      <c r="CE833" s="4">
        <v>190</v>
      </c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>
        <v>30</v>
      </c>
      <c r="DJ833" s="4"/>
      <c r="DK833" s="4"/>
      <c r="DL833" s="4"/>
      <c r="DM833" s="4"/>
      <c r="DN833" s="4"/>
      <c r="DO833" s="4"/>
      <c r="DP833" s="4"/>
      <c r="DQ833" s="4"/>
      <c r="DR833" s="4">
        <v>60</v>
      </c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>
        <v>70</v>
      </c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>
        <v>190</v>
      </c>
      <c r="GD833" s="4">
        <v>171</v>
      </c>
      <c r="GE833" s="4">
        <v>162</v>
      </c>
      <c r="GF833" s="4">
        <v>153</v>
      </c>
      <c r="GG833" s="4">
        <v>165</v>
      </c>
      <c r="GH833" s="4">
        <v>206</v>
      </c>
      <c r="GI833" s="4">
        <v>190</v>
      </c>
      <c r="GJ833" s="4">
        <v>181</v>
      </c>
      <c r="GK833" s="4">
        <v>174</v>
      </c>
      <c r="GL833" s="4">
        <v>163</v>
      </c>
      <c r="GM833" s="4">
        <v>156</v>
      </c>
      <c r="GN833" s="4">
        <v>149</v>
      </c>
      <c r="GO833" s="4">
        <v>142</v>
      </c>
      <c r="GP833" s="4">
        <v>135</v>
      </c>
      <c r="GQ833" s="4">
        <v>128</v>
      </c>
      <c r="GR833" s="4">
        <v>192</v>
      </c>
      <c r="GS833" s="4">
        <v>185</v>
      </c>
      <c r="GT833" s="4">
        <v>178</v>
      </c>
      <c r="GU833" s="4">
        <v>171</v>
      </c>
      <c r="GV833" s="4">
        <v>229</v>
      </c>
      <c r="GW833" s="4">
        <v>220</v>
      </c>
      <c r="GX833" s="4">
        <v>212</v>
      </c>
      <c r="GY833" s="4">
        <v>204</v>
      </c>
      <c r="GZ833" s="4">
        <v>192</v>
      </c>
      <c r="HA833" s="4">
        <v>180</v>
      </c>
      <c r="HB833" s="4">
        <v>168</v>
      </c>
      <c r="HC833" s="19">
        <v>13.6</v>
      </c>
      <c r="HD833" s="19">
        <v>12.2</v>
      </c>
      <c r="HE833" s="19">
        <v>10.1</v>
      </c>
      <c r="HF833" s="19">
        <v>9.6</v>
      </c>
      <c r="HG833" s="19">
        <v>12.7</v>
      </c>
      <c r="HH833" s="19">
        <v>18.7</v>
      </c>
      <c r="HI833" s="19">
        <v>23.8</v>
      </c>
      <c r="HJ833" s="19">
        <v>22.6</v>
      </c>
      <c r="HK833" s="19">
        <v>21.8</v>
      </c>
      <c r="HL833" s="19">
        <v>23.3</v>
      </c>
      <c r="HM833" s="19">
        <v>22.3</v>
      </c>
      <c r="HN833" s="19">
        <v>21.3</v>
      </c>
      <c r="HO833" s="19">
        <v>20.3</v>
      </c>
      <c r="HP833" s="19">
        <v>19.3</v>
      </c>
      <c r="HQ833" s="19">
        <v>18.3</v>
      </c>
      <c r="HR833" s="19">
        <v>24</v>
      </c>
      <c r="HS833" s="19">
        <v>23.1</v>
      </c>
      <c r="HT833" s="19">
        <v>22.3</v>
      </c>
      <c r="HU833" s="19">
        <v>21.4</v>
      </c>
      <c r="HV833" s="19">
        <v>25.4</v>
      </c>
      <c r="HW833" s="19">
        <v>22</v>
      </c>
      <c r="HX833" s="19">
        <v>19.3</v>
      </c>
      <c r="HY833" s="19">
        <v>17</v>
      </c>
      <c r="HZ833" s="19">
        <v>16</v>
      </c>
      <c r="IA833" s="19">
        <v>16.4</v>
      </c>
      <c r="IB833" s="19">
        <v>16.8</v>
      </c>
    </row>
    <row r="834">
      <c r="A834" s="2" t="s">
        <v>4366</v>
      </c>
      <c r="B834" s="2" t="s">
        <v>279</v>
      </c>
      <c r="C834" s="2" t="s">
        <v>1411</v>
      </c>
      <c r="D834" s="2" t="s">
        <v>281</v>
      </c>
      <c r="E834" s="2" t="s">
        <v>282</v>
      </c>
      <c r="F834" s="2" t="s">
        <v>469</v>
      </c>
      <c r="G834" s="2" t="s">
        <v>469</v>
      </c>
      <c r="H834" s="2" t="s">
        <v>469</v>
      </c>
      <c r="I834" s="2" t="s">
        <v>4269</v>
      </c>
      <c r="J834" s="2" t="s">
        <v>247</v>
      </c>
      <c r="K834" s="2" t="s">
        <v>651</v>
      </c>
      <c r="L834" s="3">
        <v>11.18</v>
      </c>
      <c r="M834" s="3">
        <v>11.74</v>
      </c>
      <c r="N834" s="3">
        <v>27.99</v>
      </c>
      <c r="O834" s="2" t="s">
        <v>230</v>
      </c>
      <c r="P834" s="2" t="s">
        <v>231</v>
      </c>
      <c r="Q834" s="2" t="s">
        <v>232</v>
      </c>
      <c r="R834" s="2" t="s">
        <v>233</v>
      </c>
      <c r="S834" s="2" t="s">
        <v>4364</v>
      </c>
      <c r="T834" s="2" t="s">
        <v>469</v>
      </c>
      <c r="U834" s="2" t="s">
        <v>233</v>
      </c>
      <c r="V834" s="2" t="s">
        <v>236</v>
      </c>
      <c r="W834" s="2" t="s">
        <v>237</v>
      </c>
      <c r="X834" s="2" t="s">
        <v>233</v>
      </c>
      <c r="Y834" s="2" t="s">
        <v>238</v>
      </c>
      <c r="Z834" s="4">
        <v>388</v>
      </c>
      <c r="AA834" s="4">
        <f>=ROUNDDOWN(97,0)</f>
      </c>
      <c r="AB834" s="5">
        <v>4</v>
      </c>
      <c r="AC834" s="2" t="s">
        <v>233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233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233</v>
      </c>
      <c r="AW834" s="8" t="s">
        <v>233</v>
      </c>
      <c r="AX834" s="4" t="s">
        <v>233</v>
      </c>
      <c r="AY834" s="8" t="s">
        <v>233</v>
      </c>
      <c r="AZ834" s="7" t="s">
        <v>233</v>
      </c>
      <c r="BA834" s="7" t="s">
        <v>233</v>
      </c>
      <c r="BB834" s="7"/>
      <c r="BC834" s="4" t="s">
        <v>233</v>
      </c>
      <c r="BD834" s="8" t="s">
        <v>233</v>
      </c>
      <c r="BE834" s="4" t="s">
        <v>233</v>
      </c>
      <c r="BF834" s="8" t="s">
        <v>233</v>
      </c>
      <c r="BG834" s="7" t="s">
        <v>233</v>
      </c>
      <c r="BH834" s="7" t="s">
        <v>233</v>
      </c>
      <c r="BI834" s="7"/>
      <c r="BJ834" s="4">
        <v>20</v>
      </c>
      <c r="BK834" s="8">
        <v>237.16</v>
      </c>
      <c r="BL834" s="2" t="s">
        <v>4367</v>
      </c>
      <c r="BM834" s="7"/>
      <c r="BN834" s="7"/>
      <c r="BO834" s="4"/>
      <c r="BP834" s="8"/>
      <c r="BQ834" s="4"/>
      <c r="BR834" s="8"/>
      <c r="BS834" s="7"/>
      <c r="BT834" s="7"/>
      <c r="BU834" s="2" t="s">
        <v>4272</v>
      </c>
      <c r="BV834" s="2" t="s">
        <v>233</v>
      </c>
      <c r="BW834" s="2" t="s">
        <v>233</v>
      </c>
      <c r="BX834" s="2" t="s">
        <v>241</v>
      </c>
      <c r="BY834" s="2" t="s">
        <v>242</v>
      </c>
      <c r="BZ834" s="2" t="s">
        <v>230</v>
      </c>
      <c r="CA834" s="2" t="s">
        <v>4219</v>
      </c>
      <c r="CB834" s="2" t="s">
        <v>4368</v>
      </c>
      <c r="CC834" s="2" t="s">
        <v>245</v>
      </c>
      <c r="CD834" s="2" t="s">
        <v>233</v>
      </c>
      <c r="CE834" s="4">
        <v>388</v>
      </c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>
        <v>390</v>
      </c>
      <c r="GD834" s="4">
        <v>375</v>
      </c>
      <c r="GE834" s="4">
        <v>369</v>
      </c>
      <c r="GF834" s="4">
        <v>363</v>
      </c>
      <c r="GG834" s="4">
        <v>353</v>
      </c>
      <c r="GH834" s="4">
        <v>340</v>
      </c>
      <c r="GI834" s="4">
        <v>329</v>
      </c>
      <c r="GJ834" s="4">
        <v>323</v>
      </c>
      <c r="GK834" s="4">
        <v>318</v>
      </c>
      <c r="GL834" s="4">
        <v>310</v>
      </c>
      <c r="GM834" s="4">
        <v>306</v>
      </c>
      <c r="GN834" s="4">
        <v>302</v>
      </c>
      <c r="GO834" s="4">
        <v>298</v>
      </c>
      <c r="GP834" s="4">
        <v>294</v>
      </c>
      <c r="GQ834" s="4">
        <v>290</v>
      </c>
      <c r="GR834" s="4">
        <v>287</v>
      </c>
      <c r="GS834" s="4">
        <v>284</v>
      </c>
      <c r="GT834" s="4">
        <v>281</v>
      </c>
      <c r="GU834" s="4">
        <v>278</v>
      </c>
      <c r="GV834" s="4">
        <v>365</v>
      </c>
      <c r="GW834" s="4">
        <v>361</v>
      </c>
      <c r="GX834" s="4">
        <v>356</v>
      </c>
      <c r="GY834" s="4">
        <v>351</v>
      </c>
      <c r="GZ834" s="4">
        <v>346</v>
      </c>
      <c r="HA834" s="4">
        <v>341</v>
      </c>
      <c r="HB834" s="4">
        <v>334</v>
      </c>
      <c r="HC834" s="19">
        <v>43.3</v>
      </c>
      <c r="HD834" s="19">
        <v>41.7</v>
      </c>
      <c r="HE834" s="19">
        <v>36.9</v>
      </c>
      <c r="HF834" s="19">
        <v>36.3</v>
      </c>
      <c r="HG834" s="19">
        <v>39.2</v>
      </c>
      <c r="HH834" s="19">
        <v>42.5</v>
      </c>
      <c r="HI834" s="19">
        <v>54.8</v>
      </c>
      <c r="HJ834" s="19">
        <v>64.6</v>
      </c>
      <c r="HK834" s="19">
        <v>63.6</v>
      </c>
      <c r="HL834" s="19">
        <v>77.5</v>
      </c>
      <c r="HM834" s="19">
        <v>76.5</v>
      </c>
      <c r="HN834" s="19">
        <v>75.5</v>
      </c>
      <c r="HO834" s="19">
        <v>74.5</v>
      </c>
      <c r="HP834" s="19">
        <v>98</v>
      </c>
      <c r="HQ834" s="19">
        <v>96.7</v>
      </c>
      <c r="HR834" s="19">
        <v>95.7</v>
      </c>
      <c r="HS834" s="19">
        <v>71</v>
      </c>
      <c r="HT834" s="19">
        <v>70.3</v>
      </c>
      <c r="HU834" s="19">
        <v>69.5</v>
      </c>
      <c r="HV834" s="19">
        <v>73</v>
      </c>
      <c r="HW834" s="19">
        <v>72.2</v>
      </c>
      <c r="HX834" s="19">
        <v>59.3</v>
      </c>
      <c r="HY834" s="19">
        <v>58.5</v>
      </c>
      <c r="HZ834" s="19">
        <v>57.7</v>
      </c>
      <c r="IA834" s="19">
        <v>42.6</v>
      </c>
      <c r="IB834" s="19">
        <v>37.1</v>
      </c>
    </row>
    <row r="835">
      <c r="A835" s="2" t="s">
        <v>4369</v>
      </c>
      <c r="B835" s="2" t="s">
        <v>279</v>
      </c>
      <c r="C835" s="2" t="s">
        <v>1411</v>
      </c>
      <c r="D835" s="2" t="s">
        <v>281</v>
      </c>
      <c r="E835" s="2" t="s">
        <v>282</v>
      </c>
      <c r="F835" s="2" t="s">
        <v>469</v>
      </c>
      <c r="G835" s="2" t="s">
        <v>469</v>
      </c>
      <c r="H835" s="2" t="s">
        <v>469</v>
      </c>
      <c r="I835" s="2" t="s">
        <v>4269</v>
      </c>
      <c r="J835" s="2" t="s">
        <v>336</v>
      </c>
      <c r="K835" s="2" t="s">
        <v>651</v>
      </c>
      <c r="L835" s="3">
        <v>14.21</v>
      </c>
      <c r="M835" s="3">
        <v>14.92</v>
      </c>
      <c r="N835" s="3">
        <v>32.99</v>
      </c>
      <c r="O835" s="2" t="s">
        <v>230</v>
      </c>
      <c r="P835" s="2" t="s">
        <v>231</v>
      </c>
      <c r="Q835" s="2" t="s">
        <v>232</v>
      </c>
      <c r="R835" s="2" t="s">
        <v>233</v>
      </c>
      <c r="S835" s="2" t="s">
        <v>4364</v>
      </c>
      <c r="T835" s="2" t="s">
        <v>469</v>
      </c>
      <c r="U835" s="2" t="s">
        <v>233</v>
      </c>
      <c r="V835" s="2" t="s">
        <v>236</v>
      </c>
      <c r="W835" s="2" t="s">
        <v>237</v>
      </c>
      <c r="X835" s="2" t="s">
        <v>233</v>
      </c>
      <c r="Y835" s="2" t="s">
        <v>238</v>
      </c>
      <c r="Z835" s="4">
        <v>448</v>
      </c>
      <c r="AA835" s="4">
        <f>=ROUNDDOWN(12.1081081081081,0)</f>
      </c>
      <c r="AB835" s="5">
        <v>37</v>
      </c>
      <c r="AC835" s="2" t="s">
        <v>139</v>
      </c>
      <c r="AD835" s="4">
        <v>150</v>
      </c>
      <c r="AE835" s="4">
        <v>1430</v>
      </c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233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233</v>
      </c>
      <c r="AW835" s="8" t="s">
        <v>233</v>
      </c>
      <c r="AX835" s="4" t="s">
        <v>233</v>
      </c>
      <c r="AY835" s="8" t="s">
        <v>233</v>
      </c>
      <c r="AZ835" s="7" t="s">
        <v>233</v>
      </c>
      <c r="BA835" s="7" t="s">
        <v>233</v>
      </c>
      <c r="BB835" s="7"/>
      <c r="BC835" s="4" t="s">
        <v>233</v>
      </c>
      <c r="BD835" s="8" t="s">
        <v>233</v>
      </c>
      <c r="BE835" s="4" t="s">
        <v>233</v>
      </c>
      <c r="BF835" s="8" t="s">
        <v>233</v>
      </c>
      <c r="BG835" s="7" t="s">
        <v>233</v>
      </c>
      <c r="BH835" s="7" t="s">
        <v>233</v>
      </c>
      <c r="BI835" s="7"/>
      <c r="BJ835" s="4">
        <v>208</v>
      </c>
      <c r="BK835" s="8">
        <v>2919.19</v>
      </c>
      <c r="BL835" s="2" t="s">
        <v>4370</v>
      </c>
      <c r="BM835" s="7"/>
      <c r="BN835" s="7"/>
      <c r="BO835" s="4"/>
      <c r="BP835" s="8"/>
      <c r="BQ835" s="4"/>
      <c r="BR835" s="8"/>
      <c r="BS835" s="7"/>
      <c r="BT835" s="7"/>
      <c r="BU835" s="2" t="s">
        <v>4272</v>
      </c>
      <c r="BV835" s="2" t="s">
        <v>233</v>
      </c>
      <c r="BW835" s="2" t="s">
        <v>233</v>
      </c>
      <c r="BX835" s="2" t="s">
        <v>241</v>
      </c>
      <c r="BY835" s="2" t="s">
        <v>242</v>
      </c>
      <c r="BZ835" s="2" t="s">
        <v>230</v>
      </c>
      <c r="CA835" s="2" t="s">
        <v>4219</v>
      </c>
      <c r="CB835" s="2" t="s">
        <v>334</v>
      </c>
      <c r="CC835" s="2" t="s">
        <v>245</v>
      </c>
      <c r="CD835" s="2" t="s">
        <v>233</v>
      </c>
      <c r="CE835" s="4">
        <v>448</v>
      </c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>
        <v>150</v>
      </c>
      <c r="DB835" s="4"/>
      <c r="DC835" s="4"/>
      <c r="DD835" s="4"/>
      <c r="DE835" s="4"/>
      <c r="DF835" s="4"/>
      <c r="DG835" s="4"/>
      <c r="DH835" s="4"/>
      <c r="DI835" s="4">
        <v>230</v>
      </c>
      <c r="DJ835" s="4"/>
      <c r="DK835" s="4"/>
      <c r="DL835" s="4"/>
      <c r="DM835" s="4"/>
      <c r="DN835" s="4"/>
      <c r="DO835" s="4"/>
      <c r="DP835" s="4"/>
      <c r="DQ835" s="4"/>
      <c r="DR835" s="4">
        <v>520</v>
      </c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>
        <v>530</v>
      </c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>
        <v>490</v>
      </c>
      <c r="GD835" s="4">
        <v>423</v>
      </c>
      <c r="GE835" s="4">
        <v>531</v>
      </c>
      <c r="GF835" s="4">
        <v>487</v>
      </c>
      <c r="GG835" s="4">
        <v>622</v>
      </c>
      <c r="GH835" s="4">
        <v>1044</v>
      </c>
      <c r="GI835" s="4">
        <v>964</v>
      </c>
      <c r="GJ835" s="4">
        <v>920</v>
      </c>
      <c r="GK835" s="4">
        <v>887</v>
      </c>
      <c r="GL835" s="4">
        <v>832</v>
      </c>
      <c r="GM835" s="4">
        <v>788</v>
      </c>
      <c r="GN835" s="4">
        <v>744</v>
      </c>
      <c r="GO835" s="4">
        <v>700</v>
      </c>
      <c r="GP835" s="4">
        <v>656</v>
      </c>
      <c r="GQ835" s="4">
        <v>612</v>
      </c>
      <c r="GR835" s="4">
        <v>1098</v>
      </c>
      <c r="GS835" s="4">
        <v>1054</v>
      </c>
      <c r="GT835" s="4">
        <v>1010</v>
      </c>
      <c r="GU835" s="4">
        <v>966</v>
      </c>
      <c r="GV835" s="4">
        <v>1000</v>
      </c>
      <c r="GW835" s="4">
        <v>963</v>
      </c>
      <c r="GX835" s="4">
        <v>926</v>
      </c>
      <c r="GY835" s="4">
        <v>889</v>
      </c>
      <c r="GZ835" s="4">
        <v>856</v>
      </c>
      <c r="HA835" s="4">
        <v>823</v>
      </c>
      <c r="HB835" s="4">
        <v>790</v>
      </c>
      <c r="HC835" s="19">
        <v>7.9</v>
      </c>
      <c r="HD835" s="19">
        <v>6</v>
      </c>
      <c r="HE835" s="19">
        <v>6.7</v>
      </c>
      <c r="HF835" s="19">
        <v>6.2</v>
      </c>
      <c r="HG835" s="19">
        <v>9.7</v>
      </c>
      <c r="HH835" s="19">
        <v>19.7</v>
      </c>
      <c r="HI835" s="19">
        <v>21.9</v>
      </c>
      <c r="HJ835" s="19">
        <v>20.9</v>
      </c>
      <c r="HK835" s="19">
        <v>18.9</v>
      </c>
      <c r="HL835" s="19">
        <v>18.9</v>
      </c>
      <c r="HM835" s="19">
        <v>17.9</v>
      </c>
      <c r="HN835" s="19">
        <v>16.9</v>
      </c>
      <c r="HO835" s="19">
        <v>15.9</v>
      </c>
      <c r="HP835" s="19">
        <v>14.9</v>
      </c>
      <c r="HQ835" s="19">
        <v>13.9</v>
      </c>
      <c r="HR835" s="19">
        <v>26.1</v>
      </c>
      <c r="HS835" s="19">
        <v>26.4</v>
      </c>
      <c r="HT835" s="19">
        <v>25.9</v>
      </c>
      <c r="HU835" s="19">
        <v>26.1</v>
      </c>
      <c r="HV835" s="19">
        <v>27.8</v>
      </c>
      <c r="HW835" s="19">
        <v>27.5</v>
      </c>
      <c r="HX835" s="19">
        <v>27.2</v>
      </c>
      <c r="HY835" s="19">
        <v>26.9</v>
      </c>
      <c r="HZ835" s="19">
        <v>25.9</v>
      </c>
      <c r="IA835" s="19">
        <v>24.2</v>
      </c>
      <c r="IB835" s="19">
        <v>22.6</v>
      </c>
    </row>
    <row r="836">
      <c r="A836" s="2" t="s">
        <v>4371</v>
      </c>
      <c r="B836" s="2" t="s">
        <v>279</v>
      </c>
      <c r="C836" s="2" t="s">
        <v>1411</v>
      </c>
      <c r="D836" s="2" t="s">
        <v>281</v>
      </c>
      <c r="E836" s="2" t="s">
        <v>282</v>
      </c>
      <c r="F836" s="2" t="s">
        <v>469</v>
      </c>
      <c r="G836" s="2" t="s">
        <v>469</v>
      </c>
      <c r="H836" s="2" t="s">
        <v>469</v>
      </c>
      <c r="I836" s="2" t="s">
        <v>4269</v>
      </c>
      <c r="J836" s="2" t="s">
        <v>256</v>
      </c>
      <c r="K836" s="2" t="s">
        <v>651</v>
      </c>
      <c r="L836" s="3">
        <v>16.75</v>
      </c>
      <c r="M836" s="3">
        <v>17.59</v>
      </c>
      <c r="N836" s="3">
        <v>37.99</v>
      </c>
      <c r="O836" s="2" t="s">
        <v>230</v>
      </c>
      <c r="P836" s="2" t="s">
        <v>231</v>
      </c>
      <c r="Q836" s="2" t="s">
        <v>232</v>
      </c>
      <c r="R836" s="2" t="s">
        <v>233</v>
      </c>
      <c r="S836" s="2" t="s">
        <v>4364</v>
      </c>
      <c r="T836" s="2" t="s">
        <v>469</v>
      </c>
      <c r="U836" s="2" t="s">
        <v>233</v>
      </c>
      <c r="V836" s="2" t="s">
        <v>236</v>
      </c>
      <c r="W836" s="2" t="s">
        <v>237</v>
      </c>
      <c r="X836" s="2" t="s">
        <v>233</v>
      </c>
      <c r="Y836" s="2" t="s">
        <v>238</v>
      </c>
      <c r="Z836" s="4">
        <v>192</v>
      </c>
      <c r="AA836" s="4">
        <f>=ROUNDDOWN(21.3333333333333,0)</f>
      </c>
      <c r="AB836" s="5">
        <v>9</v>
      </c>
      <c r="AC836" s="2" t="s">
        <v>147</v>
      </c>
      <c r="AD836" s="4">
        <v>30</v>
      </c>
      <c r="AE836" s="4">
        <v>30</v>
      </c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233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233</v>
      </c>
      <c r="AW836" s="8" t="s">
        <v>233</v>
      </c>
      <c r="AX836" s="4" t="s">
        <v>233</v>
      </c>
      <c r="AY836" s="8" t="s">
        <v>233</v>
      </c>
      <c r="AZ836" s="7" t="s">
        <v>233</v>
      </c>
      <c r="BA836" s="7" t="s">
        <v>233</v>
      </c>
      <c r="BB836" s="7"/>
      <c r="BC836" s="4" t="s">
        <v>233</v>
      </c>
      <c r="BD836" s="8" t="s">
        <v>233</v>
      </c>
      <c r="BE836" s="4" t="s">
        <v>233</v>
      </c>
      <c r="BF836" s="8" t="s">
        <v>233</v>
      </c>
      <c r="BG836" s="7" t="s">
        <v>233</v>
      </c>
      <c r="BH836" s="7" t="s">
        <v>233</v>
      </c>
      <c r="BI836" s="7"/>
      <c r="BJ836" s="4">
        <v>52</v>
      </c>
      <c r="BK836" s="8">
        <v>955.47</v>
      </c>
      <c r="BL836" s="2" t="s">
        <v>4372</v>
      </c>
      <c r="BM836" s="7"/>
      <c r="BN836" s="7"/>
      <c r="BO836" s="4"/>
      <c r="BP836" s="8"/>
      <c r="BQ836" s="4"/>
      <c r="BR836" s="8"/>
      <c r="BS836" s="7"/>
      <c r="BT836" s="7"/>
      <c r="BU836" s="2" t="s">
        <v>4272</v>
      </c>
      <c r="BV836" s="2" t="s">
        <v>233</v>
      </c>
      <c r="BW836" s="2" t="s">
        <v>233</v>
      </c>
      <c r="BX836" s="2" t="s">
        <v>241</v>
      </c>
      <c r="BY836" s="2" t="s">
        <v>242</v>
      </c>
      <c r="BZ836" s="2" t="s">
        <v>230</v>
      </c>
      <c r="CA836" s="2" t="s">
        <v>4219</v>
      </c>
      <c r="CB836" s="2" t="s">
        <v>4373</v>
      </c>
      <c r="CC836" s="2" t="s">
        <v>245</v>
      </c>
      <c r="CD836" s="2" t="s">
        <v>233</v>
      </c>
      <c r="CE836" s="4">
        <v>192</v>
      </c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>
        <v>30</v>
      </c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>
        <v>195</v>
      </c>
      <c r="GD836" s="4">
        <v>189</v>
      </c>
      <c r="GE836" s="4">
        <v>182</v>
      </c>
      <c r="GF836" s="4">
        <v>174</v>
      </c>
      <c r="GG836" s="4">
        <v>188</v>
      </c>
      <c r="GH836" s="4">
        <v>171</v>
      </c>
      <c r="GI836" s="4">
        <v>157</v>
      </c>
      <c r="GJ836" s="4">
        <v>149</v>
      </c>
      <c r="GK836" s="4">
        <v>143</v>
      </c>
      <c r="GL836" s="4">
        <v>134</v>
      </c>
      <c r="GM836" s="4">
        <v>127</v>
      </c>
      <c r="GN836" s="4">
        <v>120</v>
      </c>
      <c r="GO836" s="4">
        <v>113</v>
      </c>
      <c r="GP836" s="4">
        <v>106</v>
      </c>
      <c r="GQ836" s="4">
        <v>98</v>
      </c>
      <c r="GR836" s="4">
        <v>89</v>
      </c>
      <c r="GS836" s="4">
        <v>80</v>
      </c>
      <c r="GT836" s="4">
        <v>71</v>
      </c>
      <c r="GU836" s="4">
        <v>62</v>
      </c>
      <c r="GV836" s="4">
        <v>234</v>
      </c>
      <c r="GW836" s="4">
        <v>224</v>
      </c>
      <c r="GX836" s="4">
        <v>214</v>
      </c>
      <c r="GY836" s="4">
        <v>204</v>
      </c>
      <c r="GZ836" s="4">
        <v>196</v>
      </c>
      <c r="HA836" s="4">
        <v>188</v>
      </c>
      <c r="HB836" s="4">
        <v>180</v>
      </c>
      <c r="HC836" s="19">
        <v>21.7</v>
      </c>
      <c r="HD836" s="19">
        <v>15.8</v>
      </c>
      <c r="HE836" s="19">
        <v>13</v>
      </c>
      <c r="HF836" s="19">
        <v>12.4</v>
      </c>
      <c r="HG836" s="19">
        <v>17.1</v>
      </c>
      <c r="HH836" s="19">
        <v>19</v>
      </c>
      <c r="HI836" s="19">
        <v>19.6</v>
      </c>
      <c r="HJ836" s="19">
        <v>21.3</v>
      </c>
      <c r="HK836" s="19">
        <v>17.9</v>
      </c>
      <c r="HL836" s="19">
        <v>19.1</v>
      </c>
      <c r="HM836" s="19">
        <v>18.1</v>
      </c>
      <c r="HN836" s="19">
        <v>15</v>
      </c>
      <c r="HO836" s="19">
        <v>14.1</v>
      </c>
      <c r="HP836" s="19">
        <v>11.8</v>
      </c>
      <c r="HQ836" s="19">
        <v>10.9</v>
      </c>
      <c r="HR836" s="19">
        <v>9.9</v>
      </c>
      <c r="HS836" s="19">
        <v>8</v>
      </c>
      <c r="HT836" s="19">
        <v>7.1</v>
      </c>
      <c r="HU836" s="19">
        <v>6.2</v>
      </c>
      <c r="HV836" s="19">
        <v>23.4</v>
      </c>
      <c r="HW836" s="19">
        <v>24.9</v>
      </c>
      <c r="HX836" s="19">
        <v>26.8</v>
      </c>
      <c r="HY836" s="19">
        <v>25.5</v>
      </c>
      <c r="HZ836" s="19">
        <v>24.5</v>
      </c>
      <c r="IA836" s="19">
        <v>23.5</v>
      </c>
      <c r="IB836" s="19">
        <v>22.5</v>
      </c>
    </row>
    <row r="837">
      <c r="A837" s="2" t="s">
        <v>4374</v>
      </c>
      <c r="B837" s="2" t="s">
        <v>279</v>
      </c>
      <c r="C837" s="2" t="s">
        <v>1411</v>
      </c>
      <c r="D837" s="2" t="s">
        <v>281</v>
      </c>
      <c r="E837" s="2" t="s">
        <v>282</v>
      </c>
      <c r="F837" s="2" t="s">
        <v>469</v>
      </c>
      <c r="G837" s="2" t="s">
        <v>469</v>
      </c>
      <c r="H837" s="2" t="s">
        <v>469</v>
      </c>
      <c r="I837" s="2" t="s">
        <v>4269</v>
      </c>
      <c r="J837" s="2" t="s">
        <v>228</v>
      </c>
      <c r="K837" s="2" t="s">
        <v>266</v>
      </c>
      <c r="L837" s="3">
        <v>11.18</v>
      </c>
      <c r="M837" s="3">
        <v>11.74</v>
      </c>
      <c r="N837" s="3">
        <v>27.99</v>
      </c>
      <c r="O837" s="2" t="s">
        <v>230</v>
      </c>
      <c r="P837" s="2" t="s">
        <v>231</v>
      </c>
      <c r="Q837" s="2" t="s">
        <v>232</v>
      </c>
      <c r="R837" s="2" t="s">
        <v>233</v>
      </c>
      <c r="S837" s="2" t="s">
        <v>4375</v>
      </c>
      <c r="T837" s="2" t="s">
        <v>469</v>
      </c>
      <c r="U837" s="2" t="s">
        <v>233</v>
      </c>
      <c r="V837" s="2" t="s">
        <v>236</v>
      </c>
      <c r="W837" s="2" t="s">
        <v>237</v>
      </c>
      <c r="X837" s="2" t="s">
        <v>233</v>
      </c>
      <c r="Y837" s="2" t="s">
        <v>4376</v>
      </c>
      <c r="Z837" s="4">
        <v>186</v>
      </c>
      <c r="AA837" s="4">
        <f>=ROUNDDOWN(17.0642201834862,0)</f>
      </c>
      <c r="AB837" s="5">
        <v>10.9</v>
      </c>
      <c r="AC837" s="2" t="s">
        <v>139</v>
      </c>
      <c r="AD837" s="4">
        <v>140</v>
      </c>
      <c r="AE837" s="4">
        <v>280</v>
      </c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233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233</v>
      </c>
      <c r="AW837" s="8" t="s">
        <v>233</v>
      </c>
      <c r="AX837" s="4" t="s">
        <v>233</v>
      </c>
      <c r="AY837" s="8" t="s">
        <v>233</v>
      </c>
      <c r="AZ837" s="7" t="s">
        <v>233</v>
      </c>
      <c r="BA837" s="7" t="s">
        <v>233</v>
      </c>
      <c r="BB837" s="7" t="s">
        <v>233</v>
      </c>
      <c r="BC837" s="4" t="s">
        <v>233</v>
      </c>
      <c r="BD837" s="8" t="s">
        <v>233</v>
      </c>
      <c r="BE837" s="4" t="s">
        <v>233</v>
      </c>
      <c r="BF837" s="8" t="s">
        <v>233</v>
      </c>
      <c r="BG837" s="7" t="s">
        <v>233</v>
      </c>
      <c r="BH837" s="7" t="s">
        <v>233</v>
      </c>
      <c r="BI837" s="7"/>
      <c r="BJ837" s="4">
        <v>48</v>
      </c>
      <c r="BK837" s="8">
        <v>562.81</v>
      </c>
      <c r="BL837" s="2" t="s">
        <v>4377</v>
      </c>
      <c r="BM837" s="7"/>
      <c r="BN837" s="7"/>
      <c r="BO837" s="4"/>
      <c r="BP837" s="8"/>
      <c r="BQ837" s="4"/>
      <c r="BR837" s="8"/>
      <c r="BS837" s="7"/>
      <c r="BT837" s="7"/>
      <c r="BU837" s="2" t="s">
        <v>4272</v>
      </c>
      <c r="BV837" s="2" t="s">
        <v>233</v>
      </c>
      <c r="BW837" s="2" t="s">
        <v>233</v>
      </c>
      <c r="BX837" s="2" t="s">
        <v>241</v>
      </c>
      <c r="BY837" s="2" t="s">
        <v>242</v>
      </c>
      <c r="BZ837" s="2" t="s">
        <v>230</v>
      </c>
      <c r="CA837" s="2" t="s">
        <v>243</v>
      </c>
      <c r="CB837" s="2" t="s">
        <v>4332</v>
      </c>
      <c r="CC837" s="2" t="s">
        <v>245</v>
      </c>
      <c r="CD837" s="2" t="s">
        <v>233</v>
      </c>
      <c r="CE837" s="4">
        <v>186</v>
      </c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>
        <v>140</v>
      </c>
      <c r="DB837" s="4"/>
      <c r="DC837" s="4"/>
      <c r="DD837" s="4"/>
      <c r="DE837" s="4"/>
      <c r="DF837" s="4"/>
      <c r="DG837" s="4"/>
      <c r="DH837" s="4"/>
      <c r="DI837" s="4">
        <v>100</v>
      </c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>
        <v>40</v>
      </c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>
        <v>190</v>
      </c>
      <c r="GD837" s="4">
        <v>184</v>
      </c>
      <c r="GE837" s="4">
        <v>316</v>
      </c>
      <c r="GF837" s="4">
        <v>306</v>
      </c>
      <c r="GG837" s="4">
        <v>385</v>
      </c>
      <c r="GH837" s="4">
        <v>360</v>
      </c>
      <c r="GI837" s="4">
        <v>338</v>
      </c>
      <c r="GJ837" s="4">
        <v>325</v>
      </c>
      <c r="GK837" s="4">
        <v>314</v>
      </c>
      <c r="GL837" s="4">
        <v>298</v>
      </c>
      <c r="GM837" s="4">
        <v>287</v>
      </c>
      <c r="GN837" s="4">
        <v>276</v>
      </c>
      <c r="GO837" s="4">
        <v>264</v>
      </c>
      <c r="GP837" s="4">
        <v>252</v>
      </c>
      <c r="GQ837" s="4">
        <v>240</v>
      </c>
      <c r="GR837" s="4">
        <v>269</v>
      </c>
      <c r="GS837" s="4">
        <v>256</v>
      </c>
      <c r="GT837" s="4">
        <v>243</v>
      </c>
      <c r="GU837" s="4">
        <v>230</v>
      </c>
      <c r="GV837" s="4">
        <v>215</v>
      </c>
      <c r="GW837" s="4">
        <v>200</v>
      </c>
      <c r="GX837" s="4">
        <v>188</v>
      </c>
      <c r="GY837" s="4">
        <v>176</v>
      </c>
      <c r="GZ837" s="4">
        <v>159</v>
      </c>
      <c r="HA837" s="4">
        <v>142</v>
      </c>
      <c r="HB837" s="4">
        <v>125</v>
      </c>
      <c r="HC837" s="19">
        <v>17.3</v>
      </c>
      <c r="HD837" s="19">
        <v>11.5</v>
      </c>
      <c r="HE837" s="19">
        <v>15.8</v>
      </c>
      <c r="HF837" s="19">
        <v>15.3</v>
      </c>
      <c r="HG837" s="19">
        <v>21.4</v>
      </c>
      <c r="HH837" s="19">
        <v>22.5</v>
      </c>
      <c r="HI837" s="19">
        <v>26</v>
      </c>
      <c r="HJ837" s="19">
        <v>27.1</v>
      </c>
      <c r="HK837" s="19">
        <v>26.2</v>
      </c>
      <c r="HL837" s="19">
        <v>24.8</v>
      </c>
      <c r="HM837" s="19">
        <v>23.9</v>
      </c>
      <c r="HN837" s="19">
        <v>23</v>
      </c>
      <c r="HO837" s="19">
        <v>22</v>
      </c>
      <c r="HP837" s="19">
        <v>21</v>
      </c>
      <c r="HQ837" s="19">
        <v>20</v>
      </c>
      <c r="HR837" s="19">
        <v>19.2</v>
      </c>
      <c r="HS837" s="19">
        <v>18.3</v>
      </c>
      <c r="HT837" s="19">
        <v>17.4</v>
      </c>
      <c r="HU837" s="19">
        <v>16.4</v>
      </c>
      <c r="HV837" s="19">
        <v>15.4</v>
      </c>
      <c r="HW837" s="19">
        <v>14.3</v>
      </c>
      <c r="HX837" s="19">
        <v>11.8</v>
      </c>
      <c r="HY837" s="19">
        <v>10.4</v>
      </c>
      <c r="HZ837" s="19">
        <v>9.4</v>
      </c>
      <c r="IA837" s="19">
        <v>8.9</v>
      </c>
      <c r="IB837" s="19">
        <v>8.3</v>
      </c>
    </row>
    <row r="838">
      <c r="A838" s="2" t="s">
        <v>4378</v>
      </c>
      <c r="B838" s="2" t="s">
        <v>279</v>
      </c>
      <c r="C838" s="2" t="s">
        <v>1411</v>
      </c>
      <c r="D838" s="2" t="s">
        <v>281</v>
      </c>
      <c r="E838" s="2" t="s">
        <v>282</v>
      </c>
      <c r="F838" s="2" t="s">
        <v>469</v>
      </c>
      <c r="G838" s="2" t="s">
        <v>469</v>
      </c>
      <c r="H838" s="2" t="s">
        <v>469</v>
      </c>
      <c r="I838" s="2" t="s">
        <v>4293</v>
      </c>
      <c r="J838" s="2" t="s">
        <v>228</v>
      </c>
      <c r="K838" s="2" t="s">
        <v>266</v>
      </c>
      <c r="L838" s="3">
        <v>12.15</v>
      </c>
      <c r="M838" s="3">
        <v>12.76</v>
      </c>
      <c r="N838" s="3">
        <v>26.99</v>
      </c>
      <c r="O838" s="2" t="s">
        <v>230</v>
      </c>
      <c r="P838" s="2" t="s">
        <v>231</v>
      </c>
      <c r="Q838" s="2" t="s">
        <v>232</v>
      </c>
      <c r="R838" s="2" t="s">
        <v>233</v>
      </c>
      <c r="S838" s="2" t="s">
        <v>4375</v>
      </c>
      <c r="T838" s="2" t="s">
        <v>469</v>
      </c>
      <c r="U838" s="2" t="s">
        <v>287</v>
      </c>
      <c r="V838" s="2" t="s">
        <v>236</v>
      </c>
      <c r="W838" s="2" t="s">
        <v>237</v>
      </c>
      <c r="X838" s="2" t="s">
        <v>620</v>
      </c>
      <c r="Y838" s="2" t="s">
        <v>4294</v>
      </c>
      <c r="Z838" s="4">
        <v>76</v>
      </c>
      <c r="AA838" s="4">
        <f>=ROUNDDOWN(15.2,0)</f>
      </c>
      <c r="AB838" s="5">
        <v>5</v>
      </c>
      <c r="AC838" s="2" t="s">
        <v>139</v>
      </c>
      <c r="AD838" s="4">
        <v>20</v>
      </c>
      <c r="AE838" s="4">
        <v>160</v>
      </c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233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233</v>
      </c>
      <c r="AW838" s="8" t="s">
        <v>233</v>
      </c>
      <c r="AX838" s="4" t="s">
        <v>233</v>
      </c>
      <c r="AY838" s="8" t="s">
        <v>233</v>
      </c>
      <c r="AZ838" s="7" t="s">
        <v>233</v>
      </c>
      <c r="BA838" s="7" t="s">
        <v>233</v>
      </c>
      <c r="BB838" s="7" t="s">
        <v>233</v>
      </c>
      <c r="BC838" s="4" t="s">
        <v>233</v>
      </c>
      <c r="BD838" s="8" t="s">
        <v>233</v>
      </c>
      <c r="BE838" s="4" t="s">
        <v>233</v>
      </c>
      <c r="BF838" s="8" t="s">
        <v>233</v>
      </c>
      <c r="BG838" s="7" t="s">
        <v>233</v>
      </c>
      <c r="BH838" s="7" t="s">
        <v>233</v>
      </c>
      <c r="BI838" s="7"/>
      <c r="BJ838" s="4">
        <v>8</v>
      </c>
      <c r="BK838" s="8">
        <v>101.26</v>
      </c>
      <c r="BL838" s="2" t="s">
        <v>1803</v>
      </c>
      <c r="BM838" s="7"/>
      <c r="BN838" s="7"/>
      <c r="BO838" s="4"/>
      <c r="BP838" s="8"/>
      <c r="BQ838" s="4"/>
      <c r="BR838" s="8"/>
      <c r="BS838" s="7"/>
      <c r="BT838" s="7"/>
      <c r="BU838" s="2" t="s">
        <v>4295</v>
      </c>
      <c r="BV838" s="2" t="s">
        <v>233</v>
      </c>
      <c r="BW838" s="2" t="s">
        <v>233</v>
      </c>
      <c r="BX838" s="2" t="s">
        <v>241</v>
      </c>
      <c r="BY838" s="2" t="s">
        <v>242</v>
      </c>
      <c r="BZ838" s="2" t="s">
        <v>230</v>
      </c>
      <c r="CA838" s="2" t="s">
        <v>4296</v>
      </c>
      <c r="CB838" s="2" t="s">
        <v>4379</v>
      </c>
      <c r="CC838" s="2" t="s">
        <v>245</v>
      </c>
      <c r="CD838" s="2" t="s">
        <v>233</v>
      </c>
      <c r="CE838" s="4">
        <v>76</v>
      </c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>
        <v>20</v>
      </c>
      <c r="DB838" s="4"/>
      <c r="DC838" s="4"/>
      <c r="DD838" s="4"/>
      <c r="DE838" s="4"/>
      <c r="DF838" s="4"/>
      <c r="DG838" s="4"/>
      <c r="DH838" s="4"/>
      <c r="DI838" s="4">
        <v>20</v>
      </c>
      <c r="DJ838" s="4"/>
      <c r="DK838" s="4"/>
      <c r="DL838" s="4"/>
      <c r="DM838" s="4"/>
      <c r="DN838" s="4"/>
      <c r="DO838" s="4"/>
      <c r="DP838" s="4"/>
      <c r="DQ838" s="4"/>
      <c r="DR838" s="4">
        <v>50</v>
      </c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>
        <v>70</v>
      </c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>
        <v>80</v>
      </c>
      <c r="GD838" s="4">
        <v>73</v>
      </c>
      <c r="GE838" s="4">
        <v>87</v>
      </c>
      <c r="GF838" s="4">
        <v>80</v>
      </c>
      <c r="GG838" s="4">
        <v>85</v>
      </c>
      <c r="GH838" s="4">
        <v>120</v>
      </c>
      <c r="GI838" s="4">
        <v>107</v>
      </c>
      <c r="GJ838" s="4">
        <v>100</v>
      </c>
      <c r="GK838" s="4">
        <v>95</v>
      </c>
      <c r="GL838" s="4">
        <v>86</v>
      </c>
      <c r="GM838" s="4">
        <v>81</v>
      </c>
      <c r="GN838" s="4">
        <v>76</v>
      </c>
      <c r="GO838" s="4">
        <v>71</v>
      </c>
      <c r="GP838" s="4">
        <v>66</v>
      </c>
      <c r="GQ838" s="4">
        <v>61</v>
      </c>
      <c r="GR838" s="4">
        <v>126</v>
      </c>
      <c r="GS838" s="4">
        <v>121</v>
      </c>
      <c r="GT838" s="4">
        <v>116</v>
      </c>
      <c r="GU838" s="4">
        <v>111</v>
      </c>
      <c r="GV838" s="4">
        <v>123</v>
      </c>
      <c r="GW838" s="4">
        <v>117</v>
      </c>
      <c r="GX838" s="4">
        <v>111</v>
      </c>
      <c r="GY838" s="4">
        <v>105</v>
      </c>
      <c r="GZ838" s="4">
        <v>96</v>
      </c>
      <c r="HA838" s="4">
        <v>87</v>
      </c>
      <c r="HB838" s="4">
        <v>78</v>
      </c>
      <c r="HC838" s="19">
        <v>8.9</v>
      </c>
      <c r="HD838" s="19">
        <v>6.6</v>
      </c>
      <c r="HE838" s="19">
        <v>7.3</v>
      </c>
      <c r="HF838" s="19">
        <v>6.7</v>
      </c>
      <c r="HG838" s="19">
        <v>8.5</v>
      </c>
      <c r="HH838" s="19">
        <v>15</v>
      </c>
      <c r="HI838" s="19">
        <v>17.8</v>
      </c>
      <c r="HJ838" s="19">
        <v>16.7</v>
      </c>
      <c r="HK838" s="19">
        <v>15.8</v>
      </c>
      <c r="HL838" s="19">
        <v>17.2</v>
      </c>
      <c r="HM838" s="19">
        <v>16.2</v>
      </c>
      <c r="HN838" s="19">
        <v>15.2</v>
      </c>
      <c r="HO838" s="19">
        <v>14.2</v>
      </c>
      <c r="HP838" s="19">
        <v>13.2</v>
      </c>
      <c r="HQ838" s="19">
        <v>12.2</v>
      </c>
      <c r="HR838" s="19">
        <v>25.2</v>
      </c>
      <c r="HS838" s="19">
        <v>20.2</v>
      </c>
      <c r="HT838" s="19">
        <v>19.3</v>
      </c>
      <c r="HU838" s="19">
        <v>18.5</v>
      </c>
      <c r="HV838" s="19">
        <v>17.6</v>
      </c>
      <c r="HW838" s="19">
        <v>14.6</v>
      </c>
      <c r="HX838" s="19">
        <v>13.9</v>
      </c>
      <c r="HY838" s="19">
        <v>11.7</v>
      </c>
      <c r="HZ838" s="19">
        <v>10.7</v>
      </c>
      <c r="IA838" s="19">
        <v>10.9</v>
      </c>
      <c r="IB838" s="19">
        <v>9.8</v>
      </c>
    </row>
    <row r="839">
      <c r="A839" s="2" t="s">
        <v>4380</v>
      </c>
      <c r="B839" s="2" t="s">
        <v>279</v>
      </c>
      <c r="C839" s="2" t="s">
        <v>1411</v>
      </c>
      <c r="D839" s="2" t="s">
        <v>281</v>
      </c>
      <c r="E839" s="2" t="s">
        <v>282</v>
      </c>
      <c r="F839" s="2" t="s">
        <v>469</v>
      </c>
      <c r="G839" s="2" t="s">
        <v>469</v>
      </c>
      <c r="H839" s="2" t="s">
        <v>469</v>
      </c>
      <c r="I839" s="2" t="s">
        <v>4269</v>
      </c>
      <c r="J839" s="2" t="s">
        <v>247</v>
      </c>
      <c r="K839" s="2" t="s">
        <v>266</v>
      </c>
      <c r="L839" s="3">
        <v>11.18</v>
      </c>
      <c r="M839" s="3">
        <v>11.74</v>
      </c>
      <c r="N839" s="3">
        <v>27.99</v>
      </c>
      <c r="O839" s="2" t="s">
        <v>230</v>
      </c>
      <c r="P839" s="2" t="s">
        <v>231</v>
      </c>
      <c r="Q839" s="2" t="s">
        <v>232</v>
      </c>
      <c r="R839" s="2" t="s">
        <v>233</v>
      </c>
      <c r="S839" s="2" t="s">
        <v>4375</v>
      </c>
      <c r="T839" s="2" t="s">
        <v>469</v>
      </c>
      <c r="U839" s="2" t="s">
        <v>233</v>
      </c>
      <c r="V839" s="2" t="s">
        <v>236</v>
      </c>
      <c r="W839" s="2" t="s">
        <v>237</v>
      </c>
      <c r="X839" s="2" t="s">
        <v>233</v>
      </c>
      <c r="Y839" s="2" t="s">
        <v>238</v>
      </c>
      <c r="Z839" s="4">
        <v>446</v>
      </c>
      <c r="AA839" s="4">
        <f>=ROUNDDOWN(74.3333333333333,0)</f>
      </c>
      <c r="AB839" s="5">
        <v>6</v>
      </c>
      <c r="AC839" s="2" t="s">
        <v>233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233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233</v>
      </c>
      <c r="AW839" s="8" t="s">
        <v>233</v>
      </c>
      <c r="AX839" s="4" t="s">
        <v>233</v>
      </c>
      <c r="AY839" s="8" t="s">
        <v>233</v>
      </c>
      <c r="AZ839" s="7" t="s">
        <v>233</v>
      </c>
      <c r="BA839" s="7" t="s">
        <v>233</v>
      </c>
      <c r="BB839" s="7" t="s">
        <v>233</v>
      </c>
      <c r="BC839" s="4" t="s">
        <v>233</v>
      </c>
      <c r="BD839" s="8" t="s">
        <v>233</v>
      </c>
      <c r="BE839" s="4" t="s">
        <v>233</v>
      </c>
      <c r="BF839" s="8" t="s">
        <v>233</v>
      </c>
      <c r="BG839" s="7" t="s">
        <v>233</v>
      </c>
      <c r="BH839" s="7" t="s">
        <v>233</v>
      </c>
      <c r="BI839" s="7"/>
      <c r="BJ839" s="4">
        <v>39</v>
      </c>
      <c r="BK839" s="8">
        <v>456.97</v>
      </c>
      <c r="BL839" s="2" t="s">
        <v>4381</v>
      </c>
      <c r="BM839" s="7"/>
      <c r="BN839" s="7"/>
      <c r="BO839" s="4"/>
      <c r="BP839" s="8"/>
      <c r="BQ839" s="4"/>
      <c r="BR839" s="8"/>
      <c r="BS839" s="7"/>
      <c r="BT839" s="7"/>
      <c r="BU839" s="2" t="s">
        <v>4272</v>
      </c>
      <c r="BV839" s="2" t="s">
        <v>233</v>
      </c>
      <c r="BW839" s="2" t="s">
        <v>233</v>
      </c>
      <c r="BX839" s="2" t="s">
        <v>241</v>
      </c>
      <c r="BY839" s="2" t="s">
        <v>242</v>
      </c>
      <c r="BZ839" s="2" t="s">
        <v>230</v>
      </c>
      <c r="CA839" s="2" t="s">
        <v>243</v>
      </c>
      <c r="CB839" s="2" t="s">
        <v>4382</v>
      </c>
      <c r="CC839" s="2" t="s">
        <v>245</v>
      </c>
      <c r="CD839" s="2" t="s">
        <v>233</v>
      </c>
      <c r="CE839" s="4">
        <v>446</v>
      </c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>
        <v>447</v>
      </c>
      <c r="GD839" s="4">
        <v>428</v>
      </c>
      <c r="GE839" s="4">
        <v>419</v>
      </c>
      <c r="GF839" s="4">
        <v>410</v>
      </c>
      <c r="GG839" s="4">
        <v>393</v>
      </c>
      <c r="GH839" s="4">
        <v>372</v>
      </c>
      <c r="GI839" s="4">
        <v>355</v>
      </c>
      <c r="GJ839" s="4">
        <v>345</v>
      </c>
      <c r="GK839" s="4">
        <v>337</v>
      </c>
      <c r="GL839" s="4">
        <v>325</v>
      </c>
      <c r="GM839" s="4">
        <v>319</v>
      </c>
      <c r="GN839" s="4">
        <v>313</v>
      </c>
      <c r="GO839" s="4">
        <v>307</v>
      </c>
      <c r="GP839" s="4">
        <v>301</v>
      </c>
      <c r="GQ839" s="4">
        <v>295</v>
      </c>
      <c r="GR839" s="4">
        <v>290</v>
      </c>
      <c r="GS839" s="4">
        <v>285</v>
      </c>
      <c r="GT839" s="4">
        <v>280</v>
      </c>
      <c r="GU839" s="4">
        <v>275</v>
      </c>
      <c r="GV839" s="4">
        <v>269</v>
      </c>
      <c r="GW839" s="4">
        <v>263</v>
      </c>
      <c r="GX839" s="4">
        <v>256</v>
      </c>
      <c r="GY839" s="4">
        <v>249</v>
      </c>
      <c r="GZ839" s="4">
        <v>241</v>
      </c>
      <c r="HA839" s="4">
        <v>233</v>
      </c>
      <c r="HB839" s="4">
        <v>223</v>
      </c>
      <c r="HC839" s="19">
        <v>31.9</v>
      </c>
      <c r="HD839" s="19">
        <v>30.6</v>
      </c>
      <c r="HE839" s="19">
        <v>26.2</v>
      </c>
      <c r="HF839" s="19">
        <v>25.6</v>
      </c>
      <c r="HG839" s="19">
        <v>28.1</v>
      </c>
      <c r="HH839" s="19">
        <v>31</v>
      </c>
      <c r="HI839" s="19">
        <v>39.4</v>
      </c>
      <c r="HJ839" s="19">
        <v>43.1</v>
      </c>
      <c r="HK839" s="19">
        <v>42.1</v>
      </c>
      <c r="HL839" s="19">
        <v>54.2</v>
      </c>
      <c r="HM839" s="19">
        <v>53.2</v>
      </c>
      <c r="HN839" s="19">
        <v>52.2</v>
      </c>
      <c r="HO839" s="19">
        <v>51.2</v>
      </c>
      <c r="HP839" s="19">
        <v>60.2</v>
      </c>
      <c r="HQ839" s="19">
        <v>59</v>
      </c>
      <c r="HR839" s="19">
        <v>58</v>
      </c>
      <c r="HS839" s="19">
        <v>47.5</v>
      </c>
      <c r="HT839" s="19">
        <v>46.7</v>
      </c>
      <c r="HU839" s="19">
        <v>45.8</v>
      </c>
      <c r="HV839" s="19">
        <v>38.4</v>
      </c>
      <c r="HW839" s="19">
        <v>32.9</v>
      </c>
      <c r="HX839" s="19">
        <v>32</v>
      </c>
      <c r="HY839" s="19">
        <v>27.7</v>
      </c>
      <c r="HZ839" s="19">
        <v>24.1</v>
      </c>
      <c r="IA839" s="19">
        <v>21.2</v>
      </c>
      <c r="IB839" s="19">
        <v>17.2</v>
      </c>
    </row>
    <row r="840">
      <c r="A840" s="2" t="s">
        <v>4383</v>
      </c>
      <c r="B840" s="2" t="s">
        <v>279</v>
      </c>
      <c r="C840" s="2" t="s">
        <v>1411</v>
      </c>
      <c r="D840" s="2" t="s">
        <v>281</v>
      </c>
      <c r="E840" s="2" t="s">
        <v>282</v>
      </c>
      <c r="F840" s="2" t="s">
        <v>469</v>
      </c>
      <c r="G840" s="2" t="s">
        <v>469</v>
      </c>
      <c r="H840" s="2" t="s">
        <v>469</v>
      </c>
      <c r="I840" s="2" t="s">
        <v>4293</v>
      </c>
      <c r="J840" s="2" t="s">
        <v>247</v>
      </c>
      <c r="K840" s="2" t="s">
        <v>266</v>
      </c>
      <c r="L840" s="3">
        <v>12.15</v>
      </c>
      <c r="M840" s="3">
        <v>12.76</v>
      </c>
      <c r="N840" s="3">
        <v>26.99</v>
      </c>
      <c r="O840" s="2" t="s">
        <v>230</v>
      </c>
      <c r="P840" s="2" t="s">
        <v>231</v>
      </c>
      <c r="Q840" s="2" t="s">
        <v>232</v>
      </c>
      <c r="R840" s="2" t="s">
        <v>233</v>
      </c>
      <c r="S840" s="2" t="s">
        <v>4375</v>
      </c>
      <c r="T840" s="2" t="s">
        <v>469</v>
      </c>
      <c r="U840" s="2" t="s">
        <v>287</v>
      </c>
      <c r="V840" s="2" t="s">
        <v>236</v>
      </c>
      <c r="W840" s="2" t="s">
        <v>237</v>
      </c>
      <c r="X840" s="2" t="s">
        <v>620</v>
      </c>
      <c r="Y840" s="2" t="s">
        <v>4294</v>
      </c>
      <c r="Z840" s="4">
        <v>326</v>
      </c>
      <c r="AA840" s="4">
        <f>=ROUNDDOWN(63.921568627451,0)</f>
      </c>
      <c r="AB840" s="5">
        <v>5.1</v>
      </c>
      <c r="AC840" s="2" t="s">
        <v>233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233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233</v>
      </c>
      <c r="AW840" s="8" t="s">
        <v>233</v>
      </c>
      <c r="AX840" s="4" t="s">
        <v>233</v>
      </c>
      <c r="AY840" s="8" t="s">
        <v>233</v>
      </c>
      <c r="AZ840" s="7" t="s">
        <v>233</v>
      </c>
      <c r="BA840" s="7" t="s">
        <v>233</v>
      </c>
      <c r="BB840" s="7" t="s">
        <v>233</v>
      </c>
      <c r="BC840" s="4" t="s">
        <v>233</v>
      </c>
      <c r="BD840" s="8" t="s">
        <v>233</v>
      </c>
      <c r="BE840" s="4" t="s">
        <v>233</v>
      </c>
      <c r="BF840" s="8" t="s">
        <v>233</v>
      </c>
      <c r="BG840" s="7" t="s">
        <v>233</v>
      </c>
      <c r="BH840" s="7" t="s">
        <v>233</v>
      </c>
      <c r="BI840" s="7"/>
      <c r="BJ840" s="4">
        <v>20</v>
      </c>
      <c r="BK840" s="8">
        <v>270.7</v>
      </c>
      <c r="BL840" s="2" t="s">
        <v>4384</v>
      </c>
      <c r="BM840" s="7"/>
      <c r="BN840" s="7"/>
      <c r="BO840" s="4"/>
      <c r="BP840" s="8"/>
      <c r="BQ840" s="4"/>
      <c r="BR840" s="8"/>
      <c r="BS840" s="7"/>
      <c r="BT840" s="7"/>
      <c r="BU840" s="2" t="s">
        <v>4295</v>
      </c>
      <c r="BV840" s="2" t="s">
        <v>233</v>
      </c>
      <c r="BW840" s="2" t="s">
        <v>233</v>
      </c>
      <c r="BX840" s="2" t="s">
        <v>241</v>
      </c>
      <c r="BY840" s="2" t="s">
        <v>242</v>
      </c>
      <c r="BZ840" s="2" t="s">
        <v>230</v>
      </c>
      <c r="CA840" s="2" t="s">
        <v>4296</v>
      </c>
      <c r="CB840" s="2" t="s">
        <v>4385</v>
      </c>
      <c r="CC840" s="2" t="s">
        <v>245</v>
      </c>
      <c r="CD840" s="2" t="s">
        <v>233</v>
      </c>
      <c r="CE840" s="4">
        <v>326</v>
      </c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>
        <v>331</v>
      </c>
      <c r="GD840" s="4">
        <v>308</v>
      </c>
      <c r="GE840" s="4">
        <v>301</v>
      </c>
      <c r="GF840" s="4">
        <v>294</v>
      </c>
      <c r="GG840" s="4">
        <v>281</v>
      </c>
      <c r="GH840" s="4">
        <v>264</v>
      </c>
      <c r="GI840" s="4">
        <v>250</v>
      </c>
      <c r="GJ840" s="4">
        <v>242</v>
      </c>
      <c r="GK840" s="4">
        <v>236</v>
      </c>
      <c r="GL840" s="4">
        <v>226</v>
      </c>
      <c r="GM840" s="4">
        <v>221</v>
      </c>
      <c r="GN840" s="4">
        <v>216</v>
      </c>
      <c r="GO840" s="4">
        <v>211</v>
      </c>
      <c r="GP840" s="4">
        <v>206</v>
      </c>
      <c r="GQ840" s="4">
        <v>201</v>
      </c>
      <c r="GR840" s="4">
        <v>197</v>
      </c>
      <c r="GS840" s="4">
        <v>193</v>
      </c>
      <c r="GT840" s="4">
        <v>189</v>
      </c>
      <c r="GU840" s="4">
        <v>185</v>
      </c>
      <c r="GV840" s="4">
        <v>239</v>
      </c>
      <c r="GW840" s="4">
        <v>234</v>
      </c>
      <c r="GX840" s="4">
        <v>228</v>
      </c>
      <c r="GY840" s="4">
        <v>222</v>
      </c>
      <c r="GZ840" s="4">
        <v>216</v>
      </c>
      <c r="HA840" s="4">
        <v>210</v>
      </c>
      <c r="HB840" s="4">
        <v>202</v>
      </c>
      <c r="HC840" s="19">
        <v>27.6</v>
      </c>
      <c r="HD840" s="19">
        <v>28</v>
      </c>
      <c r="HE840" s="19">
        <v>23.2</v>
      </c>
      <c r="HF840" s="19">
        <v>22.6</v>
      </c>
      <c r="HG840" s="19">
        <v>25.5</v>
      </c>
      <c r="HH840" s="19">
        <v>26.4</v>
      </c>
      <c r="HI840" s="19">
        <v>35.7</v>
      </c>
      <c r="HJ840" s="19">
        <v>40.3</v>
      </c>
      <c r="HK840" s="19">
        <v>39.3</v>
      </c>
      <c r="HL840" s="19">
        <v>45.2</v>
      </c>
      <c r="HM840" s="19">
        <v>44.2</v>
      </c>
      <c r="HN840" s="19">
        <v>43.2</v>
      </c>
      <c r="HO840" s="19">
        <v>52.8</v>
      </c>
      <c r="HP840" s="19">
        <v>51.5</v>
      </c>
      <c r="HQ840" s="19">
        <v>50.3</v>
      </c>
      <c r="HR840" s="19">
        <v>49.3</v>
      </c>
      <c r="HS840" s="19">
        <v>48.3</v>
      </c>
      <c r="HT840" s="19">
        <v>37.8</v>
      </c>
      <c r="HU840" s="19">
        <v>30.8</v>
      </c>
      <c r="HV840" s="19">
        <v>39.8</v>
      </c>
      <c r="HW840" s="19">
        <v>39</v>
      </c>
      <c r="HX840" s="19">
        <v>38</v>
      </c>
      <c r="HY840" s="19">
        <v>31.7</v>
      </c>
      <c r="HZ840" s="19">
        <v>27</v>
      </c>
      <c r="IA840" s="19">
        <v>23.3</v>
      </c>
      <c r="IB840" s="19">
        <v>20.2</v>
      </c>
    </row>
    <row r="841">
      <c r="A841" s="2" t="s">
        <v>4386</v>
      </c>
      <c r="B841" s="2" t="s">
        <v>279</v>
      </c>
      <c r="C841" s="2" t="s">
        <v>1411</v>
      </c>
      <c r="D841" s="2" t="s">
        <v>281</v>
      </c>
      <c r="E841" s="2" t="s">
        <v>282</v>
      </c>
      <c r="F841" s="2" t="s">
        <v>469</v>
      </c>
      <c r="G841" s="2" t="s">
        <v>469</v>
      </c>
      <c r="H841" s="2" t="s">
        <v>469</v>
      </c>
      <c r="I841" s="2" t="s">
        <v>4269</v>
      </c>
      <c r="J841" s="2" t="s">
        <v>252</v>
      </c>
      <c r="K841" s="2" t="s">
        <v>266</v>
      </c>
      <c r="L841" s="3">
        <v>12.92</v>
      </c>
      <c r="M841" s="3">
        <v>13.57</v>
      </c>
      <c r="N841" s="3">
        <v>30.99</v>
      </c>
      <c r="O841" s="2" t="s">
        <v>230</v>
      </c>
      <c r="P841" s="2" t="s">
        <v>231</v>
      </c>
      <c r="Q841" s="2" t="s">
        <v>232</v>
      </c>
      <c r="R841" s="2" t="s">
        <v>233</v>
      </c>
      <c r="S841" s="2" t="s">
        <v>4375</v>
      </c>
      <c r="T841" s="2" t="s">
        <v>469</v>
      </c>
      <c r="U841" s="2" t="s">
        <v>233</v>
      </c>
      <c r="V841" s="2" t="s">
        <v>236</v>
      </c>
      <c r="W841" s="2" t="s">
        <v>237</v>
      </c>
      <c r="X841" s="2" t="s">
        <v>233</v>
      </c>
      <c r="Y841" s="2" t="s">
        <v>238</v>
      </c>
      <c r="Z841" s="4">
        <v>139</v>
      </c>
      <c r="AA841" s="4">
        <f>=ROUNDDOWN(11.9827586206897,0)</f>
      </c>
      <c r="AB841" s="5">
        <v>11.6</v>
      </c>
      <c r="AC841" s="2" t="s">
        <v>139</v>
      </c>
      <c r="AD841" s="4">
        <v>30</v>
      </c>
      <c r="AE841" s="4">
        <v>170</v>
      </c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233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233</v>
      </c>
      <c r="AW841" s="8" t="s">
        <v>233</v>
      </c>
      <c r="AX841" s="4" t="s">
        <v>233</v>
      </c>
      <c r="AY841" s="8" t="s">
        <v>233</v>
      </c>
      <c r="AZ841" s="7" t="s">
        <v>233</v>
      </c>
      <c r="BA841" s="7" t="s">
        <v>233</v>
      </c>
      <c r="BB841" s="7" t="s">
        <v>233</v>
      </c>
      <c r="BC841" s="4" t="s">
        <v>233</v>
      </c>
      <c r="BD841" s="8" t="s">
        <v>233</v>
      </c>
      <c r="BE841" s="4" t="s">
        <v>233</v>
      </c>
      <c r="BF841" s="8" t="s">
        <v>233</v>
      </c>
      <c r="BG841" s="7" t="s">
        <v>233</v>
      </c>
      <c r="BH841" s="7" t="s">
        <v>233</v>
      </c>
      <c r="BI841" s="7"/>
      <c r="BJ841" s="4">
        <v>53</v>
      </c>
      <c r="BK841" s="8">
        <v>755.25</v>
      </c>
      <c r="BL841" s="2" t="s">
        <v>4377</v>
      </c>
      <c r="BM841" s="7"/>
      <c r="BN841" s="7"/>
      <c r="BO841" s="4"/>
      <c r="BP841" s="8"/>
      <c r="BQ841" s="4"/>
      <c r="BR841" s="8"/>
      <c r="BS841" s="7"/>
      <c r="BT841" s="7"/>
      <c r="BU841" s="2" t="s">
        <v>4272</v>
      </c>
      <c r="BV841" s="2" t="s">
        <v>233</v>
      </c>
      <c r="BW841" s="2" t="s">
        <v>233</v>
      </c>
      <c r="BX841" s="2" t="s">
        <v>241</v>
      </c>
      <c r="BY841" s="2" t="s">
        <v>242</v>
      </c>
      <c r="BZ841" s="2" t="s">
        <v>230</v>
      </c>
      <c r="CA841" s="2" t="s">
        <v>243</v>
      </c>
      <c r="CB841" s="2" t="s">
        <v>1126</v>
      </c>
      <c r="CC841" s="2" t="s">
        <v>245</v>
      </c>
      <c r="CD841" s="2" t="s">
        <v>233</v>
      </c>
      <c r="CE841" s="4">
        <v>139</v>
      </c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>
        <v>30</v>
      </c>
      <c r="DB841" s="4"/>
      <c r="DC841" s="4"/>
      <c r="DD841" s="4"/>
      <c r="DE841" s="4"/>
      <c r="DF841" s="4"/>
      <c r="DG841" s="4"/>
      <c r="DH841" s="4"/>
      <c r="DI841" s="4">
        <v>60</v>
      </c>
      <c r="DJ841" s="4"/>
      <c r="DK841" s="4"/>
      <c r="DL841" s="4"/>
      <c r="DM841" s="4"/>
      <c r="DN841" s="4"/>
      <c r="DO841" s="4"/>
      <c r="DP841" s="4"/>
      <c r="DQ841" s="4"/>
      <c r="DR841" s="4">
        <v>60</v>
      </c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>
        <v>20</v>
      </c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>
        <v>149</v>
      </c>
      <c r="GD841" s="4">
        <v>138</v>
      </c>
      <c r="GE841" s="4">
        <v>154</v>
      </c>
      <c r="GF841" s="4">
        <v>140</v>
      </c>
      <c r="GG841" s="4">
        <v>176</v>
      </c>
      <c r="GH841" s="4">
        <v>212</v>
      </c>
      <c r="GI841" s="4">
        <v>191</v>
      </c>
      <c r="GJ841" s="4">
        <v>178</v>
      </c>
      <c r="GK841" s="4">
        <v>167</v>
      </c>
      <c r="GL841" s="4">
        <v>152</v>
      </c>
      <c r="GM841" s="4">
        <v>141</v>
      </c>
      <c r="GN841" s="4">
        <v>130</v>
      </c>
      <c r="GO841" s="4">
        <v>119</v>
      </c>
      <c r="GP841" s="4">
        <v>108</v>
      </c>
      <c r="GQ841" s="4">
        <v>97</v>
      </c>
      <c r="GR841" s="4">
        <v>105</v>
      </c>
      <c r="GS841" s="4">
        <v>93</v>
      </c>
      <c r="GT841" s="4">
        <v>81</v>
      </c>
      <c r="GU841" s="4">
        <v>69</v>
      </c>
      <c r="GV841" s="4">
        <v>153</v>
      </c>
      <c r="GW841" s="4">
        <v>142</v>
      </c>
      <c r="GX841" s="4">
        <v>131</v>
      </c>
      <c r="GY841" s="4">
        <v>120</v>
      </c>
      <c r="GZ841" s="4">
        <v>108</v>
      </c>
      <c r="HA841" s="4">
        <v>96</v>
      </c>
      <c r="HB841" s="4">
        <v>84</v>
      </c>
      <c r="HC841" s="19">
        <v>9.3</v>
      </c>
      <c r="HD841" s="19">
        <v>7.3</v>
      </c>
      <c r="HE841" s="19">
        <v>7.3</v>
      </c>
      <c r="HF841" s="19">
        <v>7</v>
      </c>
      <c r="HG841" s="19">
        <v>10.4</v>
      </c>
      <c r="HH841" s="19">
        <v>14.1</v>
      </c>
      <c r="HI841" s="19">
        <v>15.9</v>
      </c>
      <c r="HJ841" s="19">
        <v>14.8</v>
      </c>
      <c r="HK841" s="19">
        <v>13.9</v>
      </c>
      <c r="HL841" s="19">
        <v>13.8</v>
      </c>
      <c r="HM841" s="19">
        <v>12.8</v>
      </c>
      <c r="HN841" s="19">
        <v>11.8</v>
      </c>
      <c r="HO841" s="19">
        <v>9.9</v>
      </c>
      <c r="HP841" s="19">
        <v>9</v>
      </c>
      <c r="HQ841" s="19">
        <v>8.1</v>
      </c>
      <c r="HR841" s="19">
        <v>8.8</v>
      </c>
      <c r="HS841" s="19">
        <v>7.8</v>
      </c>
      <c r="HT841" s="19">
        <v>7.4</v>
      </c>
      <c r="HU841" s="19">
        <v>6.3</v>
      </c>
      <c r="HV841" s="19">
        <v>13.9</v>
      </c>
      <c r="HW841" s="19">
        <v>11.8</v>
      </c>
      <c r="HX841" s="19">
        <v>10.9</v>
      </c>
      <c r="HY841" s="19">
        <v>10</v>
      </c>
      <c r="HZ841" s="19">
        <v>9</v>
      </c>
      <c r="IA841" s="19">
        <v>8</v>
      </c>
      <c r="IB841" s="19">
        <v>7</v>
      </c>
    </row>
    <row r="842">
      <c r="A842" s="2" t="s">
        <v>4387</v>
      </c>
      <c r="B842" s="2" t="s">
        <v>279</v>
      </c>
      <c r="C842" s="2" t="s">
        <v>1411</v>
      </c>
      <c r="D842" s="2" t="s">
        <v>281</v>
      </c>
      <c r="E842" s="2" t="s">
        <v>282</v>
      </c>
      <c r="F842" s="2" t="s">
        <v>469</v>
      </c>
      <c r="G842" s="2" t="s">
        <v>469</v>
      </c>
      <c r="H842" s="2" t="s">
        <v>469</v>
      </c>
      <c r="I842" s="2" t="s">
        <v>4293</v>
      </c>
      <c r="J842" s="2" t="s">
        <v>252</v>
      </c>
      <c r="K842" s="2" t="s">
        <v>266</v>
      </c>
      <c r="L842" s="3">
        <v>14.85</v>
      </c>
      <c r="M842" s="3">
        <v>15.59</v>
      </c>
      <c r="N842" s="3">
        <v>32.99</v>
      </c>
      <c r="O842" s="2" t="s">
        <v>230</v>
      </c>
      <c r="P842" s="2" t="s">
        <v>231</v>
      </c>
      <c r="Q842" s="2" t="s">
        <v>232</v>
      </c>
      <c r="R842" s="2" t="s">
        <v>233</v>
      </c>
      <c r="S842" s="2" t="s">
        <v>4375</v>
      </c>
      <c r="T842" s="2" t="s">
        <v>469</v>
      </c>
      <c r="U842" s="2" t="s">
        <v>665</v>
      </c>
      <c r="V842" s="2" t="s">
        <v>236</v>
      </c>
      <c r="W842" s="2" t="s">
        <v>237</v>
      </c>
      <c r="X842" s="2" t="s">
        <v>620</v>
      </c>
      <c r="Y842" s="2" t="s">
        <v>4294</v>
      </c>
      <c r="Z842" s="4">
        <v>53</v>
      </c>
      <c r="AA842" s="4">
        <f>=ROUNDDOWN(12.0454545454545,0)</f>
      </c>
      <c r="AB842" s="5">
        <v>4.4</v>
      </c>
      <c r="AC842" s="2" t="s">
        <v>139</v>
      </c>
      <c r="AD842" s="4">
        <v>40</v>
      </c>
      <c r="AE842" s="4">
        <v>190</v>
      </c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233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233</v>
      </c>
      <c r="AW842" s="8" t="s">
        <v>233</v>
      </c>
      <c r="AX842" s="4" t="s">
        <v>233</v>
      </c>
      <c r="AY842" s="8" t="s">
        <v>233</v>
      </c>
      <c r="AZ842" s="7" t="s">
        <v>233</v>
      </c>
      <c r="BA842" s="7" t="s">
        <v>233</v>
      </c>
      <c r="BB842" s="7" t="s">
        <v>233</v>
      </c>
      <c r="BC842" s="4" t="s">
        <v>233</v>
      </c>
      <c r="BD842" s="8" t="s">
        <v>233</v>
      </c>
      <c r="BE842" s="4" t="s">
        <v>233</v>
      </c>
      <c r="BF842" s="8" t="s">
        <v>233</v>
      </c>
      <c r="BG842" s="7" t="s">
        <v>233</v>
      </c>
      <c r="BH842" s="7" t="s">
        <v>233</v>
      </c>
      <c r="BI842" s="7"/>
      <c r="BJ842" s="4">
        <v>10</v>
      </c>
      <c r="BK842" s="8">
        <v>156.8</v>
      </c>
      <c r="BL842" s="2" t="s">
        <v>522</v>
      </c>
      <c r="BM842" s="7"/>
      <c r="BN842" s="7"/>
      <c r="BO842" s="4"/>
      <c r="BP842" s="8"/>
      <c r="BQ842" s="4"/>
      <c r="BR842" s="8"/>
      <c r="BS842" s="7"/>
      <c r="BT842" s="7"/>
      <c r="BU842" s="2" t="s">
        <v>4295</v>
      </c>
      <c r="BV842" s="2" t="s">
        <v>233</v>
      </c>
      <c r="BW842" s="2" t="s">
        <v>233</v>
      </c>
      <c r="BX842" s="2" t="s">
        <v>241</v>
      </c>
      <c r="BY842" s="2" t="s">
        <v>242</v>
      </c>
      <c r="BZ842" s="2" t="s">
        <v>230</v>
      </c>
      <c r="CA842" s="2" t="s">
        <v>4296</v>
      </c>
      <c r="CB842" s="2" t="s">
        <v>4388</v>
      </c>
      <c r="CC842" s="2" t="s">
        <v>245</v>
      </c>
      <c r="CD842" s="2" t="s">
        <v>233</v>
      </c>
      <c r="CE842" s="4">
        <v>53</v>
      </c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>
        <v>40</v>
      </c>
      <c r="DB842" s="4"/>
      <c r="DC842" s="4"/>
      <c r="DD842" s="4"/>
      <c r="DE842" s="4"/>
      <c r="DF842" s="4"/>
      <c r="DG842" s="4"/>
      <c r="DH842" s="4"/>
      <c r="DI842" s="4">
        <v>40</v>
      </c>
      <c r="DJ842" s="4"/>
      <c r="DK842" s="4"/>
      <c r="DL842" s="4"/>
      <c r="DM842" s="4"/>
      <c r="DN842" s="4"/>
      <c r="DO842" s="4"/>
      <c r="DP842" s="4"/>
      <c r="DQ842" s="4"/>
      <c r="DR842" s="4">
        <v>30</v>
      </c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>
        <v>80</v>
      </c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>
        <v>53</v>
      </c>
      <c r="GD842" s="4">
        <v>38</v>
      </c>
      <c r="GE842" s="4">
        <v>71</v>
      </c>
      <c r="GF842" s="4">
        <v>64</v>
      </c>
      <c r="GG842" s="4">
        <v>91</v>
      </c>
      <c r="GH842" s="4">
        <v>108</v>
      </c>
      <c r="GI842" s="4">
        <v>97</v>
      </c>
      <c r="GJ842" s="4">
        <v>91</v>
      </c>
      <c r="GK842" s="4">
        <v>86</v>
      </c>
      <c r="GL842" s="4">
        <v>79</v>
      </c>
      <c r="GM842" s="4">
        <v>74</v>
      </c>
      <c r="GN842" s="4">
        <v>69</v>
      </c>
      <c r="GO842" s="4">
        <v>64</v>
      </c>
      <c r="GP842" s="4">
        <v>59</v>
      </c>
      <c r="GQ842" s="4">
        <v>54</v>
      </c>
      <c r="GR842" s="4">
        <v>129</v>
      </c>
      <c r="GS842" s="4">
        <v>124</v>
      </c>
      <c r="GT842" s="4">
        <v>119</v>
      </c>
      <c r="GU842" s="4">
        <v>114</v>
      </c>
      <c r="GV842" s="4">
        <v>109</v>
      </c>
      <c r="GW842" s="4">
        <v>104</v>
      </c>
      <c r="GX842" s="4">
        <v>99</v>
      </c>
      <c r="GY842" s="4">
        <v>94</v>
      </c>
      <c r="GZ842" s="4">
        <v>89</v>
      </c>
      <c r="HA842" s="4">
        <v>84</v>
      </c>
      <c r="HB842" s="4">
        <v>79</v>
      </c>
      <c r="HC842" s="19">
        <v>5.3</v>
      </c>
      <c r="HD842" s="19">
        <v>3.8</v>
      </c>
      <c r="HE842" s="19">
        <v>6.5</v>
      </c>
      <c r="HF842" s="19">
        <v>5.8</v>
      </c>
      <c r="HG842" s="19">
        <v>10.1</v>
      </c>
      <c r="HH842" s="19">
        <v>15.4</v>
      </c>
      <c r="HI842" s="19">
        <v>16.2</v>
      </c>
      <c r="HJ842" s="19">
        <v>15.2</v>
      </c>
      <c r="HK842" s="19">
        <v>14.3</v>
      </c>
      <c r="HL842" s="19">
        <v>15.8</v>
      </c>
      <c r="HM842" s="19">
        <v>14.8</v>
      </c>
      <c r="HN842" s="19">
        <v>13.8</v>
      </c>
      <c r="HO842" s="19">
        <v>12.8</v>
      </c>
      <c r="HP842" s="19">
        <v>11.8</v>
      </c>
      <c r="HQ842" s="19">
        <v>10.8</v>
      </c>
      <c r="HR842" s="19">
        <v>25.8</v>
      </c>
      <c r="HS842" s="19">
        <v>24.8</v>
      </c>
      <c r="HT842" s="19">
        <v>23.8</v>
      </c>
      <c r="HU842" s="19">
        <v>22.8</v>
      </c>
      <c r="HV842" s="19">
        <v>21.8</v>
      </c>
      <c r="HW842" s="19">
        <v>20.8</v>
      </c>
      <c r="HX842" s="19">
        <v>19.8</v>
      </c>
      <c r="HY842" s="19">
        <v>18.8</v>
      </c>
      <c r="HZ842" s="19">
        <v>17.8</v>
      </c>
      <c r="IA842" s="19">
        <v>16.8</v>
      </c>
      <c r="IB842" s="19">
        <v>15.8</v>
      </c>
    </row>
    <row r="843">
      <c r="A843" s="2" t="s">
        <v>4389</v>
      </c>
      <c r="B843" s="2" t="s">
        <v>279</v>
      </c>
      <c r="C843" s="2" t="s">
        <v>1411</v>
      </c>
      <c r="D843" s="2" t="s">
        <v>281</v>
      </c>
      <c r="E843" s="2" t="s">
        <v>282</v>
      </c>
      <c r="F843" s="2" t="s">
        <v>469</v>
      </c>
      <c r="G843" s="2" t="s">
        <v>469</v>
      </c>
      <c r="H843" s="2" t="s">
        <v>469</v>
      </c>
      <c r="I843" s="2" t="s">
        <v>4269</v>
      </c>
      <c r="J843" s="2" t="s">
        <v>336</v>
      </c>
      <c r="K843" s="2" t="s">
        <v>266</v>
      </c>
      <c r="L843" s="3">
        <v>14.21</v>
      </c>
      <c r="M843" s="3">
        <v>14.92</v>
      </c>
      <c r="N843" s="3">
        <v>32.99</v>
      </c>
      <c r="O843" s="2" t="s">
        <v>230</v>
      </c>
      <c r="P843" s="2" t="s">
        <v>1302</v>
      </c>
      <c r="Q843" s="2" t="s">
        <v>232</v>
      </c>
      <c r="R843" s="2" t="s">
        <v>233</v>
      </c>
      <c r="S843" s="2" t="s">
        <v>4375</v>
      </c>
      <c r="T843" s="2" t="s">
        <v>469</v>
      </c>
      <c r="U843" s="2" t="s">
        <v>233</v>
      </c>
      <c r="V843" s="2" t="s">
        <v>236</v>
      </c>
      <c r="W843" s="2" t="s">
        <v>237</v>
      </c>
      <c r="X843" s="2" t="s">
        <v>233</v>
      </c>
      <c r="Y843" s="2" t="s">
        <v>238</v>
      </c>
      <c r="Z843" s="4">
        <v>73</v>
      </c>
      <c r="AA843" s="4">
        <f>=ROUNDDOWN(1.82957393483709,0)</f>
      </c>
      <c r="AB843" s="5">
        <v>39.9</v>
      </c>
      <c r="AC843" s="2" t="s">
        <v>139</v>
      </c>
      <c r="AD843" s="4">
        <v>120</v>
      </c>
      <c r="AE843" s="4">
        <v>1020</v>
      </c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233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233</v>
      </c>
      <c r="AW843" s="8" t="s">
        <v>233</v>
      </c>
      <c r="AX843" s="4" t="s">
        <v>233</v>
      </c>
      <c r="AY843" s="8" t="s">
        <v>233</v>
      </c>
      <c r="AZ843" s="7" t="s">
        <v>233</v>
      </c>
      <c r="BA843" s="7" t="s">
        <v>233</v>
      </c>
      <c r="BB843" s="7" t="s">
        <v>233</v>
      </c>
      <c r="BC843" s="4" t="s">
        <v>233</v>
      </c>
      <c r="BD843" s="8" t="s">
        <v>233</v>
      </c>
      <c r="BE843" s="4" t="s">
        <v>233</v>
      </c>
      <c r="BF843" s="8" t="s">
        <v>233</v>
      </c>
      <c r="BG843" s="7" t="s">
        <v>233</v>
      </c>
      <c r="BH843" s="7" t="s">
        <v>233</v>
      </c>
      <c r="BI843" s="7"/>
      <c r="BJ843" s="4">
        <v>172</v>
      </c>
      <c r="BK843" s="8">
        <v>2582.2</v>
      </c>
      <c r="BL843" s="2" t="s">
        <v>4310</v>
      </c>
      <c r="BM843" s="7"/>
      <c r="BN843" s="7"/>
      <c r="BO843" s="4"/>
      <c r="BP843" s="8"/>
      <c r="BQ843" s="4"/>
      <c r="BR843" s="8"/>
      <c r="BS843" s="7"/>
      <c r="BT843" s="7"/>
      <c r="BU843" s="2" t="s">
        <v>4272</v>
      </c>
      <c r="BV843" s="2" t="s">
        <v>233</v>
      </c>
      <c r="BW843" s="2" t="s">
        <v>233</v>
      </c>
      <c r="BX843" s="2" t="s">
        <v>241</v>
      </c>
      <c r="BY843" s="2" t="s">
        <v>242</v>
      </c>
      <c r="BZ843" s="2" t="s">
        <v>230</v>
      </c>
      <c r="CA843" s="2" t="s">
        <v>243</v>
      </c>
      <c r="CB843" s="2" t="s">
        <v>2631</v>
      </c>
      <c r="CC843" s="2" t="s">
        <v>245</v>
      </c>
      <c r="CD843" s="2" t="s">
        <v>233</v>
      </c>
      <c r="CE843" s="4">
        <v>73</v>
      </c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>
        <v>120</v>
      </c>
      <c r="DB843" s="4"/>
      <c r="DC843" s="4"/>
      <c r="DD843" s="4"/>
      <c r="DE843" s="4"/>
      <c r="DF843" s="4"/>
      <c r="DG843" s="4"/>
      <c r="DH843" s="4"/>
      <c r="DI843" s="4">
        <v>100</v>
      </c>
      <c r="DJ843" s="4"/>
      <c r="DK843" s="4"/>
      <c r="DL843" s="4"/>
      <c r="DM843" s="4"/>
      <c r="DN843" s="4"/>
      <c r="DO843" s="4"/>
      <c r="DP843" s="4"/>
      <c r="DQ843" s="4"/>
      <c r="DR843" s="4">
        <v>480</v>
      </c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>
        <v>320</v>
      </c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>
        <v>95</v>
      </c>
      <c r="GD843" s="4">
        <v>32</v>
      </c>
      <c r="GE843" s="4">
        <v>120</v>
      </c>
      <c r="GF843" s="4">
        <v>69</v>
      </c>
      <c r="GG843" s="4">
        <v>100</v>
      </c>
      <c r="GH843" s="4">
        <v>480</v>
      </c>
      <c r="GI843" s="4">
        <v>390</v>
      </c>
      <c r="GJ843" s="4">
        <v>342</v>
      </c>
      <c r="GK843" s="4">
        <v>306</v>
      </c>
      <c r="GL843" s="4">
        <v>247</v>
      </c>
      <c r="GM843" s="4">
        <v>199</v>
      </c>
      <c r="GN843" s="4">
        <v>151</v>
      </c>
      <c r="GO843" s="4">
        <v>103</v>
      </c>
      <c r="GP843" s="4">
        <v>55</v>
      </c>
      <c r="GQ843" s="4">
        <v>7</v>
      </c>
      <c r="GR843" s="4">
        <v>320</v>
      </c>
      <c r="GS843" s="4">
        <v>270</v>
      </c>
      <c r="GT843" s="4">
        <v>222</v>
      </c>
      <c r="GU843" s="4">
        <v>174</v>
      </c>
      <c r="GV843" s="4">
        <v>654</v>
      </c>
      <c r="GW843" s="4">
        <v>614</v>
      </c>
      <c r="GX843" s="4">
        <v>574</v>
      </c>
      <c r="GY843" s="4">
        <v>534</v>
      </c>
      <c r="GZ843" s="4">
        <v>498</v>
      </c>
      <c r="HA843" s="4">
        <v>462</v>
      </c>
      <c r="HB843" s="4">
        <v>426</v>
      </c>
      <c r="HC843" s="19">
        <v>1.5</v>
      </c>
      <c r="HD843" s="19">
        <v>0.4</v>
      </c>
      <c r="HE843" s="19">
        <v>1.4</v>
      </c>
      <c r="HF843" s="19">
        <v>0.8</v>
      </c>
      <c r="HG843" s="19">
        <v>1.4</v>
      </c>
      <c r="HH843" s="19">
        <v>8.3</v>
      </c>
      <c r="HI843" s="19">
        <v>8.1</v>
      </c>
      <c r="HJ843" s="19">
        <v>7.1</v>
      </c>
      <c r="HK843" s="19">
        <v>6</v>
      </c>
      <c r="HL843" s="19">
        <v>5.1</v>
      </c>
      <c r="HM843" s="19">
        <v>4.1</v>
      </c>
      <c r="HN843" s="19">
        <v>3.1</v>
      </c>
      <c r="HO843" s="19">
        <v>2.1</v>
      </c>
      <c r="HP843" s="19">
        <v>1.1</v>
      </c>
      <c r="HQ843" s="19">
        <v>0.1</v>
      </c>
      <c r="HR843" s="19">
        <v>7</v>
      </c>
      <c r="HS843" s="19">
        <v>6.1</v>
      </c>
      <c r="HT843" s="19">
        <v>5.3</v>
      </c>
      <c r="HU843" s="19">
        <v>4.4</v>
      </c>
      <c r="HV843" s="19">
        <v>16.8</v>
      </c>
      <c r="HW843" s="19">
        <v>16.2</v>
      </c>
      <c r="HX843" s="19">
        <v>15.5</v>
      </c>
      <c r="HY843" s="19">
        <v>14.8</v>
      </c>
      <c r="HZ843" s="19">
        <v>13.8</v>
      </c>
      <c r="IA843" s="19">
        <v>12.5</v>
      </c>
      <c r="IB843" s="19">
        <v>11.2</v>
      </c>
    </row>
    <row r="844">
      <c r="A844" s="2" t="s">
        <v>4390</v>
      </c>
      <c r="B844" s="2" t="s">
        <v>279</v>
      </c>
      <c r="C844" s="2" t="s">
        <v>1411</v>
      </c>
      <c r="D844" s="2" t="s">
        <v>281</v>
      </c>
      <c r="E844" s="2" t="s">
        <v>282</v>
      </c>
      <c r="F844" s="2" t="s">
        <v>469</v>
      </c>
      <c r="G844" s="2" t="s">
        <v>469</v>
      </c>
      <c r="H844" s="2" t="s">
        <v>469</v>
      </c>
      <c r="I844" s="2" t="s">
        <v>4293</v>
      </c>
      <c r="J844" s="2" t="s">
        <v>336</v>
      </c>
      <c r="K844" s="2" t="s">
        <v>266</v>
      </c>
      <c r="L844" s="3">
        <v>14.85</v>
      </c>
      <c r="M844" s="3">
        <v>15.59</v>
      </c>
      <c r="N844" s="3">
        <v>32.99</v>
      </c>
      <c r="O844" s="2" t="s">
        <v>230</v>
      </c>
      <c r="P844" s="2" t="s">
        <v>231</v>
      </c>
      <c r="Q844" s="2" t="s">
        <v>232</v>
      </c>
      <c r="R844" s="2" t="s">
        <v>233</v>
      </c>
      <c r="S844" s="2" t="s">
        <v>4375</v>
      </c>
      <c r="T844" s="2" t="s">
        <v>469</v>
      </c>
      <c r="U844" s="2" t="s">
        <v>665</v>
      </c>
      <c r="V844" s="2" t="s">
        <v>236</v>
      </c>
      <c r="W844" s="2" t="s">
        <v>237</v>
      </c>
      <c r="X844" s="2" t="s">
        <v>620</v>
      </c>
      <c r="Y844" s="2" t="s">
        <v>4294</v>
      </c>
      <c r="Z844" s="4">
        <v>80</v>
      </c>
      <c r="AA844" s="4">
        <f>=ROUNDDOWN(2.73037542662116,0)</f>
      </c>
      <c r="AB844" s="5">
        <v>29.3</v>
      </c>
      <c r="AC844" s="2" t="s">
        <v>147</v>
      </c>
      <c r="AD844" s="4">
        <v>110</v>
      </c>
      <c r="AE844" s="4">
        <v>620</v>
      </c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233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233</v>
      </c>
      <c r="AW844" s="8" t="s">
        <v>233</v>
      </c>
      <c r="AX844" s="4" t="s">
        <v>233</v>
      </c>
      <c r="AY844" s="8" t="s">
        <v>233</v>
      </c>
      <c r="AZ844" s="7" t="s">
        <v>233</v>
      </c>
      <c r="BA844" s="7" t="s">
        <v>233</v>
      </c>
      <c r="BB844" s="7" t="s">
        <v>233</v>
      </c>
      <c r="BC844" s="4" t="s">
        <v>233</v>
      </c>
      <c r="BD844" s="8" t="s">
        <v>233</v>
      </c>
      <c r="BE844" s="4" t="s">
        <v>233</v>
      </c>
      <c r="BF844" s="8" t="s">
        <v>233</v>
      </c>
      <c r="BG844" s="7" t="s">
        <v>233</v>
      </c>
      <c r="BH844" s="7" t="s">
        <v>233</v>
      </c>
      <c r="BI844" s="7"/>
      <c r="BJ844" s="4">
        <v>156</v>
      </c>
      <c r="BK844" s="8">
        <v>2450.33</v>
      </c>
      <c r="BL844" s="2" t="s">
        <v>4391</v>
      </c>
      <c r="BM844" s="7"/>
      <c r="BN844" s="7"/>
      <c r="BO844" s="4"/>
      <c r="BP844" s="8"/>
      <c r="BQ844" s="4"/>
      <c r="BR844" s="8"/>
      <c r="BS844" s="7"/>
      <c r="BT844" s="7"/>
      <c r="BU844" s="2" t="s">
        <v>4295</v>
      </c>
      <c r="BV844" s="2" t="s">
        <v>233</v>
      </c>
      <c r="BW844" s="2" t="s">
        <v>233</v>
      </c>
      <c r="BX844" s="2" t="s">
        <v>241</v>
      </c>
      <c r="BY844" s="2" t="s">
        <v>242</v>
      </c>
      <c r="BZ844" s="2" t="s">
        <v>230</v>
      </c>
      <c r="CA844" s="2" t="s">
        <v>4296</v>
      </c>
      <c r="CB844" s="2" t="s">
        <v>3262</v>
      </c>
      <c r="CC844" s="2" t="s">
        <v>245</v>
      </c>
      <c r="CD844" s="2" t="s">
        <v>233</v>
      </c>
      <c r="CE844" s="4">
        <v>80</v>
      </c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>
        <v>110</v>
      </c>
      <c r="DJ844" s="4"/>
      <c r="DK844" s="4"/>
      <c r="DL844" s="4"/>
      <c r="DM844" s="4"/>
      <c r="DN844" s="4"/>
      <c r="DO844" s="4"/>
      <c r="DP844" s="4"/>
      <c r="DQ844" s="4"/>
      <c r="DR844" s="4">
        <v>300</v>
      </c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>
        <v>210</v>
      </c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>
        <v>99</v>
      </c>
      <c r="GD844" s="4">
        <v>56</v>
      </c>
      <c r="GE844" s="4">
        <v>22</v>
      </c>
      <c r="GF844" s="4"/>
      <c r="GG844" s="4">
        <v>110</v>
      </c>
      <c r="GH844" s="4">
        <v>329</v>
      </c>
      <c r="GI844" s="4">
        <v>264</v>
      </c>
      <c r="GJ844" s="4">
        <v>228</v>
      </c>
      <c r="GK844" s="4">
        <v>201</v>
      </c>
      <c r="GL844" s="4">
        <v>156</v>
      </c>
      <c r="GM844" s="4">
        <v>120</v>
      </c>
      <c r="GN844" s="4">
        <v>84</v>
      </c>
      <c r="GO844" s="4">
        <v>48</v>
      </c>
      <c r="GP844" s="4">
        <v>12</v>
      </c>
      <c r="GQ844" s="4"/>
      <c r="GR844" s="4">
        <v>210</v>
      </c>
      <c r="GS844" s="4">
        <v>172</v>
      </c>
      <c r="GT844" s="4">
        <v>136</v>
      </c>
      <c r="GU844" s="4">
        <v>100</v>
      </c>
      <c r="GV844" s="4">
        <v>525</v>
      </c>
      <c r="GW844" s="4">
        <v>495</v>
      </c>
      <c r="GX844" s="4">
        <v>465</v>
      </c>
      <c r="GY844" s="4">
        <v>435</v>
      </c>
      <c r="GZ844" s="4">
        <v>408</v>
      </c>
      <c r="HA844" s="4">
        <v>381</v>
      </c>
      <c r="HB844" s="4">
        <v>354</v>
      </c>
      <c r="HC844" s="19">
        <v>2.1</v>
      </c>
      <c r="HD844" s="19">
        <v>1</v>
      </c>
      <c r="HE844" s="19">
        <v>0.3</v>
      </c>
      <c r="HF844" s="20">
        <v>0</v>
      </c>
      <c r="HG844" s="19">
        <v>2.1</v>
      </c>
      <c r="HH844" s="19">
        <v>7.7</v>
      </c>
      <c r="HI844" s="19">
        <v>7.3</v>
      </c>
      <c r="HJ844" s="19">
        <v>6.3</v>
      </c>
      <c r="HK844" s="19">
        <v>5.3</v>
      </c>
      <c r="HL844" s="19">
        <v>4.3</v>
      </c>
      <c r="HM844" s="9"/>
      <c r="HN844" s="19">
        <v>2.3</v>
      </c>
      <c r="HO844" s="19">
        <v>1.3</v>
      </c>
      <c r="HP844" s="19">
        <v>0.3</v>
      </c>
      <c r="HQ844" s="20">
        <v>0</v>
      </c>
      <c r="HR844" s="19">
        <v>6</v>
      </c>
      <c r="HS844" s="19">
        <v>5.2</v>
      </c>
      <c r="HT844" s="19">
        <v>4.3</v>
      </c>
      <c r="HU844" s="19">
        <v>3.3</v>
      </c>
      <c r="HV844" s="19">
        <v>18.1</v>
      </c>
      <c r="HW844" s="19">
        <v>17.7</v>
      </c>
      <c r="HX844" s="19">
        <v>16.6</v>
      </c>
      <c r="HY844" s="19">
        <v>16.1</v>
      </c>
      <c r="HZ844" s="19">
        <v>15.1</v>
      </c>
      <c r="IA844" s="19">
        <v>13.6</v>
      </c>
      <c r="IB844" s="19">
        <v>12.6</v>
      </c>
    </row>
    <row r="845">
      <c r="A845" s="2" t="s">
        <v>4392</v>
      </c>
      <c r="B845" s="2" t="s">
        <v>279</v>
      </c>
      <c r="C845" s="2" t="s">
        <v>1411</v>
      </c>
      <c r="D845" s="2" t="s">
        <v>281</v>
      </c>
      <c r="E845" s="2" t="s">
        <v>282</v>
      </c>
      <c r="F845" s="2" t="s">
        <v>469</v>
      </c>
      <c r="G845" s="2" t="s">
        <v>469</v>
      </c>
      <c r="H845" s="2" t="s">
        <v>469</v>
      </c>
      <c r="I845" s="2" t="s">
        <v>4269</v>
      </c>
      <c r="J845" s="2" t="s">
        <v>256</v>
      </c>
      <c r="K845" s="2" t="s">
        <v>266</v>
      </c>
      <c r="L845" s="3">
        <v>16.75</v>
      </c>
      <c r="M845" s="3">
        <v>17.59</v>
      </c>
      <c r="N845" s="3">
        <v>37.99</v>
      </c>
      <c r="O845" s="2" t="s">
        <v>230</v>
      </c>
      <c r="P845" s="2" t="s">
        <v>231</v>
      </c>
      <c r="Q845" s="2" t="s">
        <v>232</v>
      </c>
      <c r="R845" s="2" t="s">
        <v>233</v>
      </c>
      <c r="S845" s="2" t="s">
        <v>4375</v>
      </c>
      <c r="T845" s="2" t="s">
        <v>469</v>
      </c>
      <c r="U845" s="2" t="s">
        <v>233</v>
      </c>
      <c r="V845" s="2" t="s">
        <v>236</v>
      </c>
      <c r="W845" s="2" t="s">
        <v>237</v>
      </c>
      <c r="X845" s="2" t="s">
        <v>233</v>
      </c>
      <c r="Y845" s="2" t="s">
        <v>238</v>
      </c>
      <c r="Z845" s="4">
        <v>114</v>
      </c>
      <c r="AA845" s="4">
        <f>=ROUNDDOWN(7.125,0)</f>
      </c>
      <c r="AB845" s="5">
        <v>16</v>
      </c>
      <c r="AC845" s="2" t="s">
        <v>139</v>
      </c>
      <c r="AD845" s="4">
        <v>120</v>
      </c>
      <c r="AE845" s="4">
        <v>220</v>
      </c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233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233</v>
      </c>
      <c r="AW845" s="8" t="s">
        <v>233</v>
      </c>
      <c r="AX845" s="4" t="s">
        <v>233</v>
      </c>
      <c r="AY845" s="8" t="s">
        <v>233</v>
      </c>
      <c r="AZ845" s="7" t="s">
        <v>233</v>
      </c>
      <c r="BA845" s="7" t="s">
        <v>233</v>
      </c>
      <c r="BB845" s="7"/>
      <c r="BC845" s="4" t="s">
        <v>233</v>
      </c>
      <c r="BD845" s="8" t="s">
        <v>233</v>
      </c>
      <c r="BE845" s="4" t="s">
        <v>233</v>
      </c>
      <c r="BF845" s="8" t="s">
        <v>233</v>
      </c>
      <c r="BG845" s="7" t="s">
        <v>233</v>
      </c>
      <c r="BH845" s="7" t="s">
        <v>233</v>
      </c>
      <c r="BI845" s="7"/>
      <c r="BJ845" s="4">
        <v>73</v>
      </c>
      <c r="BK845" s="8">
        <v>1361.15</v>
      </c>
      <c r="BL845" s="2" t="s">
        <v>4393</v>
      </c>
      <c r="BM845" s="7"/>
      <c r="BN845" s="7"/>
      <c r="BO845" s="4"/>
      <c r="BP845" s="8"/>
      <c r="BQ845" s="4"/>
      <c r="BR845" s="8"/>
      <c r="BS845" s="7"/>
      <c r="BT845" s="7"/>
      <c r="BU845" s="2" t="s">
        <v>4272</v>
      </c>
      <c r="BV845" s="2" t="s">
        <v>233</v>
      </c>
      <c r="BW845" s="2" t="s">
        <v>233</v>
      </c>
      <c r="BX845" s="2" t="s">
        <v>241</v>
      </c>
      <c r="BY845" s="2" t="s">
        <v>242</v>
      </c>
      <c r="BZ845" s="2" t="s">
        <v>230</v>
      </c>
      <c r="CA845" s="2" t="s">
        <v>243</v>
      </c>
      <c r="CB845" s="2" t="s">
        <v>4394</v>
      </c>
      <c r="CC845" s="2" t="s">
        <v>245</v>
      </c>
      <c r="CD845" s="2" t="s">
        <v>233</v>
      </c>
      <c r="CE845" s="4">
        <v>114</v>
      </c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>
        <v>120</v>
      </c>
      <c r="DB845" s="4"/>
      <c r="DC845" s="4"/>
      <c r="DD845" s="4"/>
      <c r="DE845" s="4"/>
      <c r="DF845" s="4"/>
      <c r="DG845" s="4"/>
      <c r="DH845" s="4"/>
      <c r="DI845" s="4">
        <v>100</v>
      </c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>
        <v>233</v>
      </c>
      <c r="GD845" s="4">
        <v>167</v>
      </c>
      <c r="GE845" s="4">
        <v>275</v>
      </c>
      <c r="GF845" s="4">
        <v>260</v>
      </c>
      <c r="GG845" s="4">
        <v>328</v>
      </c>
      <c r="GH845" s="4">
        <v>295</v>
      </c>
      <c r="GI845" s="4">
        <v>267</v>
      </c>
      <c r="GJ845" s="4">
        <v>250</v>
      </c>
      <c r="GK845" s="4">
        <v>236</v>
      </c>
      <c r="GL845" s="4">
        <v>216</v>
      </c>
      <c r="GM845" s="4">
        <v>200</v>
      </c>
      <c r="GN845" s="4">
        <v>184</v>
      </c>
      <c r="GO845" s="4">
        <v>168</v>
      </c>
      <c r="GP845" s="4">
        <v>152</v>
      </c>
      <c r="GQ845" s="4">
        <v>136</v>
      </c>
      <c r="GR845" s="4">
        <v>120</v>
      </c>
      <c r="GS845" s="4">
        <v>104</v>
      </c>
      <c r="GT845" s="4">
        <v>88</v>
      </c>
      <c r="GU845" s="4">
        <v>72</v>
      </c>
      <c r="GV845" s="4">
        <v>199</v>
      </c>
      <c r="GW845" s="4">
        <v>182</v>
      </c>
      <c r="GX845" s="4">
        <v>165</v>
      </c>
      <c r="GY845" s="4">
        <v>148</v>
      </c>
      <c r="GZ845" s="4">
        <v>133</v>
      </c>
      <c r="HA845" s="4">
        <v>118</v>
      </c>
      <c r="HB845" s="4">
        <v>104</v>
      </c>
      <c r="HC845" s="19">
        <v>7.5</v>
      </c>
      <c r="HD845" s="19">
        <v>7.3</v>
      </c>
      <c r="HE845" s="19">
        <v>10.2</v>
      </c>
      <c r="HF845" s="19">
        <v>9.3</v>
      </c>
      <c r="HG845" s="19">
        <v>14.3</v>
      </c>
      <c r="HH845" s="19">
        <v>14.8</v>
      </c>
      <c r="HI845" s="19">
        <v>15.7</v>
      </c>
      <c r="HJ845" s="19">
        <v>15.6</v>
      </c>
      <c r="HK845" s="19">
        <v>13.9</v>
      </c>
      <c r="HL845" s="19">
        <v>13.5</v>
      </c>
      <c r="HM845" s="19">
        <v>12.5</v>
      </c>
      <c r="HN845" s="19">
        <v>11.5</v>
      </c>
      <c r="HO845" s="19">
        <v>10.5</v>
      </c>
      <c r="HP845" s="19">
        <v>9.5</v>
      </c>
      <c r="HQ845" s="19">
        <v>8.5</v>
      </c>
      <c r="HR845" s="19">
        <v>7.5</v>
      </c>
      <c r="HS845" s="19">
        <v>6.5</v>
      </c>
      <c r="HT845" s="19">
        <v>5.2</v>
      </c>
      <c r="HU845" s="19">
        <v>4.2</v>
      </c>
      <c r="HV845" s="19">
        <v>12.4</v>
      </c>
      <c r="HW845" s="19">
        <v>11.4</v>
      </c>
      <c r="HX845" s="19">
        <v>11</v>
      </c>
      <c r="HY845" s="19">
        <v>10.6</v>
      </c>
      <c r="HZ845" s="19">
        <v>9.5</v>
      </c>
      <c r="IA845" s="19">
        <v>8.4</v>
      </c>
      <c r="IB845" s="19">
        <v>7.4</v>
      </c>
    </row>
    <row r="846">
      <c r="A846" s="2" t="s">
        <v>4395</v>
      </c>
      <c r="B846" s="2" t="s">
        <v>773</v>
      </c>
      <c r="C846" s="2" t="s">
        <v>2240</v>
      </c>
      <c r="D846" s="2" t="s">
        <v>2224</v>
      </c>
      <c r="E846" s="2" t="s">
        <v>2225</v>
      </c>
      <c r="F846" s="2" t="s">
        <v>4396</v>
      </c>
      <c r="G846" s="2" t="s">
        <v>4396</v>
      </c>
      <c r="H846" s="2" t="s">
        <v>4396</v>
      </c>
      <c r="I846" s="2" t="s">
        <v>3009</v>
      </c>
      <c r="J846" s="2" t="s">
        <v>228</v>
      </c>
      <c r="K846" s="2" t="s">
        <v>266</v>
      </c>
      <c r="L846" s="3">
        <v>35.71</v>
      </c>
      <c r="M846" s="3">
        <v>37.5</v>
      </c>
      <c r="N846" s="3">
        <v>74.99</v>
      </c>
      <c r="O846" s="2" t="s">
        <v>230</v>
      </c>
      <c r="P846" s="2" t="s">
        <v>231</v>
      </c>
      <c r="Q846" s="2" t="s">
        <v>232</v>
      </c>
      <c r="R846" s="2" t="s">
        <v>233</v>
      </c>
      <c r="S846" s="2" t="s">
        <v>4397</v>
      </c>
      <c r="T846" s="2" t="s">
        <v>469</v>
      </c>
      <c r="U846" s="2" t="s">
        <v>329</v>
      </c>
      <c r="V846" s="2" t="s">
        <v>236</v>
      </c>
      <c r="W846" s="2" t="s">
        <v>237</v>
      </c>
      <c r="X846" s="2" t="s">
        <v>233</v>
      </c>
      <c r="Y846" s="2" t="s">
        <v>2229</v>
      </c>
      <c r="Z846" s="4">
        <v>273</v>
      </c>
      <c r="AA846" s="4">
        <f>=ROUNDDOWN(27.3,0)</f>
      </c>
      <c r="AB846" s="5">
        <v>10</v>
      </c>
      <c r="AC846" s="2" t="s">
        <v>233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233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233</v>
      </c>
      <c r="AW846" s="8" t="s">
        <v>233</v>
      </c>
      <c r="AX846" s="4" t="s">
        <v>233</v>
      </c>
      <c r="AY846" s="8" t="s">
        <v>233</v>
      </c>
      <c r="AZ846" s="7" t="s">
        <v>233</v>
      </c>
      <c r="BA846" s="7" t="s">
        <v>233</v>
      </c>
      <c r="BB846" s="7"/>
      <c r="BC846" s="4" t="s">
        <v>233</v>
      </c>
      <c r="BD846" s="8" t="s">
        <v>233</v>
      </c>
      <c r="BE846" s="4" t="s">
        <v>233</v>
      </c>
      <c r="BF846" s="8" t="s">
        <v>233</v>
      </c>
      <c r="BG846" s="7" t="s">
        <v>233</v>
      </c>
      <c r="BH846" s="7" t="s">
        <v>233</v>
      </c>
      <c r="BI846" s="7"/>
      <c r="BJ846" s="4">
        <v>36</v>
      </c>
      <c r="BK846" s="8">
        <v>1519.65</v>
      </c>
      <c r="BL846" s="2" t="s">
        <v>4398</v>
      </c>
      <c r="BM846" s="7"/>
      <c r="BN846" s="7"/>
      <c r="BO846" s="4"/>
      <c r="BP846" s="8"/>
      <c r="BQ846" s="4"/>
      <c r="BR846" s="8"/>
      <c r="BS846" s="7"/>
      <c r="BT846" s="7"/>
      <c r="BU846" s="2" t="s">
        <v>4399</v>
      </c>
      <c r="BV846" s="2" t="s">
        <v>233</v>
      </c>
      <c r="BW846" s="2" t="s">
        <v>233</v>
      </c>
      <c r="BX846" s="2" t="s">
        <v>241</v>
      </c>
      <c r="BY846" s="2" t="s">
        <v>242</v>
      </c>
      <c r="BZ846" s="2" t="s">
        <v>230</v>
      </c>
      <c r="CA846" s="2" t="s">
        <v>2233</v>
      </c>
      <c r="CB846" s="2" t="s">
        <v>4400</v>
      </c>
      <c r="CC846" s="2" t="s">
        <v>245</v>
      </c>
      <c r="CD846" s="2" t="s">
        <v>233</v>
      </c>
      <c r="CE846" s="4">
        <v>273</v>
      </c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>
        <v>274</v>
      </c>
      <c r="GD846" s="4">
        <v>261</v>
      </c>
      <c r="GE846" s="4">
        <v>249</v>
      </c>
      <c r="GF846" s="4">
        <v>235</v>
      </c>
      <c r="GG846" s="4">
        <v>220</v>
      </c>
      <c r="GH846" s="4">
        <v>204</v>
      </c>
      <c r="GI846" s="4">
        <v>184</v>
      </c>
      <c r="GJ846" s="4">
        <v>157</v>
      </c>
      <c r="GK846" s="4">
        <v>136</v>
      </c>
      <c r="GL846" s="4">
        <v>123</v>
      </c>
      <c r="GM846" s="4">
        <v>112</v>
      </c>
      <c r="GN846" s="4">
        <v>101</v>
      </c>
      <c r="GO846" s="4">
        <v>95</v>
      </c>
      <c r="GP846" s="4">
        <v>89</v>
      </c>
      <c r="GQ846" s="4">
        <v>83</v>
      </c>
      <c r="GR846" s="4">
        <v>74</v>
      </c>
      <c r="GS846" s="4">
        <v>67</v>
      </c>
      <c r="GT846" s="4">
        <v>62</v>
      </c>
      <c r="GU846" s="4">
        <v>60</v>
      </c>
      <c r="GV846" s="4">
        <v>58</v>
      </c>
      <c r="GW846" s="4">
        <v>55</v>
      </c>
      <c r="GX846" s="4">
        <v>52</v>
      </c>
      <c r="GY846" s="4">
        <v>50</v>
      </c>
      <c r="GZ846" s="4">
        <v>45</v>
      </c>
      <c r="HA846" s="4">
        <v>41</v>
      </c>
      <c r="HB846" s="4">
        <v>40</v>
      </c>
      <c r="HC846" s="19">
        <v>19.6</v>
      </c>
      <c r="HD846" s="19">
        <v>18.6</v>
      </c>
      <c r="HE846" s="19">
        <v>15.6</v>
      </c>
      <c r="HF846" s="19">
        <v>11.8</v>
      </c>
      <c r="HG846" s="19">
        <v>10.5</v>
      </c>
      <c r="HH846" s="19">
        <v>10.2</v>
      </c>
      <c r="HI846" s="19">
        <v>10.2</v>
      </c>
      <c r="HJ846" s="19">
        <v>11.2</v>
      </c>
      <c r="HK846" s="19">
        <v>13.6</v>
      </c>
      <c r="HL846" s="19">
        <v>15.4</v>
      </c>
      <c r="HM846" s="19">
        <v>16</v>
      </c>
      <c r="HN846" s="19">
        <v>14.4</v>
      </c>
      <c r="HO846" s="19">
        <v>13.6</v>
      </c>
      <c r="HP846" s="19">
        <v>12.7</v>
      </c>
      <c r="HQ846" s="19">
        <v>13.8</v>
      </c>
      <c r="HR846" s="19">
        <v>18.5</v>
      </c>
      <c r="HS846" s="19">
        <v>22.3</v>
      </c>
      <c r="HT846" s="19">
        <v>31</v>
      </c>
      <c r="HU846" s="19">
        <v>30</v>
      </c>
      <c r="HV846" s="19">
        <v>19.3</v>
      </c>
      <c r="HW846" s="19">
        <v>13.8</v>
      </c>
      <c r="HX846" s="19">
        <v>17.3</v>
      </c>
      <c r="HY846" s="19">
        <v>16.7</v>
      </c>
      <c r="HZ846" s="19">
        <v>22.5</v>
      </c>
      <c r="IA846" s="19">
        <v>20.5</v>
      </c>
      <c r="IB846" s="19">
        <v>20</v>
      </c>
    </row>
    <row r="847">
      <c r="A847" s="2" t="s">
        <v>4401</v>
      </c>
      <c r="B847" s="2" t="s">
        <v>773</v>
      </c>
      <c r="C847" s="2" t="s">
        <v>2240</v>
      </c>
      <c r="D847" s="2" t="s">
        <v>2224</v>
      </c>
      <c r="E847" s="2" t="s">
        <v>2225</v>
      </c>
      <c r="F847" s="2" t="s">
        <v>4396</v>
      </c>
      <c r="G847" s="2" t="s">
        <v>4396</v>
      </c>
      <c r="H847" s="2" t="s">
        <v>4396</v>
      </c>
      <c r="I847" s="2" t="s">
        <v>3009</v>
      </c>
      <c r="J847" s="2" t="s">
        <v>256</v>
      </c>
      <c r="K847" s="2" t="s">
        <v>266</v>
      </c>
      <c r="L847" s="3">
        <v>59.52</v>
      </c>
      <c r="M847" s="3">
        <v>62.5</v>
      </c>
      <c r="N847" s="3">
        <v>124.99</v>
      </c>
      <c r="O847" s="2" t="s">
        <v>230</v>
      </c>
      <c r="P847" s="2" t="s">
        <v>231</v>
      </c>
      <c r="Q847" s="2" t="s">
        <v>232</v>
      </c>
      <c r="R847" s="2" t="s">
        <v>233</v>
      </c>
      <c r="S847" s="2" t="s">
        <v>4397</v>
      </c>
      <c r="T847" s="2" t="s">
        <v>469</v>
      </c>
      <c r="U847" s="2" t="s">
        <v>329</v>
      </c>
      <c r="V847" s="2" t="s">
        <v>236</v>
      </c>
      <c r="W847" s="2" t="s">
        <v>237</v>
      </c>
      <c r="X847" s="2" t="s">
        <v>233</v>
      </c>
      <c r="Y847" s="2" t="s">
        <v>4402</v>
      </c>
      <c r="Z847" s="4">
        <v>993</v>
      </c>
      <c r="AA847" s="4">
        <f>=ROUNDDOWN(19.0961538461538,0)</f>
      </c>
      <c r="AB847" s="5">
        <v>52</v>
      </c>
      <c r="AC847" s="2" t="s">
        <v>135</v>
      </c>
      <c r="AD847" s="4">
        <v>390</v>
      </c>
      <c r="AE847" s="4">
        <v>630</v>
      </c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233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233</v>
      </c>
      <c r="AW847" s="8" t="s">
        <v>233</v>
      </c>
      <c r="AX847" s="4" t="s">
        <v>233</v>
      </c>
      <c r="AY847" s="8" t="s">
        <v>233</v>
      </c>
      <c r="AZ847" s="7" t="s">
        <v>233</v>
      </c>
      <c r="BA847" s="7" t="s">
        <v>233</v>
      </c>
      <c r="BB847" s="7"/>
      <c r="BC847" s="4" t="s">
        <v>233</v>
      </c>
      <c r="BD847" s="8" t="s">
        <v>233</v>
      </c>
      <c r="BE847" s="4" t="s">
        <v>233</v>
      </c>
      <c r="BF847" s="8" t="s">
        <v>233</v>
      </c>
      <c r="BG847" s="7" t="s">
        <v>233</v>
      </c>
      <c r="BH847" s="7" t="s">
        <v>233</v>
      </c>
      <c r="BI847" s="7"/>
      <c r="BJ847" s="4">
        <v>168</v>
      </c>
      <c r="BK847" s="8">
        <v>11334.03</v>
      </c>
      <c r="BL847" s="2" t="s">
        <v>4403</v>
      </c>
      <c r="BM847" s="7"/>
      <c r="BN847" s="7"/>
      <c r="BO847" s="4"/>
      <c r="BP847" s="8"/>
      <c r="BQ847" s="4"/>
      <c r="BR847" s="8"/>
      <c r="BS847" s="7"/>
      <c r="BT847" s="7"/>
      <c r="BU847" s="2" t="s">
        <v>4399</v>
      </c>
      <c r="BV847" s="2" t="s">
        <v>233</v>
      </c>
      <c r="BW847" s="2" t="s">
        <v>233</v>
      </c>
      <c r="BX847" s="2" t="s">
        <v>241</v>
      </c>
      <c r="BY847" s="2" t="s">
        <v>242</v>
      </c>
      <c r="BZ847" s="2" t="s">
        <v>230</v>
      </c>
      <c r="CA847" s="2" t="s">
        <v>2233</v>
      </c>
      <c r="CB847" s="2" t="s">
        <v>2468</v>
      </c>
      <c r="CC847" s="2" t="s">
        <v>245</v>
      </c>
      <c r="CD847" s="2" t="s">
        <v>233</v>
      </c>
      <c r="CE847" s="4">
        <v>743</v>
      </c>
      <c r="CF847" s="4"/>
      <c r="CG847" s="4"/>
      <c r="CH847" s="4"/>
      <c r="CI847" s="4"/>
      <c r="CJ847" s="4"/>
      <c r="CK847" s="4"/>
      <c r="CL847" s="4"/>
      <c r="CM847" s="4"/>
      <c r="CN847" s="4"/>
      <c r="CO847" s="4">
        <v>250</v>
      </c>
      <c r="CP847" s="4"/>
      <c r="CQ847" s="4"/>
      <c r="CR847" s="4"/>
      <c r="CS847" s="4"/>
      <c r="CT847" s="4"/>
      <c r="CU847" s="4">
        <v>390</v>
      </c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>
        <v>240</v>
      </c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>
        <v>1016</v>
      </c>
      <c r="GD847" s="4">
        <v>1315</v>
      </c>
      <c r="GE847" s="4">
        <v>1221</v>
      </c>
      <c r="GF847" s="4">
        <v>1096</v>
      </c>
      <c r="GG847" s="4">
        <v>904</v>
      </c>
      <c r="GH847" s="4">
        <v>784</v>
      </c>
      <c r="GI847" s="4">
        <v>884</v>
      </c>
      <c r="GJ847" s="4">
        <v>806</v>
      </c>
      <c r="GK847" s="4">
        <v>707</v>
      </c>
      <c r="GL847" s="4">
        <v>634</v>
      </c>
      <c r="GM847" s="4">
        <v>603</v>
      </c>
      <c r="GN847" s="4">
        <v>551</v>
      </c>
      <c r="GO847" s="4">
        <v>525</v>
      </c>
      <c r="GP847" s="4">
        <v>499</v>
      </c>
      <c r="GQ847" s="4">
        <v>457</v>
      </c>
      <c r="GR847" s="4">
        <v>415</v>
      </c>
      <c r="GS847" s="4">
        <v>389</v>
      </c>
      <c r="GT847" s="4">
        <v>363</v>
      </c>
      <c r="GU847" s="4">
        <v>353</v>
      </c>
      <c r="GV847" s="4">
        <v>332</v>
      </c>
      <c r="GW847" s="4">
        <v>306</v>
      </c>
      <c r="GX847" s="4">
        <v>290</v>
      </c>
      <c r="GY847" s="4">
        <v>280</v>
      </c>
      <c r="GZ847" s="4">
        <v>244</v>
      </c>
      <c r="HA847" s="4">
        <v>208</v>
      </c>
      <c r="HB847" s="4">
        <v>198</v>
      </c>
      <c r="HC847" s="19">
        <v>8.1</v>
      </c>
      <c r="HD847" s="19">
        <v>9.9</v>
      </c>
      <c r="HE847" s="19">
        <v>8.5</v>
      </c>
      <c r="HF847" s="19">
        <v>8.3</v>
      </c>
      <c r="HG847" s="19">
        <v>8.3</v>
      </c>
      <c r="HH847" s="19">
        <v>8</v>
      </c>
      <c r="HI847" s="19">
        <v>12.6</v>
      </c>
      <c r="HJ847" s="19">
        <v>12.6</v>
      </c>
      <c r="HK847" s="19">
        <v>15.4</v>
      </c>
      <c r="HL847" s="19">
        <v>18.6</v>
      </c>
      <c r="HM847" s="19">
        <v>16.8</v>
      </c>
      <c r="HN847" s="19">
        <v>16.2</v>
      </c>
      <c r="HO847" s="19">
        <v>15.4</v>
      </c>
      <c r="HP847" s="19">
        <v>14.7</v>
      </c>
      <c r="HQ847" s="19">
        <v>17.6</v>
      </c>
      <c r="HR847" s="19">
        <v>19.8</v>
      </c>
      <c r="HS847" s="19">
        <v>18.5</v>
      </c>
      <c r="HT847" s="19">
        <v>20.2</v>
      </c>
      <c r="HU847" s="19">
        <v>19.6</v>
      </c>
      <c r="HV847" s="19">
        <v>15.1</v>
      </c>
      <c r="HW847" s="19">
        <v>12.8</v>
      </c>
      <c r="HX847" s="19">
        <v>12.6</v>
      </c>
      <c r="HY847" s="19">
        <v>12.2</v>
      </c>
      <c r="HZ847" s="19">
        <v>12.8</v>
      </c>
      <c r="IA847" s="19">
        <v>17.3</v>
      </c>
      <c r="IB847" s="19">
        <v>16.5</v>
      </c>
    </row>
    <row r="848">
      <c r="A848" s="2" t="s">
        <v>4404</v>
      </c>
      <c r="B848" s="2" t="s">
        <v>773</v>
      </c>
      <c r="C848" s="2" t="s">
        <v>616</v>
      </c>
      <c r="D848" s="2" t="s">
        <v>985</v>
      </c>
      <c r="E848" s="2" t="s">
        <v>2241</v>
      </c>
      <c r="F848" s="2" t="s">
        <v>4405</v>
      </c>
      <c r="G848" s="2" t="s">
        <v>4405</v>
      </c>
      <c r="H848" s="2" t="s">
        <v>4405</v>
      </c>
      <c r="I848" s="2" t="s">
        <v>4406</v>
      </c>
      <c r="J848" s="2" t="s">
        <v>336</v>
      </c>
      <c r="K848" s="2" t="s">
        <v>452</v>
      </c>
      <c r="L848" s="3">
        <v>95.23</v>
      </c>
      <c r="M848" s="3">
        <v>99.99</v>
      </c>
      <c r="N848" s="3">
        <v>199.99</v>
      </c>
      <c r="O848" s="2" t="s">
        <v>230</v>
      </c>
      <c r="P848" s="2" t="s">
        <v>231</v>
      </c>
      <c r="Q848" s="2" t="s">
        <v>232</v>
      </c>
      <c r="R848" s="2" t="s">
        <v>233</v>
      </c>
      <c r="S848" s="2" t="s">
        <v>4407</v>
      </c>
      <c r="T848" s="2" t="s">
        <v>1859</v>
      </c>
      <c r="U848" s="2" t="s">
        <v>329</v>
      </c>
      <c r="V848" s="2" t="s">
        <v>236</v>
      </c>
      <c r="W848" s="2" t="s">
        <v>237</v>
      </c>
      <c r="X848" s="2" t="s">
        <v>233</v>
      </c>
      <c r="Y848" s="2" t="s">
        <v>4056</v>
      </c>
      <c r="Z848" s="4">
        <v>219</v>
      </c>
      <c r="AA848" s="4">
        <f>=ROUNDDOWN(19.9090909090909,0)</f>
      </c>
      <c r="AB848" s="5">
        <v>11</v>
      </c>
      <c r="AC848" s="2" t="s">
        <v>140</v>
      </c>
      <c r="AD848" s="4">
        <v>50</v>
      </c>
      <c r="AE848" s="4">
        <v>150</v>
      </c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233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/>
      <c r="AW848" s="8"/>
      <c r="AX848" s="4"/>
      <c r="AY848" s="8"/>
      <c r="AZ848" s="7"/>
      <c r="BA848" s="7"/>
      <c r="BB848" s="7"/>
      <c r="BC848" s="4" t="s">
        <v>233</v>
      </c>
      <c r="BD848" s="8" t="s">
        <v>233</v>
      </c>
      <c r="BE848" s="4" t="s">
        <v>233</v>
      </c>
      <c r="BF848" s="8" t="s">
        <v>233</v>
      </c>
      <c r="BG848" s="7" t="s">
        <v>233</v>
      </c>
      <c r="BH848" s="7" t="s">
        <v>233</v>
      </c>
      <c r="BI848" s="7"/>
      <c r="BJ848" s="4">
        <v>34</v>
      </c>
      <c r="BK848" s="8">
        <v>3604.18</v>
      </c>
      <c r="BL848" s="2" t="s">
        <v>4408</v>
      </c>
      <c r="BM848" s="7"/>
      <c r="BN848" s="7"/>
      <c r="BO848" s="4"/>
      <c r="BP848" s="8"/>
      <c r="BQ848" s="4"/>
      <c r="BR848" s="8"/>
      <c r="BS848" s="7"/>
      <c r="BT848" s="7"/>
      <c r="BU848" s="2" t="s">
        <v>4409</v>
      </c>
      <c r="BV848" s="2" t="s">
        <v>233</v>
      </c>
      <c r="BW848" s="2" t="s">
        <v>233</v>
      </c>
      <c r="BX848" s="2" t="s">
        <v>241</v>
      </c>
      <c r="BY848" s="2" t="s">
        <v>242</v>
      </c>
      <c r="BZ848" s="2" t="s">
        <v>230</v>
      </c>
      <c r="CA848" s="2" t="s">
        <v>2662</v>
      </c>
      <c r="CB848" s="2" t="s">
        <v>439</v>
      </c>
      <c r="CC848" s="2" t="s">
        <v>245</v>
      </c>
      <c r="CD848" s="2" t="s">
        <v>233</v>
      </c>
      <c r="CE848" s="4">
        <v>219</v>
      </c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>
        <v>50</v>
      </c>
      <c r="DC848" s="4">
        <v>100</v>
      </c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>
        <v>229</v>
      </c>
      <c r="GD848" s="4">
        <v>216</v>
      </c>
      <c r="GE848" s="4">
        <v>255</v>
      </c>
      <c r="GF848" s="4">
        <v>343</v>
      </c>
      <c r="GG848" s="4">
        <v>319</v>
      </c>
      <c r="GH848" s="4">
        <v>305</v>
      </c>
      <c r="GI848" s="4">
        <v>288</v>
      </c>
      <c r="GJ848" s="4">
        <v>276</v>
      </c>
      <c r="GK848" s="4">
        <v>271</v>
      </c>
      <c r="GL848" s="4">
        <v>265</v>
      </c>
      <c r="GM848" s="4">
        <v>258</v>
      </c>
      <c r="GN848" s="4">
        <v>250</v>
      </c>
      <c r="GO848" s="4">
        <v>244</v>
      </c>
      <c r="GP848" s="4">
        <v>238</v>
      </c>
      <c r="GQ848" s="4">
        <v>232</v>
      </c>
      <c r="GR848" s="4">
        <v>228</v>
      </c>
      <c r="GS848" s="4">
        <v>224</v>
      </c>
      <c r="GT848" s="4">
        <v>219</v>
      </c>
      <c r="GU848" s="4">
        <v>216</v>
      </c>
      <c r="GV848" s="4">
        <v>212</v>
      </c>
      <c r="GW848" s="4">
        <v>209</v>
      </c>
      <c r="GX848" s="4">
        <v>207</v>
      </c>
      <c r="GY848" s="4">
        <v>205</v>
      </c>
      <c r="GZ848" s="4">
        <v>203</v>
      </c>
      <c r="HA848" s="4">
        <v>202</v>
      </c>
      <c r="HB848" s="4">
        <v>201</v>
      </c>
      <c r="HC848" s="19">
        <v>15.3</v>
      </c>
      <c r="HD848" s="19">
        <v>14.4</v>
      </c>
      <c r="HE848" s="19">
        <v>15</v>
      </c>
      <c r="HF848" s="19">
        <v>20.2</v>
      </c>
      <c r="HG848" s="19">
        <v>26.6</v>
      </c>
      <c r="HH848" s="19">
        <v>30.5</v>
      </c>
      <c r="HI848" s="19">
        <v>36</v>
      </c>
      <c r="HJ848" s="19">
        <v>46</v>
      </c>
      <c r="HK848" s="19">
        <v>38.7</v>
      </c>
      <c r="HL848" s="19">
        <v>37.9</v>
      </c>
      <c r="HM848" s="19">
        <v>43</v>
      </c>
      <c r="HN848" s="19">
        <v>41.7</v>
      </c>
      <c r="HO848" s="19">
        <v>48.8</v>
      </c>
      <c r="HP848" s="19">
        <v>47.6</v>
      </c>
      <c r="HQ848" s="19">
        <v>58</v>
      </c>
      <c r="HR848" s="19">
        <v>57</v>
      </c>
      <c r="HS848" s="19">
        <v>56</v>
      </c>
      <c r="HT848" s="19">
        <v>73</v>
      </c>
      <c r="HU848" s="19">
        <v>72</v>
      </c>
      <c r="HV848" s="19">
        <v>106</v>
      </c>
      <c r="HW848" s="19">
        <v>104.5</v>
      </c>
      <c r="HX848" s="19">
        <v>103.5</v>
      </c>
      <c r="HY848" s="19">
        <v>102.5</v>
      </c>
      <c r="HZ848" s="19">
        <v>101.5</v>
      </c>
      <c r="IA848" s="19">
        <v>101</v>
      </c>
      <c r="IB848" s="19">
        <v>100.5</v>
      </c>
    </row>
    <row r="849">
      <c r="A849" s="2" t="s">
        <v>4410</v>
      </c>
      <c r="B849" s="2" t="s">
        <v>773</v>
      </c>
      <c r="C849" s="2" t="s">
        <v>616</v>
      </c>
      <c r="D849" s="2" t="s">
        <v>985</v>
      </c>
      <c r="E849" s="2" t="s">
        <v>2241</v>
      </c>
      <c r="F849" s="2" t="s">
        <v>4405</v>
      </c>
      <c r="G849" s="2" t="s">
        <v>4405</v>
      </c>
      <c r="H849" s="2" t="s">
        <v>4405</v>
      </c>
      <c r="I849" s="2" t="s">
        <v>4406</v>
      </c>
      <c r="J849" s="2" t="s">
        <v>336</v>
      </c>
      <c r="K849" s="2" t="s">
        <v>458</v>
      </c>
      <c r="L849" s="3">
        <v>95.23</v>
      </c>
      <c r="M849" s="3">
        <v>99.99</v>
      </c>
      <c r="N849" s="3">
        <v>199.99</v>
      </c>
      <c r="O849" s="2" t="s">
        <v>230</v>
      </c>
      <c r="P849" s="2" t="s">
        <v>231</v>
      </c>
      <c r="Q849" s="2" t="s">
        <v>232</v>
      </c>
      <c r="R849" s="2" t="s">
        <v>233</v>
      </c>
      <c r="S849" s="2" t="s">
        <v>4411</v>
      </c>
      <c r="T849" s="2" t="s">
        <v>1859</v>
      </c>
      <c r="U849" s="2" t="s">
        <v>329</v>
      </c>
      <c r="V849" s="2" t="s">
        <v>236</v>
      </c>
      <c r="W849" s="2" t="s">
        <v>237</v>
      </c>
      <c r="X849" s="2" t="s">
        <v>233</v>
      </c>
      <c r="Y849" s="2" t="s">
        <v>4056</v>
      </c>
      <c r="Z849" s="4">
        <v>381</v>
      </c>
      <c r="AA849" s="4">
        <f>=ROUNDDOWN(38.1,0)</f>
      </c>
      <c r="AB849" s="5">
        <v>10</v>
      </c>
      <c r="AC849" s="2" t="s">
        <v>140</v>
      </c>
      <c r="AD849" s="4">
        <v>50</v>
      </c>
      <c r="AE849" s="4">
        <v>150</v>
      </c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233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233</v>
      </c>
      <c r="AW849" s="8" t="s">
        <v>233</v>
      </c>
      <c r="AX849" s="4" t="s">
        <v>233</v>
      </c>
      <c r="AY849" s="8" t="s">
        <v>233</v>
      </c>
      <c r="AZ849" s="7" t="s">
        <v>233</v>
      </c>
      <c r="BA849" s="7" t="s">
        <v>233</v>
      </c>
      <c r="BB849" s="7"/>
      <c r="BC849" s="4" t="s">
        <v>233</v>
      </c>
      <c r="BD849" s="8" t="s">
        <v>233</v>
      </c>
      <c r="BE849" s="4" t="s">
        <v>233</v>
      </c>
      <c r="BF849" s="8" t="s">
        <v>233</v>
      </c>
      <c r="BG849" s="7" t="s">
        <v>233</v>
      </c>
      <c r="BH849" s="7" t="s">
        <v>233</v>
      </c>
      <c r="BI849" s="7"/>
      <c r="BJ849" s="4">
        <v>17</v>
      </c>
      <c r="BK849" s="8">
        <v>1805.83</v>
      </c>
      <c r="BL849" s="2" t="s">
        <v>1395</v>
      </c>
      <c r="BM849" s="7"/>
      <c r="BN849" s="7"/>
      <c r="BO849" s="4"/>
      <c r="BP849" s="8"/>
      <c r="BQ849" s="4"/>
      <c r="BR849" s="8"/>
      <c r="BS849" s="7"/>
      <c r="BT849" s="7"/>
      <c r="BU849" s="2" t="s">
        <v>4409</v>
      </c>
      <c r="BV849" s="2" t="s">
        <v>233</v>
      </c>
      <c r="BW849" s="2" t="s">
        <v>233</v>
      </c>
      <c r="BX849" s="2" t="s">
        <v>241</v>
      </c>
      <c r="BY849" s="2" t="s">
        <v>242</v>
      </c>
      <c r="BZ849" s="2" t="s">
        <v>230</v>
      </c>
      <c r="CA849" s="2" t="s">
        <v>2662</v>
      </c>
      <c r="CB849" s="2" t="s">
        <v>2169</v>
      </c>
      <c r="CC849" s="2" t="s">
        <v>245</v>
      </c>
      <c r="CD849" s="2" t="s">
        <v>233</v>
      </c>
      <c r="CE849" s="4">
        <v>381</v>
      </c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>
        <v>50</v>
      </c>
      <c r="DC849" s="4">
        <v>100</v>
      </c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>
        <v>383</v>
      </c>
      <c r="GD849" s="4">
        <v>355</v>
      </c>
      <c r="GE849" s="4">
        <v>391</v>
      </c>
      <c r="GF849" s="4">
        <v>479</v>
      </c>
      <c r="GG849" s="4">
        <v>456</v>
      </c>
      <c r="GH849" s="4">
        <v>442</v>
      </c>
      <c r="GI849" s="4">
        <v>425</v>
      </c>
      <c r="GJ849" s="4">
        <v>414</v>
      </c>
      <c r="GK849" s="4">
        <v>409</v>
      </c>
      <c r="GL849" s="4">
        <v>403</v>
      </c>
      <c r="GM849" s="4">
        <v>396</v>
      </c>
      <c r="GN849" s="4">
        <v>388</v>
      </c>
      <c r="GO849" s="4">
        <v>383</v>
      </c>
      <c r="GP849" s="4">
        <v>378</v>
      </c>
      <c r="GQ849" s="4">
        <v>373</v>
      </c>
      <c r="GR849" s="4">
        <v>369</v>
      </c>
      <c r="GS849" s="4">
        <v>365</v>
      </c>
      <c r="GT849" s="4">
        <v>360</v>
      </c>
      <c r="GU849" s="4">
        <v>357</v>
      </c>
      <c r="GV849" s="4">
        <v>353</v>
      </c>
      <c r="GW849" s="4">
        <v>350</v>
      </c>
      <c r="GX849" s="4">
        <v>348</v>
      </c>
      <c r="GY849" s="4">
        <v>346</v>
      </c>
      <c r="GZ849" s="4">
        <v>344</v>
      </c>
      <c r="HA849" s="4">
        <v>343</v>
      </c>
      <c r="HB849" s="4">
        <v>342</v>
      </c>
      <c r="HC849" s="19">
        <v>20.2</v>
      </c>
      <c r="HD849" s="19">
        <v>22.2</v>
      </c>
      <c r="HE849" s="19">
        <v>24.4</v>
      </c>
      <c r="HF849" s="19">
        <v>29.9</v>
      </c>
      <c r="HG849" s="19">
        <v>38</v>
      </c>
      <c r="HH849" s="19">
        <v>44.2</v>
      </c>
      <c r="HI849" s="19">
        <v>60.7</v>
      </c>
      <c r="HJ849" s="19">
        <v>69</v>
      </c>
      <c r="HK849" s="19">
        <v>68.2</v>
      </c>
      <c r="HL849" s="19">
        <v>67.2</v>
      </c>
      <c r="HM849" s="19">
        <v>66</v>
      </c>
      <c r="HN849" s="19">
        <v>77.6</v>
      </c>
      <c r="HO849" s="19">
        <v>95.8</v>
      </c>
      <c r="HP849" s="19">
        <v>94.5</v>
      </c>
      <c r="HQ849" s="19">
        <v>93.3</v>
      </c>
      <c r="HR849" s="19">
        <v>92.3</v>
      </c>
      <c r="HS849" s="19">
        <v>91.3</v>
      </c>
      <c r="HT849" s="9"/>
      <c r="HU849" s="19">
        <v>119</v>
      </c>
      <c r="HV849" s="19">
        <v>176.5</v>
      </c>
      <c r="HW849" s="19">
        <v>175</v>
      </c>
      <c r="HX849" s="19">
        <v>174</v>
      </c>
      <c r="HY849" s="19">
        <v>173</v>
      </c>
      <c r="HZ849" s="19">
        <v>172</v>
      </c>
      <c r="IA849" s="19">
        <v>171.5</v>
      </c>
      <c r="IB849" s="19">
        <v>171</v>
      </c>
    </row>
    <row r="850">
      <c r="A850" s="2" t="s">
        <v>4412</v>
      </c>
      <c r="B850" s="2" t="s">
        <v>773</v>
      </c>
      <c r="C850" s="2" t="s">
        <v>616</v>
      </c>
      <c r="D850" s="2" t="s">
        <v>985</v>
      </c>
      <c r="E850" s="2" t="s">
        <v>2241</v>
      </c>
      <c r="F850" s="2" t="s">
        <v>4405</v>
      </c>
      <c r="G850" s="2" t="s">
        <v>4405</v>
      </c>
      <c r="H850" s="2" t="s">
        <v>4405</v>
      </c>
      <c r="I850" s="2" t="s">
        <v>4406</v>
      </c>
      <c r="J850" s="2" t="s">
        <v>256</v>
      </c>
      <c r="K850" s="2" t="s">
        <v>458</v>
      </c>
      <c r="L850" s="3">
        <v>100</v>
      </c>
      <c r="M850" s="3">
        <v>105</v>
      </c>
      <c r="N850" s="3">
        <v>209.99</v>
      </c>
      <c r="O850" s="2" t="s">
        <v>230</v>
      </c>
      <c r="P850" s="2" t="s">
        <v>231</v>
      </c>
      <c r="Q850" s="2" t="s">
        <v>232</v>
      </c>
      <c r="R850" s="2" t="s">
        <v>233</v>
      </c>
      <c r="S850" s="2" t="s">
        <v>4411</v>
      </c>
      <c r="T850" s="2" t="s">
        <v>1859</v>
      </c>
      <c r="U850" s="2" t="s">
        <v>329</v>
      </c>
      <c r="V850" s="2" t="s">
        <v>236</v>
      </c>
      <c r="W850" s="2" t="s">
        <v>237</v>
      </c>
      <c r="X850" s="2" t="s">
        <v>233</v>
      </c>
      <c r="Y850" s="2" t="s">
        <v>4056</v>
      </c>
      <c r="Z850" s="4">
        <v>241</v>
      </c>
      <c r="AA850" s="4">
        <f>=ROUNDDOWN(13.3888888888889,0)</f>
      </c>
      <c r="AB850" s="5">
        <v>18</v>
      </c>
      <c r="AC850" s="2" t="s">
        <v>140</v>
      </c>
      <c r="AD850" s="4">
        <v>150</v>
      </c>
      <c r="AE850" s="4">
        <v>250</v>
      </c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233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233</v>
      </c>
      <c r="AW850" s="8" t="s">
        <v>233</v>
      </c>
      <c r="AX850" s="4" t="s">
        <v>233</v>
      </c>
      <c r="AY850" s="8" t="s">
        <v>233</v>
      </c>
      <c r="AZ850" s="7" t="s">
        <v>233</v>
      </c>
      <c r="BA850" s="7" t="s">
        <v>233</v>
      </c>
      <c r="BB850" s="7"/>
      <c r="BC850" s="4" t="s">
        <v>233</v>
      </c>
      <c r="BD850" s="8" t="s">
        <v>233</v>
      </c>
      <c r="BE850" s="4" t="s">
        <v>233</v>
      </c>
      <c r="BF850" s="8" t="s">
        <v>233</v>
      </c>
      <c r="BG850" s="7" t="s">
        <v>233</v>
      </c>
      <c r="BH850" s="7" t="s">
        <v>233</v>
      </c>
      <c r="BI850" s="7"/>
      <c r="BJ850" s="4">
        <v>31</v>
      </c>
      <c r="BK850" s="8">
        <v>3493.5</v>
      </c>
      <c r="BL850" s="2" t="s">
        <v>4147</v>
      </c>
      <c r="BM850" s="7"/>
      <c r="BN850" s="7"/>
      <c r="BO850" s="4"/>
      <c r="BP850" s="8"/>
      <c r="BQ850" s="4"/>
      <c r="BR850" s="8"/>
      <c r="BS850" s="7"/>
      <c r="BT850" s="7"/>
      <c r="BU850" s="2" t="s">
        <v>4409</v>
      </c>
      <c r="BV850" s="2" t="s">
        <v>233</v>
      </c>
      <c r="BW850" s="2" t="s">
        <v>233</v>
      </c>
      <c r="BX850" s="2" t="s">
        <v>241</v>
      </c>
      <c r="BY850" s="2" t="s">
        <v>242</v>
      </c>
      <c r="BZ850" s="2" t="s">
        <v>230</v>
      </c>
      <c r="CA850" s="2" t="s">
        <v>2662</v>
      </c>
      <c r="CB850" s="2" t="s">
        <v>2795</v>
      </c>
      <c r="CC850" s="2" t="s">
        <v>245</v>
      </c>
      <c r="CD850" s="2" t="s">
        <v>233</v>
      </c>
      <c r="CE850" s="4">
        <v>241</v>
      </c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>
        <v>150</v>
      </c>
      <c r="DC850" s="4">
        <v>100</v>
      </c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>
        <v>265</v>
      </c>
      <c r="GD850" s="4">
        <v>249</v>
      </c>
      <c r="GE850" s="4">
        <v>377</v>
      </c>
      <c r="GF850" s="4">
        <v>455</v>
      </c>
      <c r="GG850" s="4">
        <v>411</v>
      </c>
      <c r="GH850" s="4">
        <v>383</v>
      </c>
      <c r="GI850" s="4">
        <v>350</v>
      </c>
      <c r="GJ850" s="4">
        <v>332</v>
      </c>
      <c r="GK850" s="4">
        <v>324</v>
      </c>
      <c r="GL850" s="4">
        <v>314</v>
      </c>
      <c r="GM850" s="4">
        <v>304</v>
      </c>
      <c r="GN850" s="4">
        <v>292</v>
      </c>
      <c r="GO850" s="4">
        <v>283</v>
      </c>
      <c r="GP850" s="4">
        <v>274</v>
      </c>
      <c r="GQ850" s="4">
        <v>262</v>
      </c>
      <c r="GR850" s="4">
        <v>253</v>
      </c>
      <c r="GS850" s="4">
        <v>245</v>
      </c>
      <c r="GT850" s="4">
        <v>234</v>
      </c>
      <c r="GU850" s="4">
        <v>228</v>
      </c>
      <c r="GV850" s="4">
        <v>222</v>
      </c>
      <c r="GW850" s="4">
        <v>215</v>
      </c>
      <c r="GX850" s="4">
        <v>209</v>
      </c>
      <c r="GY850" s="4">
        <v>206</v>
      </c>
      <c r="GZ850" s="4">
        <v>201</v>
      </c>
      <c r="HA850" s="4">
        <v>198</v>
      </c>
      <c r="HB850" s="4">
        <v>195</v>
      </c>
      <c r="HC850" s="19">
        <v>10.2</v>
      </c>
      <c r="HD850" s="19">
        <v>8.6</v>
      </c>
      <c r="HE850" s="19">
        <v>11.8</v>
      </c>
      <c r="HF850" s="19">
        <v>14.7</v>
      </c>
      <c r="HG850" s="19">
        <v>18.7</v>
      </c>
      <c r="HH850" s="19">
        <v>22.5</v>
      </c>
      <c r="HI850" s="19">
        <v>29.2</v>
      </c>
      <c r="HJ850" s="19">
        <v>33.2</v>
      </c>
      <c r="HK850" s="19">
        <v>32.4</v>
      </c>
      <c r="HL850" s="19">
        <v>31.4</v>
      </c>
      <c r="HM850" s="19">
        <v>30.4</v>
      </c>
      <c r="HN850" s="19">
        <v>29.2</v>
      </c>
      <c r="HO850" s="19">
        <v>28.3</v>
      </c>
      <c r="HP850" s="19">
        <v>27.4</v>
      </c>
      <c r="HQ850" s="19">
        <v>32.8</v>
      </c>
      <c r="HR850" s="19">
        <v>31.6</v>
      </c>
      <c r="HS850" s="19">
        <v>30.6</v>
      </c>
      <c r="HT850" s="19">
        <v>39</v>
      </c>
      <c r="HU850" s="19">
        <v>38</v>
      </c>
      <c r="HV850" s="19">
        <v>44.4</v>
      </c>
      <c r="HW850" s="19">
        <v>53.8</v>
      </c>
      <c r="HX850" s="19">
        <v>52.3</v>
      </c>
      <c r="HY850" s="19">
        <v>51.5</v>
      </c>
      <c r="HZ850" s="19">
        <v>67</v>
      </c>
      <c r="IA850" s="19">
        <v>66</v>
      </c>
      <c r="IB850" s="19">
        <v>65</v>
      </c>
    </row>
    <row r="851">
      <c r="A851" s="2" t="s">
        <v>4413</v>
      </c>
      <c r="B851" s="2" t="s">
        <v>872</v>
      </c>
      <c r="C851" s="2" t="s">
        <v>762</v>
      </c>
      <c r="D851" s="2" t="s">
        <v>261</v>
      </c>
      <c r="E851" s="2" t="s">
        <v>895</v>
      </c>
      <c r="F851" s="2" t="s">
        <v>2001</v>
      </c>
      <c r="G851" s="2" t="s">
        <v>2001</v>
      </c>
      <c r="H851" s="2" t="s">
        <v>2001</v>
      </c>
      <c r="I851" s="2" t="s">
        <v>4414</v>
      </c>
      <c r="J851" s="2" t="s">
        <v>265</v>
      </c>
      <c r="K851" s="2" t="s">
        <v>1788</v>
      </c>
      <c r="L851" s="3">
        <v>59.85</v>
      </c>
      <c r="M851" s="3">
        <v>62.84</v>
      </c>
      <c r="N851" s="3">
        <v>129.99</v>
      </c>
      <c r="O851" s="2" t="s">
        <v>230</v>
      </c>
      <c r="P851" s="2" t="s">
        <v>231</v>
      </c>
      <c r="Q851" s="2" t="s">
        <v>232</v>
      </c>
      <c r="R851" s="2" t="s">
        <v>233</v>
      </c>
      <c r="S851" s="2" t="s">
        <v>4415</v>
      </c>
      <c r="T851" s="2" t="s">
        <v>348</v>
      </c>
      <c r="U851" s="2" t="s">
        <v>781</v>
      </c>
      <c r="V851" s="2" t="s">
        <v>2617</v>
      </c>
      <c r="W851" s="2" t="s">
        <v>3402</v>
      </c>
      <c r="X851" s="2" t="s">
        <v>233</v>
      </c>
      <c r="Y851" s="2" t="s">
        <v>1077</v>
      </c>
      <c r="Z851" s="4">
        <v>391</v>
      </c>
      <c r="AA851" s="4">
        <f>=ROUNDDOWN(130.333333333333,0)</f>
      </c>
      <c r="AB851" s="5">
        <v>3</v>
      </c>
      <c r="AC851" s="2" t="s">
        <v>233</v>
      </c>
      <c r="AD851" s="4"/>
      <c r="AE851" s="4"/>
      <c r="AF851" s="6">
        <v>66</v>
      </c>
      <c r="AG851" s="6"/>
      <c r="AH851" s="7">
        <v>1</v>
      </c>
      <c r="AI851" s="4"/>
      <c r="AJ851" s="4">
        <f>=ROUNDDOWN({0},0)</f>
      </c>
      <c r="AK851" s="5"/>
      <c r="AL851" s="2" t="s">
        <v>233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233</v>
      </c>
      <c r="AW851" s="8" t="s">
        <v>233</v>
      </c>
      <c r="AX851" s="4" t="s">
        <v>233</v>
      </c>
      <c r="AY851" s="8" t="s">
        <v>233</v>
      </c>
      <c r="AZ851" s="7" t="s">
        <v>233</v>
      </c>
      <c r="BA851" s="7" t="s">
        <v>233</v>
      </c>
      <c r="BB851" s="7" t="s">
        <v>233</v>
      </c>
      <c r="BC851" s="4" t="s">
        <v>233</v>
      </c>
      <c r="BD851" s="8" t="s">
        <v>233</v>
      </c>
      <c r="BE851" s="4" t="s">
        <v>233</v>
      </c>
      <c r="BF851" s="8" t="s">
        <v>233</v>
      </c>
      <c r="BG851" s="7" t="s">
        <v>233</v>
      </c>
      <c r="BH851" s="7" t="s">
        <v>233</v>
      </c>
      <c r="BI851" s="7"/>
      <c r="BJ851" s="4">
        <v>19</v>
      </c>
      <c r="BK851" s="8">
        <v>1290.73</v>
      </c>
      <c r="BL851" s="2" t="s">
        <v>4416</v>
      </c>
      <c r="BM851" s="7"/>
      <c r="BN851" s="7"/>
      <c r="BO851" s="4"/>
      <c r="BP851" s="8"/>
      <c r="BQ851" s="4"/>
      <c r="BR851" s="8"/>
      <c r="BS851" s="7"/>
      <c r="BT851" s="7"/>
      <c r="BU851" s="2" t="s">
        <v>4417</v>
      </c>
      <c r="BV851" s="2" t="s">
        <v>233</v>
      </c>
      <c r="BW851" s="2" t="s">
        <v>233</v>
      </c>
      <c r="BX851" s="2" t="s">
        <v>241</v>
      </c>
      <c r="BY851" s="2" t="s">
        <v>242</v>
      </c>
      <c r="BZ851" s="2" t="s">
        <v>230</v>
      </c>
      <c r="CA851" s="2" t="s">
        <v>4418</v>
      </c>
      <c r="CB851" s="2" t="s">
        <v>4419</v>
      </c>
      <c r="CC851" s="2" t="s">
        <v>245</v>
      </c>
      <c r="CD851" s="2" t="s">
        <v>233</v>
      </c>
      <c r="CE851" s="4">
        <v>391</v>
      </c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>
        <v>392</v>
      </c>
      <c r="GD851" s="4">
        <v>369</v>
      </c>
      <c r="GE851" s="4">
        <v>363</v>
      </c>
      <c r="GF851" s="4">
        <v>357</v>
      </c>
      <c r="GG851" s="4">
        <v>345</v>
      </c>
      <c r="GH851" s="4">
        <v>340</v>
      </c>
      <c r="GI851" s="4">
        <v>335</v>
      </c>
      <c r="GJ851" s="4">
        <v>331</v>
      </c>
      <c r="GK851" s="4">
        <v>328</v>
      </c>
      <c r="GL851" s="4">
        <v>325</v>
      </c>
      <c r="GM851" s="4">
        <v>322</v>
      </c>
      <c r="GN851" s="4">
        <v>319</v>
      </c>
      <c r="GO851" s="4">
        <v>316</v>
      </c>
      <c r="GP851" s="4">
        <v>313</v>
      </c>
      <c r="GQ851" s="4">
        <v>310</v>
      </c>
      <c r="GR851" s="4">
        <v>307</v>
      </c>
      <c r="GS851" s="4">
        <v>304</v>
      </c>
      <c r="GT851" s="4">
        <v>301</v>
      </c>
      <c r="GU851" s="4">
        <v>298</v>
      </c>
      <c r="GV851" s="4">
        <v>295</v>
      </c>
      <c r="GW851" s="4">
        <v>292</v>
      </c>
      <c r="GX851" s="4">
        <v>289</v>
      </c>
      <c r="GY851" s="4">
        <v>286</v>
      </c>
      <c r="GZ851" s="4">
        <v>283</v>
      </c>
      <c r="HA851" s="4">
        <v>280</v>
      </c>
      <c r="HB851" s="4">
        <v>277</v>
      </c>
      <c r="HC851" s="19">
        <v>32.7</v>
      </c>
      <c r="HD851" s="19">
        <v>52.7</v>
      </c>
      <c r="HE851" s="19">
        <v>51.9</v>
      </c>
      <c r="HF851" s="19">
        <v>59.5</v>
      </c>
      <c r="HG851" s="19">
        <v>86.3</v>
      </c>
      <c r="HH851" s="19">
        <v>85</v>
      </c>
      <c r="HI851" s="19">
        <v>111.7</v>
      </c>
      <c r="HJ851" s="19">
        <v>110.3</v>
      </c>
      <c r="HK851" s="19">
        <v>109.3</v>
      </c>
      <c r="HL851" s="19">
        <v>108.3</v>
      </c>
      <c r="HM851" s="19">
        <v>107.3</v>
      </c>
      <c r="HN851" s="19">
        <v>106.3</v>
      </c>
      <c r="HO851" s="19">
        <v>105.3</v>
      </c>
      <c r="HP851" s="19">
        <v>104.3</v>
      </c>
      <c r="HQ851" s="19">
        <v>103.3</v>
      </c>
      <c r="HR851" s="19">
        <v>102.3</v>
      </c>
      <c r="HS851" s="19">
        <v>101.3</v>
      </c>
      <c r="HT851" s="19">
        <v>100.3</v>
      </c>
      <c r="HU851" s="19">
        <v>99.3</v>
      </c>
      <c r="HV851" s="19">
        <v>98.3</v>
      </c>
      <c r="HW851" s="19">
        <v>97.3</v>
      </c>
      <c r="HX851" s="19">
        <v>96.3</v>
      </c>
      <c r="HY851" s="19">
        <v>95.3</v>
      </c>
      <c r="HZ851" s="19">
        <v>94.3</v>
      </c>
      <c r="IA851" s="19">
        <v>93.3</v>
      </c>
      <c r="IB851" s="19">
        <v>92.3</v>
      </c>
    </row>
    <row r="852">
      <c r="A852" s="2" t="s">
        <v>4420</v>
      </c>
      <c r="B852" s="2" t="s">
        <v>872</v>
      </c>
      <c r="C852" s="2" t="s">
        <v>762</v>
      </c>
      <c r="D852" s="2" t="s">
        <v>774</v>
      </c>
      <c r="E852" s="2" t="s">
        <v>775</v>
      </c>
      <c r="F852" s="2" t="s">
        <v>2001</v>
      </c>
      <c r="G852" s="2" t="s">
        <v>2001</v>
      </c>
      <c r="H852" s="2" t="s">
        <v>2001</v>
      </c>
      <c r="I852" s="2" t="s">
        <v>4421</v>
      </c>
      <c r="J852" s="2" t="s">
        <v>265</v>
      </c>
      <c r="K852" s="2" t="s">
        <v>1788</v>
      </c>
      <c r="L852" s="3">
        <v>51.3</v>
      </c>
      <c r="M852" s="3">
        <v>53.86</v>
      </c>
      <c r="N852" s="3">
        <v>109.99</v>
      </c>
      <c r="O852" s="2" t="s">
        <v>230</v>
      </c>
      <c r="P852" s="2" t="s">
        <v>231</v>
      </c>
      <c r="Q852" s="2" t="s">
        <v>232</v>
      </c>
      <c r="R852" s="2" t="s">
        <v>233</v>
      </c>
      <c r="S852" s="2" t="s">
        <v>4415</v>
      </c>
      <c r="T852" s="2" t="s">
        <v>348</v>
      </c>
      <c r="U852" s="2" t="s">
        <v>781</v>
      </c>
      <c r="V852" s="2" t="s">
        <v>2617</v>
      </c>
      <c r="W852" s="2" t="s">
        <v>3402</v>
      </c>
      <c r="X852" s="2" t="s">
        <v>233</v>
      </c>
      <c r="Y852" s="2" t="s">
        <v>1077</v>
      </c>
      <c r="Z852" s="4">
        <v>108</v>
      </c>
      <c r="AA852" s="4">
        <f>=ROUNDDOWN(54,0)</f>
      </c>
      <c r="AB852" s="5">
        <v>2</v>
      </c>
      <c r="AC852" s="2" t="s">
        <v>233</v>
      </c>
      <c r="AD852" s="4"/>
      <c r="AE852" s="4"/>
      <c r="AF852" s="6">
        <v>66</v>
      </c>
      <c r="AG852" s="6"/>
      <c r="AH852" s="7">
        <v>1</v>
      </c>
      <c r="AI852" s="4"/>
      <c r="AJ852" s="4">
        <f>=ROUNDDOWN({0},0)</f>
      </c>
      <c r="AK852" s="5"/>
      <c r="AL852" s="2" t="s">
        <v>233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233</v>
      </c>
      <c r="AW852" s="8" t="s">
        <v>233</v>
      </c>
      <c r="AX852" s="4" t="s">
        <v>233</v>
      </c>
      <c r="AY852" s="8" t="s">
        <v>233</v>
      </c>
      <c r="AZ852" s="7" t="s">
        <v>233</v>
      </c>
      <c r="BA852" s="7" t="s">
        <v>233</v>
      </c>
      <c r="BB852" s="7" t="s">
        <v>233</v>
      </c>
      <c r="BC852" s="4" t="s">
        <v>233</v>
      </c>
      <c r="BD852" s="8" t="s">
        <v>233</v>
      </c>
      <c r="BE852" s="4" t="s">
        <v>233</v>
      </c>
      <c r="BF852" s="8" t="s">
        <v>233</v>
      </c>
      <c r="BG852" s="7" t="s">
        <v>233</v>
      </c>
      <c r="BH852" s="7" t="s">
        <v>233</v>
      </c>
      <c r="BI852" s="7"/>
      <c r="BJ852" s="4">
        <v>5</v>
      </c>
      <c r="BK852" s="8">
        <v>289.48</v>
      </c>
      <c r="BL852" s="2" t="s">
        <v>4422</v>
      </c>
      <c r="BM852" s="7"/>
      <c r="BN852" s="7"/>
      <c r="BO852" s="4"/>
      <c r="BP852" s="8"/>
      <c r="BQ852" s="4"/>
      <c r="BR852" s="8"/>
      <c r="BS852" s="7"/>
      <c r="BT852" s="7"/>
      <c r="BU852" s="2" t="s">
        <v>4423</v>
      </c>
      <c r="BV852" s="2" t="s">
        <v>233</v>
      </c>
      <c r="BW852" s="2" t="s">
        <v>233</v>
      </c>
      <c r="BX852" s="2" t="s">
        <v>241</v>
      </c>
      <c r="BY852" s="2" t="s">
        <v>242</v>
      </c>
      <c r="BZ852" s="2" t="s">
        <v>230</v>
      </c>
      <c r="CA852" s="2" t="s">
        <v>4418</v>
      </c>
      <c r="CB852" s="2" t="s">
        <v>3718</v>
      </c>
      <c r="CC852" s="2" t="s">
        <v>245</v>
      </c>
      <c r="CD852" s="2" t="s">
        <v>233</v>
      </c>
      <c r="CE852" s="4">
        <v>108</v>
      </c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>
        <v>108</v>
      </c>
      <c r="GD852" s="4">
        <v>101</v>
      </c>
      <c r="GE852" s="4">
        <v>98</v>
      </c>
      <c r="GF852" s="4">
        <v>95</v>
      </c>
      <c r="GG852" s="4">
        <v>91</v>
      </c>
      <c r="GH852" s="4">
        <v>89</v>
      </c>
      <c r="GI852" s="4">
        <v>87</v>
      </c>
      <c r="GJ852" s="4">
        <v>85</v>
      </c>
      <c r="GK852" s="4">
        <v>83</v>
      </c>
      <c r="GL852" s="4">
        <v>81</v>
      </c>
      <c r="GM852" s="4">
        <v>79</v>
      </c>
      <c r="GN852" s="4">
        <v>77</v>
      </c>
      <c r="GO852" s="4">
        <v>75</v>
      </c>
      <c r="GP852" s="4">
        <v>73</v>
      </c>
      <c r="GQ852" s="4">
        <v>71</v>
      </c>
      <c r="GR852" s="4">
        <v>69</v>
      </c>
      <c r="GS852" s="4">
        <v>67</v>
      </c>
      <c r="GT852" s="4">
        <v>65</v>
      </c>
      <c r="GU852" s="4">
        <v>63</v>
      </c>
      <c r="GV852" s="4">
        <v>61</v>
      </c>
      <c r="GW852" s="4">
        <v>59</v>
      </c>
      <c r="GX852" s="4">
        <v>57</v>
      </c>
      <c r="GY852" s="4">
        <v>55</v>
      </c>
      <c r="GZ852" s="4">
        <v>53</v>
      </c>
      <c r="HA852" s="4">
        <v>51</v>
      </c>
      <c r="HB852" s="4">
        <v>49</v>
      </c>
      <c r="HC852" s="19">
        <v>27</v>
      </c>
      <c r="HD852" s="19">
        <v>33.7</v>
      </c>
      <c r="HE852" s="19">
        <v>32.7</v>
      </c>
      <c r="HF852" s="19">
        <v>47.5</v>
      </c>
      <c r="HG852" s="19">
        <v>45.5</v>
      </c>
      <c r="HH852" s="19">
        <v>44.5</v>
      </c>
      <c r="HI852" s="19">
        <v>43.5</v>
      </c>
      <c r="HJ852" s="19">
        <v>42.5</v>
      </c>
      <c r="HK852" s="19">
        <v>41.5</v>
      </c>
      <c r="HL852" s="19">
        <v>40.5</v>
      </c>
      <c r="HM852" s="19">
        <v>39.5</v>
      </c>
      <c r="HN852" s="19">
        <v>38.5</v>
      </c>
      <c r="HO852" s="19">
        <v>37.5</v>
      </c>
      <c r="HP852" s="19">
        <v>36.5</v>
      </c>
      <c r="HQ852" s="19">
        <v>35.5</v>
      </c>
      <c r="HR852" s="19">
        <v>34.5</v>
      </c>
      <c r="HS852" s="19">
        <v>33.5</v>
      </c>
      <c r="HT852" s="19">
        <v>32.5</v>
      </c>
      <c r="HU852" s="19">
        <v>31.5</v>
      </c>
      <c r="HV852" s="19">
        <v>30.5</v>
      </c>
      <c r="HW852" s="19">
        <v>29.5</v>
      </c>
      <c r="HX852" s="19">
        <v>28.5</v>
      </c>
      <c r="HY852" s="19">
        <v>27.5</v>
      </c>
      <c r="HZ852" s="19">
        <v>26.5</v>
      </c>
      <c r="IA852" s="19">
        <v>25.5</v>
      </c>
      <c r="IB852" s="19">
        <v>24.5</v>
      </c>
    </row>
    <row r="853">
      <c r="A853" s="2" t="s">
        <v>4424</v>
      </c>
      <c r="B853" s="2" t="s">
        <v>872</v>
      </c>
      <c r="C853" s="2" t="s">
        <v>762</v>
      </c>
      <c r="D853" s="2" t="s">
        <v>261</v>
      </c>
      <c r="E853" s="2" t="s">
        <v>895</v>
      </c>
      <c r="F853" s="2" t="s">
        <v>2001</v>
      </c>
      <c r="G853" s="2" t="s">
        <v>2001</v>
      </c>
      <c r="H853" s="2" t="s">
        <v>2001</v>
      </c>
      <c r="I853" s="2" t="s">
        <v>4414</v>
      </c>
      <c r="J853" s="2" t="s">
        <v>275</v>
      </c>
      <c r="K853" s="2" t="s">
        <v>1788</v>
      </c>
      <c r="L853" s="3">
        <v>74.29</v>
      </c>
      <c r="M853" s="3">
        <v>78</v>
      </c>
      <c r="N853" s="3">
        <v>159.99</v>
      </c>
      <c r="O853" s="2" t="s">
        <v>230</v>
      </c>
      <c r="P853" s="2" t="s">
        <v>231</v>
      </c>
      <c r="Q853" s="2" t="s">
        <v>232</v>
      </c>
      <c r="R853" s="2" t="s">
        <v>233</v>
      </c>
      <c r="S853" s="2" t="s">
        <v>4415</v>
      </c>
      <c r="T853" s="2" t="s">
        <v>348</v>
      </c>
      <c r="U853" s="2" t="s">
        <v>781</v>
      </c>
      <c r="V853" s="2" t="s">
        <v>2617</v>
      </c>
      <c r="W853" s="2" t="s">
        <v>3402</v>
      </c>
      <c r="X853" s="2" t="s">
        <v>233</v>
      </c>
      <c r="Y853" s="2" t="s">
        <v>1077</v>
      </c>
      <c r="Z853" s="4">
        <v>429</v>
      </c>
      <c r="AA853" s="4">
        <f>=ROUNDDOWN(71.5,0)</f>
      </c>
      <c r="AB853" s="5">
        <v>6</v>
      </c>
      <c r="AC853" s="2" t="s">
        <v>233</v>
      </c>
      <c r="AD853" s="4"/>
      <c r="AE853" s="4"/>
      <c r="AF853" s="6">
        <v>66</v>
      </c>
      <c r="AG853" s="6"/>
      <c r="AH853" s="7">
        <v>1</v>
      </c>
      <c r="AI853" s="4"/>
      <c r="AJ853" s="4">
        <f>=ROUNDDOWN({0},0)</f>
      </c>
      <c r="AK853" s="5"/>
      <c r="AL853" s="2" t="s">
        <v>233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233</v>
      </c>
      <c r="AW853" s="8" t="s">
        <v>233</v>
      </c>
      <c r="AX853" s="4" t="s">
        <v>233</v>
      </c>
      <c r="AY853" s="8" t="s">
        <v>233</v>
      </c>
      <c r="AZ853" s="7" t="s">
        <v>233</v>
      </c>
      <c r="BA853" s="7" t="s">
        <v>233</v>
      </c>
      <c r="BB853" s="7" t="s">
        <v>233</v>
      </c>
      <c r="BC853" s="4" t="s">
        <v>233</v>
      </c>
      <c r="BD853" s="8" t="s">
        <v>233</v>
      </c>
      <c r="BE853" s="4" t="s">
        <v>233</v>
      </c>
      <c r="BF853" s="8" t="s">
        <v>233</v>
      </c>
      <c r="BG853" s="7" t="s">
        <v>233</v>
      </c>
      <c r="BH853" s="7" t="s">
        <v>233</v>
      </c>
      <c r="BI853" s="7"/>
      <c r="BJ853" s="4">
        <v>16</v>
      </c>
      <c r="BK853" s="8">
        <v>1339.1</v>
      </c>
      <c r="BL853" s="2" t="s">
        <v>631</v>
      </c>
      <c r="BM853" s="7"/>
      <c r="BN853" s="7"/>
      <c r="BO853" s="4"/>
      <c r="BP853" s="8"/>
      <c r="BQ853" s="4"/>
      <c r="BR853" s="8"/>
      <c r="BS853" s="7"/>
      <c r="BT853" s="7"/>
      <c r="BU853" s="2" t="s">
        <v>4417</v>
      </c>
      <c r="BV853" s="2" t="s">
        <v>233</v>
      </c>
      <c r="BW853" s="2" t="s">
        <v>233</v>
      </c>
      <c r="BX853" s="2" t="s">
        <v>241</v>
      </c>
      <c r="BY853" s="2" t="s">
        <v>242</v>
      </c>
      <c r="BZ853" s="2" t="s">
        <v>230</v>
      </c>
      <c r="CA853" s="2" t="s">
        <v>4418</v>
      </c>
      <c r="CB853" s="2" t="s">
        <v>4425</v>
      </c>
      <c r="CC853" s="2" t="s">
        <v>245</v>
      </c>
      <c r="CD853" s="2" t="s">
        <v>233</v>
      </c>
      <c r="CE853" s="4">
        <v>429</v>
      </c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>
        <v>430</v>
      </c>
      <c r="GD853" s="4">
        <v>401</v>
      </c>
      <c r="GE853" s="4">
        <v>387</v>
      </c>
      <c r="GF853" s="4">
        <v>373</v>
      </c>
      <c r="GG853" s="4">
        <v>345</v>
      </c>
      <c r="GH853" s="4">
        <v>334</v>
      </c>
      <c r="GI853" s="4">
        <v>323</v>
      </c>
      <c r="GJ853" s="4">
        <v>315</v>
      </c>
      <c r="GK853" s="4">
        <v>309</v>
      </c>
      <c r="GL853" s="4">
        <v>302</v>
      </c>
      <c r="GM853" s="4">
        <v>296</v>
      </c>
      <c r="GN853" s="4">
        <v>290</v>
      </c>
      <c r="GO853" s="4">
        <v>284</v>
      </c>
      <c r="GP853" s="4">
        <v>278</v>
      </c>
      <c r="GQ853" s="4">
        <v>272</v>
      </c>
      <c r="GR853" s="4">
        <v>266</v>
      </c>
      <c r="GS853" s="4">
        <v>260</v>
      </c>
      <c r="GT853" s="4">
        <v>253</v>
      </c>
      <c r="GU853" s="4">
        <v>247</v>
      </c>
      <c r="GV853" s="4">
        <v>241</v>
      </c>
      <c r="GW853" s="4">
        <v>235</v>
      </c>
      <c r="GX853" s="4">
        <v>229</v>
      </c>
      <c r="GY853" s="4">
        <v>223</v>
      </c>
      <c r="GZ853" s="4">
        <v>217</v>
      </c>
      <c r="HA853" s="4">
        <v>211</v>
      </c>
      <c r="HB853" s="4">
        <v>205</v>
      </c>
      <c r="HC853" s="19">
        <v>20.5</v>
      </c>
      <c r="HD853" s="19">
        <v>23.6</v>
      </c>
      <c r="HE853" s="19">
        <v>24.2</v>
      </c>
      <c r="HF853" s="19">
        <v>26.6</v>
      </c>
      <c r="HG853" s="19">
        <v>38.3</v>
      </c>
      <c r="HH853" s="19">
        <v>41.8</v>
      </c>
      <c r="HI853" s="19">
        <v>46.1</v>
      </c>
      <c r="HJ853" s="19">
        <v>52.5</v>
      </c>
      <c r="HK853" s="19">
        <v>51.5</v>
      </c>
      <c r="HL853" s="19">
        <v>50.3</v>
      </c>
      <c r="HM853" s="19">
        <v>49.3</v>
      </c>
      <c r="HN853" s="19">
        <v>48.3</v>
      </c>
      <c r="HO853" s="19">
        <v>47.3</v>
      </c>
      <c r="HP853" s="19">
        <v>46.3</v>
      </c>
      <c r="HQ853" s="19">
        <v>45.3</v>
      </c>
      <c r="HR853" s="19">
        <v>44.3</v>
      </c>
      <c r="HS853" s="19">
        <v>43.3</v>
      </c>
      <c r="HT853" s="19">
        <v>42.2</v>
      </c>
      <c r="HU853" s="19">
        <v>41.2</v>
      </c>
      <c r="HV853" s="19">
        <v>40.2</v>
      </c>
      <c r="HW853" s="19">
        <v>39.2</v>
      </c>
      <c r="HX853" s="19">
        <v>38.2</v>
      </c>
      <c r="HY853" s="19">
        <v>37.2</v>
      </c>
      <c r="HZ853" s="9"/>
      <c r="IA853" s="19">
        <v>35.2</v>
      </c>
      <c r="IB853" s="19">
        <v>34.2</v>
      </c>
    </row>
    <row r="854">
      <c r="A854" s="2" t="s">
        <v>4426</v>
      </c>
      <c r="B854" s="2" t="s">
        <v>872</v>
      </c>
      <c r="C854" s="2" t="s">
        <v>762</v>
      </c>
      <c r="D854" s="2" t="s">
        <v>774</v>
      </c>
      <c r="E854" s="2" t="s">
        <v>775</v>
      </c>
      <c r="F854" s="2" t="s">
        <v>2001</v>
      </c>
      <c r="G854" s="2" t="s">
        <v>2001</v>
      </c>
      <c r="H854" s="2" t="s">
        <v>2001</v>
      </c>
      <c r="I854" s="2" t="s">
        <v>4421</v>
      </c>
      <c r="J854" s="2" t="s">
        <v>275</v>
      </c>
      <c r="K854" s="2" t="s">
        <v>1788</v>
      </c>
      <c r="L854" s="3">
        <v>65.55</v>
      </c>
      <c r="M854" s="3">
        <v>68.83</v>
      </c>
      <c r="N854" s="3">
        <v>139.99</v>
      </c>
      <c r="O854" s="2" t="s">
        <v>230</v>
      </c>
      <c r="P854" s="2" t="s">
        <v>231</v>
      </c>
      <c r="Q854" s="2" t="s">
        <v>232</v>
      </c>
      <c r="R854" s="2" t="s">
        <v>233</v>
      </c>
      <c r="S854" s="2" t="s">
        <v>4415</v>
      </c>
      <c r="T854" s="2" t="s">
        <v>348</v>
      </c>
      <c r="U854" s="2" t="s">
        <v>781</v>
      </c>
      <c r="V854" s="2" t="s">
        <v>2617</v>
      </c>
      <c r="W854" s="2" t="s">
        <v>3402</v>
      </c>
      <c r="X854" s="2" t="s">
        <v>233</v>
      </c>
      <c r="Y854" s="2" t="s">
        <v>1077</v>
      </c>
      <c r="Z854" s="4">
        <v>173</v>
      </c>
      <c r="AA854" s="4">
        <f>=ROUNDDOWN(57.6666666666667,0)</f>
      </c>
      <c r="AB854" s="5">
        <v>3</v>
      </c>
      <c r="AC854" s="2" t="s">
        <v>233</v>
      </c>
      <c r="AD854" s="4"/>
      <c r="AE854" s="4"/>
      <c r="AF854" s="6">
        <v>66</v>
      </c>
      <c r="AG854" s="6"/>
      <c r="AH854" s="7">
        <v>1</v>
      </c>
      <c r="AI854" s="4"/>
      <c r="AJ854" s="4">
        <f>=ROUNDDOWN({0},0)</f>
      </c>
      <c r="AK854" s="5"/>
      <c r="AL854" s="2" t="s">
        <v>233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233</v>
      </c>
      <c r="AW854" s="8" t="s">
        <v>233</v>
      </c>
      <c r="AX854" s="4" t="s">
        <v>233</v>
      </c>
      <c r="AY854" s="8" t="s">
        <v>233</v>
      </c>
      <c r="AZ854" s="7" t="s">
        <v>233</v>
      </c>
      <c r="BA854" s="7" t="s">
        <v>233</v>
      </c>
      <c r="BB854" s="7" t="s">
        <v>233</v>
      </c>
      <c r="BC854" s="4" t="s">
        <v>233</v>
      </c>
      <c r="BD854" s="8" t="s">
        <v>233</v>
      </c>
      <c r="BE854" s="4" t="s">
        <v>233</v>
      </c>
      <c r="BF854" s="8" t="s">
        <v>233</v>
      </c>
      <c r="BG854" s="7" t="s">
        <v>233</v>
      </c>
      <c r="BH854" s="7" t="s">
        <v>233</v>
      </c>
      <c r="BI854" s="7"/>
      <c r="BJ854" s="4">
        <v>6</v>
      </c>
      <c r="BK854" s="8">
        <v>445.76</v>
      </c>
      <c r="BL854" s="2" t="s">
        <v>1792</v>
      </c>
      <c r="BM854" s="7"/>
      <c r="BN854" s="7"/>
      <c r="BO854" s="4"/>
      <c r="BP854" s="8"/>
      <c r="BQ854" s="4"/>
      <c r="BR854" s="8"/>
      <c r="BS854" s="7"/>
      <c r="BT854" s="7"/>
      <c r="BU854" s="2" t="s">
        <v>4423</v>
      </c>
      <c r="BV854" s="2" t="s">
        <v>233</v>
      </c>
      <c r="BW854" s="2" t="s">
        <v>233</v>
      </c>
      <c r="BX854" s="2" t="s">
        <v>241</v>
      </c>
      <c r="BY854" s="2" t="s">
        <v>242</v>
      </c>
      <c r="BZ854" s="2" t="s">
        <v>230</v>
      </c>
      <c r="CA854" s="2" t="s">
        <v>4418</v>
      </c>
      <c r="CB854" s="2" t="s">
        <v>3715</v>
      </c>
      <c r="CC854" s="2" t="s">
        <v>245</v>
      </c>
      <c r="CD854" s="2" t="s">
        <v>233</v>
      </c>
      <c r="CE854" s="4">
        <v>173</v>
      </c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>
        <v>173</v>
      </c>
      <c r="GD854" s="4">
        <v>166</v>
      </c>
      <c r="GE854" s="4">
        <v>162</v>
      </c>
      <c r="GF854" s="4">
        <v>158</v>
      </c>
      <c r="GG854" s="4">
        <v>151</v>
      </c>
      <c r="GH854" s="4">
        <v>148</v>
      </c>
      <c r="GI854" s="4">
        <v>145</v>
      </c>
      <c r="GJ854" s="4">
        <v>142</v>
      </c>
      <c r="GK854" s="4">
        <v>140</v>
      </c>
      <c r="GL854" s="4">
        <v>137</v>
      </c>
      <c r="GM854" s="4">
        <v>134</v>
      </c>
      <c r="GN854" s="4">
        <v>131</v>
      </c>
      <c r="GO854" s="4">
        <v>128</v>
      </c>
      <c r="GP854" s="4">
        <v>125</v>
      </c>
      <c r="GQ854" s="4">
        <v>122</v>
      </c>
      <c r="GR854" s="4">
        <v>119</v>
      </c>
      <c r="GS854" s="4">
        <v>116</v>
      </c>
      <c r="GT854" s="4">
        <v>113</v>
      </c>
      <c r="GU854" s="4">
        <v>110</v>
      </c>
      <c r="GV854" s="4">
        <v>107</v>
      </c>
      <c r="GW854" s="4">
        <v>104</v>
      </c>
      <c r="GX854" s="4">
        <v>101</v>
      </c>
      <c r="GY854" s="4">
        <v>98</v>
      </c>
      <c r="GZ854" s="4">
        <v>95</v>
      </c>
      <c r="HA854" s="4">
        <v>92</v>
      </c>
      <c r="HB854" s="4">
        <v>89</v>
      </c>
      <c r="HC854" s="19">
        <v>28.8</v>
      </c>
      <c r="HD854" s="19">
        <v>41.5</v>
      </c>
      <c r="HE854" s="19">
        <v>40.5</v>
      </c>
      <c r="HF854" s="19">
        <v>39.5</v>
      </c>
      <c r="HG854" s="19">
        <v>50.3</v>
      </c>
      <c r="HH854" s="19">
        <v>49.3</v>
      </c>
      <c r="HI854" s="19">
        <v>48.3</v>
      </c>
      <c r="HJ854" s="19">
        <v>47.3</v>
      </c>
      <c r="HK854" s="19">
        <v>46.7</v>
      </c>
      <c r="HL854" s="19">
        <v>45.7</v>
      </c>
      <c r="HM854" s="19">
        <v>44.7</v>
      </c>
      <c r="HN854" s="19">
        <v>43.7</v>
      </c>
      <c r="HO854" s="19">
        <v>42.7</v>
      </c>
      <c r="HP854" s="19">
        <v>41.7</v>
      </c>
      <c r="HQ854" s="19">
        <v>40.7</v>
      </c>
      <c r="HR854" s="19">
        <v>39.7</v>
      </c>
      <c r="HS854" s="19">
        <v>38.7</v>
      </c>
      <c r="HT854" s="19">
        <v>37.7</v>
      </c>
      <c r="HU854" s="19">
        <v>36.7</v>
      </c>
      <c r="HV854" s="19">
        <v>35.7</v>
      </c>
      <c r="HW854" s="19">
        <v>34.7</v>
      </c>
      <c r="HX854" s="19">
        <v>33.7</v>
      </c>
      <c r="HY854" s="19">
        <v>32.7</v>
      </c>
      <c r="HZ854" s="19">
        <v>31.7</v>
      </c>
      <c r="IA854" s="19">
        <v>30.7</v>
      </c>
      <c r="IB854" s="19">
        <v>29.7</v>
      </c>
    </row>
    <row r="855">
      <c r="A855" s="2" t="s">
        <v>4427</v>
      </c>
      <c r="B855" s="2" t="s">
        <v>872</v>
      </c>
      <c r="C855" s="2" t="s">
        <v>762</v>
      </c>
      <c r="D855" s="2" t="s">
        <v>774</v>
      </c>
      <c r="E855" s="2" t="s">
        <v>775</v>
      </c>
      <c r="F855" s="2" t="s">
        <v>2001</v>
      </c>
      <c r="G855" s="2" t="s">
        <v>2001</v>
      </c>
      <c r="H855" s="2" t="s">
        <v>2001</v>
      </c>
      <c r="I855" s="2" t="s">
        <v>4421</v>
      </c>
      <c r="J855" s="2" t="s">
        <v>265</v>
      </c>
      <c r="K855" s="2" t="s">
        <v>458</v>
      </c>
      <c r="L855" s="3">
        <v>51.3</v>
      </c>
      <c r="M855" s="3">
        <v>53.86</v>
      </c>
      <c r="N855" s="3">
        <v>109.99</v>
      </c>
      <c r="O855" s="2" t="s">
        <v>230</v>
      </c>
      <c r="P855" s="2" t="s">
        <v>597</v>
      </c>
      <c r="Q855" s="2" t="s">
        <v>232</v>
      </c>
      <c r="R855" s="2" t="s">
        <v>233</v>
      </c>
      <c r="S855" s="2" t="s">
        <v>4428</v>
      </c>
      <c r="T855" s="2" t="s">
        <v>348</v>
      </c>
      <c r="U855" s="2" t="s">
        <v>781</v>
      </c>
      <c r="V855" s="2" t="s">
        <v>2617</v>
      </c>
      <c r="W855" s="2" t="s">
        <v>3402</v>
      </c>
      <c r="X855" s="2" t="s">
        <v>233</v>
      </c>
      <c r="Y855" s="2" t="s">
        <v>4429</v>
      </c>
      <c r="Z855" s="4">
        <v>239</v>
      </c>
      <c r="AA855" s="4">
        <f>=ROUNDDOWN(39.8333333333333,0)</f>
      </c>
      <c r="AB855" s="5">
        <v>6</v>
      </c>
      <c r="AC855" s="2" t="s">
        <v>138</v>
      </c>
      <c r="AD855" s="4">
        <v>40</v>
      </c>
      <c r="AE855" s="4">
        <v>260</v>
      </c>
      <c r="AF855" s="6">
        <v>66</v>
      </c>
      <c r="AG855" s="6">
        <v>74</v>
      </c>
      <c r="AH855" s="7">
        <v>1</v>
      </c>
      <c r="AI855" s="4"/>
      <c r="AJ855" s="4">
        <f>=ROUNDDOWN({0},0)</f>
      </c>
      <c r="AK855" s="5"/>
      <c r="AL855" s="2" t="s">
        <v>233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233</v>
      </c>
      <c r="AW855" s="8" t="s">
        <v>233</v>
      </c>
      <c r="AX855" s="4" t="s">
        <v>233</v>
      </c>
      <c r="AY855" s="8" t="s">
        <v>233</v>
      </c>
      <c r="AZ855" s="7" t="s">
        <v>233</v>
      </c>
      <c r="BA855" s="7" t="s">
        <v>233</v>
      </c>
      <c r="BB855" s="7"/>
      <c r="BC855" s="4" t="s">
        <v>233</v>
      </c>
      <c r="BD855" s="8" t="s">
        <v>233</v>
      </c>
      <c r="BE855" s="4" t="s">
        <v>233</v>
      </c>
      <c r="BF855" s="8" t="s">
        <v>233</v>
      </c>
      <c r="BG855" s="7" t="s">
        <v>233</v>
      </c>
      <c r="BH855" s="7" t="s">
        <v>233</v>
      </c>
      <c r="BI855" s="7"/>
      <c r="BJ855" s="4">
        <v>24</v>
      </c>
      <c r="BK855" s="8">
        <v>1414.59</v>
      </c>
      <c r="BL855" s="2" t="s">
        <v>2907</v>
      </c>
      <c r="BM855" s="7"/>
      <c r="BN855" s="7"/>
      <c r="BO855" s="4"/>
      <c r="BP855" s="8"/>
      <c r="BQ855" s="4"/>
      <c r="BR855" s="8"/>
      <c r="BS855" s="7"/>
      <c r="BT855" s="7"/>
      <c r="BU855" s="2" t="s">
        <v>4423</v>
      </c>
      <c r="BV855" s="2" t="s">
        <v>233</v>
      </c>
      <c r="BW855" s="2" t="s">
        <v>233</v>
      </c>
      <c r="BX855" s="2" t="s">
        <v>241</v>
      </c>
      <c r="BY855" s="2" t="s">
        <v>242</v>
      </c>
      <c r="BZ855" s="2" t="s">
        <v>230</v>
      </c>
      <c r="CA855" s="2" t="s">
        <v>4429</v>
      </c>
      <c r="CB855" s="2" t="s">
        <v>2880</v>
      </c>
      <c r="CC855" s="2" t="s">
        <v>245</v>
      </c>
      <c r="CD855" s="2" t="s">
        <v>233</v>
      </c>
      <c r="CE855" s="4">
        <v>171</v>
      </c>
      <c r="CF855" s="4"/>
      <c r="CG855" s="4"/>
      <c r="CH855" s="4">
        <v>68</v>
      </c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>
        <v>40</v>
      </c>
      <c r="DA855" s="4"/>
      <c r="DB855" s="4">
        <v>80</v>
      </c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>
        <v>90</v>
      </c>
      <c r="FH855" s="4"/>
      <c r="FI855" s="4"/>
      <c r="FJ855" s="4"/>
      <c r="FK855" s="4">
        <v>50</v>
      </c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>
        <v>240</v>
      </c>
      <c r="GD855" s="4">
        <v>234</v>
      </c>
      <c r="GE855" s="4">
        <v>344</v>
      </c>
      <c r="GF855" s="4">
        <v>334</v>
      </c>
      <c r="GG855" s="4">
        <v>314</v>
      </c>
      <c r="GH855" s="4">
        <v>306</v>
      </c>
      <c r="GI855" s="4">
        <v>298</v>
      </c>
      <c r="GJ855" s="4">
        <v>292</v>
      </c>
      <c r="GK855" s="4">
        <v>288</v>
      </c>
      <c r="GL855" s="4">
        <v>282</v>
      </c>
      <c r="GM855" s="4">
        <v>276</v>
      </c>
      <c r="GN855" s="4">
        <v>270</v>
      </c>
      <c r="GO855" s="4">
        <v>264</v>
      </c>
      <c r="GP855" s="4">
        <v>348</v>
      </c>
      <c r="GQ855" s="4">
        <v>392</v>
      </c>
      <c r="GR855" s="4">
        <v>386</v>
      </c>
      <c r="GS855" s="4">
        <v>380</v>
      </c>
      <c r="GT855" s="4">
        <v>374</v>
      </c>
      <c r="GU855" s="4">
        <v>368</v>
      </c>
      <c r="GV855" s="4">
        <v>362</v>
      </c>
      <c r="GW855" s="4">
        <v>356</v>
      </c>
      <c r="GX855" s="4">
        <v>350</v>
      </c>
      <c r="GY855" s="4">
        <v>344</v>
      </c>
      <c r="GZ855" s="4">
        <v>338</v>
      </c>
      <c r="HA855" s="4">
        <v>332</v>
      </c>
      <c r="HB855" s="4">
        <v>326</v>
      </c>
      <c r="HC855" s="19">
        <v>20</v>
      </c>
      <c r="HD855" s="19">
        <v>19.5</v>
      </c>
      <c r="HE855" s="19">
        <v>28.7</v>
      </c>
      <c r="HF855" s="19">
        <v>33.4</v>
      </c>
      <c r="HG855" s="19">
        <v>52.3</v>
      </c>
      <c r="HH855" s="19">
        <v>51</v>
      </c>
      <c r="HI855" s="19">
        <v>49.7</v>
      </c>
      <c r="HJ855" s="19">
        <v>48.7</v>
      </c>
      <c r="HK855" s="19">
        <v>48</v>
      </c>
      <c r="HL855" s="19">
        <v>47</v>
      </c>
      <c r="HM855" s="19">
        <v>46</v>
      </c>
      <c r="HN855" s="19">
        <v>45</v>
      </c>
      <c r="HO855" s="19">
        <v>44</v>
      </c>
      <c r="HP855" s="19">
        <v>58</v>
      </c>
      <c r="HQ855" s="19">
        <v>65.4</v>
      </c>
      <c r="HR855" s="19">
        <v>64.4</v>
      </c>
      <c r="HS855" s="19">
        <v>63.4</v>
      </c>
      <c r="HT855" s="19">
        <v>62.4</v>
      </c>
      <c r="HU855" s="19">
        <v>61.4</v>
      </c>
      <c r="HV855" s="19">
        <v>60.4</v>
      </c>
      <c r="HW855" s="19">
        <v>59.4</v>
      </c>
      <c r="HX855" s="19">
        <v>58.4</v>
      </c>
      <c r="HY855" s="19">
        <v>57.4</v>
      </c>
      <c r="HZ855" s="19">
        <v>56.4</v>
      </c>
      <c r="IA855" s="19">
        <v>55.4</v>
      </c>
      <c r="IB855" s="19">
        <v>54.4</v>
      </c>
    </row>
    <row r="856">
      <c r="A856" s="2" t="s">
        <v>4430</v>
      </c>
      <c r="B856" s="2" t="s">
        <v>872</v>
      </c>
      <c r="C856" s="2" t="s">
        <v>762</v>
      </c>
      <c r="D856" s="2" t="s">
        <v>261</v>
      </c>
      <c r="E856" s="2" t="s">
        <v>895</v>
      </c>
      <c r="F856" s="2" t="s">
        <v>2001</v>
      </c>
      <c r="G856" s="2" t="s">
        <v>2001</v>
      </c>
      <c r="H856" s="2" t="s">
        <v>2001</v>
      </c>
      <c r="I856" s="2" t="s">
        <v>4414</v>
      </c>
      <c r="J856" s="2" t="s">
        <v>275</v>
      </c>
      <c r="K856" s="2" t="s">
        <v>458</v>
      </c>
      <c r="L856" s="3">
        <v>74.29</v>
      </c>
      <c r="M856" s="3">
        <v>78</v>
      </c>
      <c r="N856" s="3">
        <v>159.99</v>
      </c>
      <c r="O856" s="2" t="s">
        <v>230</v>
      </c>
      <c r="P856" s="2" t="s">
        <v>597</v>
      </c>
      <c r="Q856" s="2" t="s">
        <v>232</v>
      </c>
      <c r="R856" s="2" t="s">
        <v>233</v>
      </c>
      <c r="S856" s="2" t="s">
        <v>4428</v>
      </c>
      <c r="T856" s="2" t="s">
        <v>348</v>
      </c>
      <c r="U856" s="2" t="s">
        <v>781</v>
      </c>
      <c r="V856" s="2" t="s">
        <v>2617</v>
      </c>
      <c r="W856" s="2" t="s">
        <v>3402</v>
      </c>
      <c r="X856" s="2" t="s">
        <v>233</v>
      </c>
      <c r="Y856" s="2" t="s">
        <v>1325</v>
      </c>
      <c r="Z856" s="4">
        <v>714</v>
      </c>
      <c r="AA856" s="4">
        <f>=ROUNDDOWN(47.6,0)</f>
      </c>
      <c r="AB856" s="5">
        <v>15</v>
      </c>
      <c r="AC856" s="2" t="s">
        <v>138</v>
      </c>
      <c r="AD856" s="4">
        <v>110</v>
      </c>
      <c r="AE856" s="4">
        <v>570</v>
      </c>
      <c r="AF856" s="6">
        <v>66</v>
      </c>
      <c r="AG856" s="6">
        <v>74</v>
      </c>
      <c r="AH856" s="7">
        <v>1</v>
      </c>
      <c r="AI856" s="4"/>
      <c r="AJ856" s="4">
        <f>=ROUNDDOWN({0},0)</f>
      </c>
      <c r="AK856" s="5"/>
      <c r="AL856" s="2" t="s">
        <v>233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233</v>
      </c>
      <c r="AW856" s="8" t="s">
        <v>233</v>
      </c>
      <c r="AX856" s="4" t="s">
        <v>233</v>
      </c>
      <c r="AY856" s="8" t="s">
        <v>233</v>
      </c>
      <c r="AZ856" s="7" t="s">
        <v>233</v>
      </c>
      <c r="BA856" s="7" t="s">
        <v>233</v>
      </c>
      <c r="BB856" s="7"/>
      <c r="BC856" s="4" t="s">
        <v>233</v>
      </c>
      <c r="BD856" s="8" t="s">
        <v>233</v>
      </c>
      <c r="BE856" s="4" t="s">
        <v>233</v>
      </c>
      <c r="BF856" s="8" t="s">
        <v>233</v>
      </c>
      <c r="BG856" s="7" t="s">
        <v>233</v>
      </c>
      <c r="BH856" s="7" t="s">
        <v>233</v>
      </c>
      <c r="BI856" s="7"/>
      <c r="BJ856" s="4">
        <v>61</v>
      </c>
      <c r="BK856" s="8">
        <v>5201.64</v>
      </c>
      <c r="BL856" s="2" t="s">
        <v>4431</v>
      </c>
      <c r="BM856" s="7"/>
      <c r="BN856" s="7"/>
      <c r="BO856" s="4"/>
      <c r="BP856" s="8"/>
      <c r="BQ856" s="4"/>
      <c r="BR856" s="8"/>
      <c r="BS856" s="7"/>
      <c r="BT856" s="7"/>
      <c r="BU856" s="2" t="s">
        <v>4417</v>
      </c>
      <c r="BV856" s="2" t="s">
        <v>233</v>
      </c>
      <c r="BW856" s="2" t="s">
        <v>233</v>
      </c>
      <c r="BX856" s="2" t="s">
        <v>241</v>
      </c>
      <c r="BY856" s="2" t="s">
        <v>242</v>
      </c>
      <c r="BZ856" s="2" t="s">
        <v>230</v>
      </c>
      <c r="CA856" s="2" t="s">
        <v>2879</v>
      </c>
      <c r="CB856" s="2" t="s">
        <v>3229</v>
      </c>
      <c r="CC856" s="2" t="s">
        <v>245</v>
      </c>
      <c r="CD856" s="2" t="s">
        <v>233</v>
      </c>
      <c r="CE856" s="4">
        <v>443</v>
      </c>
      <c r="CF856" s="4"/>
      <c r="CG856" s="4"/>
      <c r="CH856" s="4">
        <v>271</v>
      </c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>
        <v>110</v>
      </c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>
        <v>320</v>
      </c>
      <c r="FH856" s="4"/>
      <c r="FI856" s="4"/>
      <c r="FJ856" s="4"/>
      <c r="FK856" s="4">
        <v>140</v>
      </c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>
        <v>724</v>
      </c>
      <c r="GD856" s="4">
        <v>676</v>
      </c>
      <c r="GE856" s="4">
        <v>751</v>
      </c>
      <c r="GF856" s="4">
        <v>715</v>
      </c>
      <c r="GG856" s="4">
        <v>644</v>
      </c>
      <c r="GH856" s="4">
        <v>617</v>
      </c>
      <c r="GI856" s="4">
        <v>589</v>
      </c>
      <c r="GJ856" s="4">
        <v>570</v>
      </c>
      <c r="GK856" s="4">
        <v>556</v>
      </c>
      <c r="GL856" s="4">
        <v>540</v>
      </c>
      <c r="GM856" s="4">
        <v>525</v>
      </c>
      <c r="GN856" s="4">
        <v>510</v>
      </c>
      <c r="GO856" s="4">
        <v>495</v>
      </c>
      <c r="GP856" s="4">
        <v>800</v>
      </c>
      <c r="GQ856" s="4">
        <v>925</v>
      </c>
      <c r="GR856" s="4">
        <v>910</v>
      </c>
      <c r="GS856" s="4">
        <v>895</v>
      </c>
      <c r="GT856" s="4">
        <v>879</v>
      </c>
      <c r="GU856" s="4">
        <v>864</v>
      </c>
      <c r="GV856" s="4">
        <v>849</v>
      </c>
      <c r="GW856" s="4">
        <v>834</v>
      </c>
      <c r="GX856" s="4">
        <v>819</v>
      </c>
      <c r="GY856" s="4">
        <v>804</v>
      </c>
      <c r="GZ856" s="4">
        <v>789</v>
      </c>
      <c r="HA856" s="4">
        <v>774</v>
      </c>
      <c r="HB856" s="4">
        <v>759</v>
      </c>
      <c r="HC856" s="19">
        <v>25.1</v>
      </c>
      <c r="HD856" s="19">
        <v>27.7</v>
      </c>
      <c r="HE856" s="19">
        <v>28.9</v>
      </c>
      <c r="HF856" s="19">
        <v>28.6</v>
      </c>
      <c r="HG856" s="19">
        <v>51.1</v>
      </c>
      <c r="HH856" s="19">
        <v>51.7</v>
      </c>
      <c r="HI856" s="19">
        <v>71.4</v>
      </c>
      <c r="HJ856" s="19">
        <v>71</v>
      </c>
      <c r="HK856" s="19">
        <v>70.1</v>
      </c>
      <c r="HL856" s="19">
        <v>69</v>
      </c>
      <c r="HM856" s="19">
        <v>68</v>
      </c>
      <c r="HN856" s="19">
        <v>67</v>
      </c>
      <c r="HO856" s="19">
        <v>66</v>
      </c>
      <c r="HP856" s="19">
        <v>77.3</v>
      </c>
      <c r="HQ856" s="19">
        <v>111.3</v>
      </c>
      <c r="HR856" s="19">
        <v>110.3</v>
      </c>
      <c r="HS856" s="19">
        <v>109.3</v>
      </c>
      <c r="HT856" s="19">
        <v>108.3</v>
      </c>
      <c r="HU856" s="19">
        <v>107.3</v>
      </c>
      <c r="HV856" s="19">
        <v>106.3</v>
      </c>
      <c r="HW856" s="19">
        <v>105.3</v>
      </c>
      <c r="HX856" s="19">
        <v>104.3</v>
      </c>
      <c r="HY856" s="19">
        <v>103.3</v>
      </c>
      <c r="HZ856" s="19">
        <v>102.3</v>
      </c>
      <c r="IA856" s="19">
        <v>101.3</v>
      </c>
      <c r="IB856" s="19">
        <v>100.3</v>
      </c>
    </row>
    <row r="857">
      <c r="A857" s="2" t="s">
        <v>4432</v>
      </c>
      <c r="B857" s="2" t="s">
        <v>938</v>
      </c>
      <c r="C857" s="2" t="s">
        <v>762</v>
      </c>
      <c r="D857" s="2" t="s">
        <v>972</v>
      </c>
      <c r="E857" s="2" t="s">
        <v>973</v>
      </c>
      <c r="F857" s="2" t="s">
        <v>2001</v>
      </c>
      <c r="G857" s="2" t="s">
        <v>2001</v>
      </c>
      <c r="H857" s="2" t="s">
        <v>2001</v>
      </c>
      <c r="I857" s="2" t="s">
        <v>4433</v>
      </c>
      <c r="J857" s="2" t="s">
        <v>978</v>
      </c>
      <c r="K857" s="2" t="s">
        <v>458</v>
      </c>
      <c r="L857" s="3">
        <v>22.5</v>
      </c>
      <c r="M857" s="3">
        <v>23.62</v>
      </c>
      <c r="N857" s="3">
        <v>49.99</v>
      </c>
      <c r="O857" s="2" t="s">
        <v>230</v>
      </c>
      <c r="P857" s="2" t="s">
        <v>231</v>
      </c>
      <c r="Q857" s="2" t="s">
        <v>232</v>
      </c>
      <c r="R857" s="2" t="s">
        <v>233</v>
      </c>
      <c r="S857" s="2" t="s">
        <v>4428</v>
      </c>
      <c r="T857" s="2" t="s">
        <v>348</v>
      </c>
      <c r="U857" s="2" t="s">
        <v>329</v>
      </c>
      <c r="V857" s="2" t="s">
        <v>3402</v>
      </c>
      <c r="W857" s="2" t="s">
        <v>2083</v>
      </c>
      <c r="X857" s="2" t="s">
        <v>980</v>
      </c>
      <c r="Y857" s="2" t="s">
        <v>4434</v>
      </c>
      <c r="Z857" s="4">
        <v>540</v>
      </c>
      <c r="AA857" s="4">
        <f>=ROUNDDOWN(22.5,0)</f>
      </c>
      <c r="AB857" s="5">
        <v>24</v>
      </c>
      <c r="AC857" s="2" t="s">
        <v>2230</v>
      </c>
      <c r="AD857" s="4">
        <v>300</v>
      </c>
      <c r="AE857" s="4">
        <v>300</v>
      </c>
      <c r="AF857" s="6">
        <v>68</v>
      </c>
      <c r="AG857" s="6"/>
      <c r="AH857" s="7">
        <v>1</v>
      </c>
      <c r="AI857" s="4"/>
      <c r="AJ857" s="4">
        <f>=ROUNDDOWN({0},0)</f>
      </c>
      <c r="AK857" s="5"/>
      <c r="AL857" s="2" t="s">
        <v>233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233</v>
      </c>
      <c r="AW857" s="8" t="s">
        <v>233</v>
      </c>
      <c r="AX857" s="4" t="s">
        <v>233</v>
      </c>
      <c r="AY857" s="8" t="s">
        <v>233</v>
      </c>
      <c r="AZ857" s="7" t="s">
        <v>233</v>
      </c>
      <c r="BA857" s="7" t="s">
        <v>233</v>
      </c>
      <c r="BB857" s="7"/>
      <c r="BC857" s="4" t="s">
        <v>233</v>
      </c>
      <c r="BD857" s="8" t="s">
        <v>233</v>
      </c>
      <c r="BE857" s="4" t="s">
        <v>233</v>
      </c>
      <c r="BF857" s="8" t="s">
        <v>233</v>
      </c>
      <c r="BG857" s="7" t="s">
        <v>233</v>
      </c>
      <c r="BH857" s="7" t="s">
        <v>233</v>
      </c>
      <c r="BI857" s="7"/>
      <c r="BJ857" s="4">
        <v>137</v>
      </c>
      <c r="BK857" s="8">
        <v>3492.42</v>
      </c>
      <c r="BL857" s="2" t="s">
        <v>4435</v>
      </c>
      <c r="BM857" s="7"/>
      <c r="BN857" s="7"/>
      <c r="BO857" s="4"/>
      <c r="BP857" s="8"/>
      <c r="BQ857" s="4"/>
      <c r="BR857" s="8"/>
      <c r="BS857" s="7"/>
      <c r="BT857" s="7"/>
      <c r="BU857" s="2" t="s">
        <v>4436</v>
      </c>
      <c r="BV857" s="2" t="s">
        <v>233</v>
      </c>
      <c r="BW857" s="2" t="s">
        <v>233</v>
      </c>
      <c r="BX857" s="2" t="s">
        <v>241</v>
      </c>
      <c r="BY857" s="2" t="s">
        <v>242</v>
      </c>
      <c r="BZ857" s="2" t="s">
        <v>230</v>
      </c>
      <c r="CA857" s="2" t="s">
        <v>4434</v>
      </c>
      <c r="CB857" s="2" t="s">
        <v>4437</v>
      </c>
      <c r="CC857" s="2" t="s">
        <v>245</v>
      </c>
      <c r="CD857" s="2" t="s">
        <v>233</v>
      </c>
      <c r="CE857" s="4">
        <v>540</v>
      </c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>
        <v>300</v>
      </c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>
        <v>606</v>
      </c>
      <c r="GD857" s="4">
        <v>544</v>
      </c>
      <c r="GE857" s="4">
        <v>508</v>
      </c>
      <c r="GF857" s="4">
        <v>480</v>
      </c>
      <c r="GG857" s="4">
        <v>448</v>
      </c>
      <c r="GH857" s="4">
        <v>420</v>
      </c>
      <c r="GI857" s="4">
        <v>388</v>
      </c>
      <c r="GJ857" s="4">
        <v>288</v>
      </c>
      <c r="GK857" s="4">
        <v>274</v>
      </c>
      <c r="GL857" s="4">
        <v>262</v>
      </c>
      <c r="GM857" s="4">
        <v>250</v>
      </c>
      <c r="GN857" s="4">
        <v>238</v>
      </c>
      <c r="GO857" s="4">
        <v>226</v>
      </c>
      <c r="GP857" s="4">
        <v>214</v>
      </c>
      <c r="GQ857" s="4">
        <v>192</v>
      </c>
      <c r="GR857" s="4">
        <v>468</v>
      </c>
      <c r="GS857" s="4">
        <v>444</v>
      </c>
      <c r="GT857" s="4">
        <v>418</v>
      </c>
      <c r="GU857" s="4">
        <v>394</v>
      </c>
      <c r="GV857" s="4">
        <v>370</v>
      </c>
      <c r="GW857" s="4">
        <v>346</v>
      </c>
      <c r="GX857" s="4">
        <v>322</v>
      </c>
      <c r="GY857" s="4">
        <v>298</v>
      </c>
      <c r="GZ857" s="4">
        <v>274</v>
      </c>
      <c r="HA857" s="4">
        <v>248</v>
      </c>
      <c r="HB857" s="4">
        <v>224</v>
      </c>
      <c r="HC857" s="19">
        <v>15.2</v>
      </c>
      <c r="HD857" s="19">
        <v>17.5</v>
      </c>
      <c r="HE857" s="19">
        <v>16.9</v>
      </c>
      <c r="HF857" s="19">
        <v>10</v>
      </c>
      <c r="HG857" s="19">
        <v>10.2</v>
      </c>
      <c r="HH857" s="19">
        <v>10.5</v>
      </c>
      <c r="HI857" s="19">
        <v>11.4</v>
      </c>
      <c r="HJ857" s="19">
        <v>24</v>
      </c>
      <c r="HK857" s="19">
        <v>22.8</v>
      </c>
      <c r="HL857" s="19">
        <v>21.8</v>
      </c>
      <c r="HM857" s="19">
        <v>17.9</v>
      </c>
      <c r="HN857" s="19">
        <v>13.2</v>
      </c>
      <c r="HO857" s="19">
        <v>11.3</v>
      </c>
      <c r="HP857" s="19">
        <v>8.9</v>
      </c>
      <c r="HQ857" s="19">
        <v>8</v>
      </c>
      <c r="HR857" s="19">
        <v>19.5</v>
      </c>
      <c r="HS857" s="19">
        <v>18.5</v>
      </c>
      <c r="HT857" s="19">
        <v>17.4</v>
      </c>
      <c r="HU857" s="19">
        <v>16.4</v>
      </c>
      <c r="HV857" s="19">
        <v>15.4</v>
      </c>
      <c r="HW857" s="19">
        <v>14.4</v>
      </c>
      <c r="HX857" s="19">
        <v>13.4</v>
      </c>
      <c r="HY857" s="19">
        <v>12.4</v>
      </c>
      <c r="HZ857" s="19">
        <v>11.4</v>
      </c>
      <c r="IA857" s="19">
        <v>10.3</v>
      </c>
      <c r="IB857" s="19">
        <v>9.3</v>
      </c>
    </row>
    <row r="858">
      <c r="A858" s="2" t="s">
        <v>4438</v>
      </c>
      <c r="B858" s="2" t="s">
        <v>825</v>
      </c>
      <c r="C858" s="2" t="s">
        <v>1411</v>
      </c>
      <c r="D858" s="2" t="s">
        <v>261</v>
      </c>
      <c r="E858" s="2" t="s">
        <v>603</v>
      </c>
      <c r="F858" s="2" t="s">
        <v>4439</v>
      </c>
      <c r="G858" s="2" t="s">
        <v>4440</v>
      </c>
      <c r="H858" s="2" t="s">
        <v>4441</v>
      </c>
      <c r="I858" s="2" t="s">
        <v>4442</v>
      </c>
      <c r="J858" s="2" t="s">
        <v>1052</v>
      </c>
      <c r="K858" s="2" t="s">
        <v>2678</v>
      </c>
      <c r="L858" s="3">
        <v>23.8</v>
      </c>
      <c r="M858" s="3">
        <v>24.99</v>
      </c>
      <c r="N858" s="3">
        <v>49.99</v>
      </c>
      <c r="O858" s="2" t="s">
        <v>230</v>
      </c>
      <c r="P858" s="2" t="s">
        <v>231</v>
      </c>
      <c r="Q858" s="2" t="s">
        <v>232</v>
      </c>
      <c r="R858" s="2" t="s">
        <v>233</v>
      </c>
      <c r="S858" s="2" t="s">
        <v>4443</v>
      </c>
      <c r="T858" s="2" t="s">
        <v>469</v>
      </c>
      <c r="U858" s="2" t="s">
        <v>287</v>
      </c>
      <c r="V858" s="2" t="s">
        <v>782</v>
      </c>
      <c r="W858" s="2" t="s">
        <v>620</v>
      </c>
      <c r="X858" s="2" t="s">
        <v>233</v>
      </c>
      <c r="Y858" s="2" t="s">
        <v>2983</v>
      </c>
      <c r="Z858" s="4">
        <v>5</v>
      </c>
      <c r="AA858" s="4">
        <f>=ROUNDDOWN(0.5,0)</f>
      </c>
      <c r="AB858" s="5">
        <v>10</v>
      </c>
      <c r="AC858" s="2" t="s">
        <v>140</v>
      </c>
      <c r="AD858" s="4">
        <v>300</v>
      </c>
      <c r="AE858" s="4">
        <v>300</v>
      </c>
      <c r="AF858" s="6">
        <v>64</v>
      </c>
      <c r="AG858" s="6"/>
      <c r="AH858" s="7">
        <v>0.8387</v>
      </c>
      <c r="AI858" s="4"/>
      <c r="AJ858" s="4">
        <f>=ROUNDDOWN({0},0)</f>
      </c>
      <c r="AK858" s="5"/>
      <c r="AL858" s="2" t="s">
        <v>233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/>
      <c r="AW858" s="8"/>
      <c r="AX858" s="4"/>
      <c r="AY858" s="8"/>
      <c r="AZ858" s="7"/>
      <c r="BA858" s="7"/>
      <c r="BB858" s="7"/>
      <c r="BC858" s="4"/>
      <c r="BD858" s="8"/>
      <c r="BE858" s="4"/>
      <c r="BF858" s="8"/>
      <c r="BG858" s="7"/>
      <c r="BH858" s="7"/>
      <c r="BI858" s="7"/>
      <c r="BJ858" s="4">
        <v>55</v>
      </c>
      <c r="BK858" s="8">
        <v>1486.75</v>
      </c>
      <c r="BL858" s="2" t="s">
        <v>1870</v>
      </c>
      <c r="BM858" s="7"/>
      <c r="BN858" s="7"/>
      <c r="BO858" s="4"/>
      <c r="BP858" s="8"/>
      <c r="BQ858" s="4"/>
      <c r="BR858" s="8"/>
      <c r="BS858" s="7"/>
      <c r="BT858" s="7"/>
      <c r="BU858" s="2" t="s">
        <v>4444</v>
      </c>
      <c r="BV858" s="2" t="s">
        <v>233</v>
      </c>
      <c r="BW858" s="2" t="s">
        <v>233</v>
      </c>
      <c r="BX858" s="2" t="s">
        <v>241</v>
      </c>
      <c r="BY858" s="2" t="s">
        <v>242</v>
      </c>
      <c r="BZ858" s="2" t="s">
        <v>230</v>
      </c>
      <c r="CA858" s="2" t="s">
        <v>4445</v>
      </c>
      <c r="CB858" s="2" t="s">
        <v>600</v>
      </c>
      <c r="CC858" s="2" t="s">
        <v>245</v>
      </c>
      <c r="CD858" s="2" t="s">
        <v>233</v>
      </c>
      <c r="CE858" s="4">
        <v>5</v>
      </c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>
        <v>300</v>
      </c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>
        <v>5</v>
      </c>
      <c r="GD858" s="4"/>
      <c r="GE858" s="4">
        <v>300</v>
      </c>
      <c r="GF858" s="4">
        <v>281</v>
      </c>
      <c r="GG858" s="4">
        <v>268</v>
      </c>
      <c r="GH858" s="4">
        <v>248</v>
      </c>
      <c r="GI858" s="4">
        <v>230</v>
      </c>
      <c r="GJ858" s="4">
        <v>217</v>
      </c>
      <c r="GK858" s="4">
        <v>205</v>
      </c>
      <c r="GL858" s="4">
        <v>193</v>
      </c>
      <c r="GM858" s="4">
        <v>183</v>
      </c>
      <c r="GN858" s="4">
        <v>173</v>
      </c>
      <c r="GO858" s="4">
        <v>163</v>
      </c>
      <c r="GP858" s="4">
        <v>153</v>
      </c>
      <c r="GQ858" s="4">
        <v>143</v>
      </c>
      <c r="GR858" s="4">
        <v>133</v>
      </c>
      <c r="GS858" s="4">
        <v>123</v>
      </c>
      <c r="GT858" s="4">
        <v>111</v>
      </c>
      <c r="GU858" s="4">
        <v>101</v>
      </c>
      <c r="GV858" s="4">
        <v>91</v>
      </c>
      <c r="GW858" s="4">
        <v>81</v>
      </c>
      <c r="GX858" s="4">
        <v>71</v>
      </c>
      <c r="GY858" s="4">
        <v>61</v>
      </c>
      <c r="GZ858" s="4">
        <v>51</v>
      </c>
      <c r="HA858" s="4">
        <v>194</v>
      </c>
      <c r="HB858" s="4">
        <v>184</v>
      </c>
      <c r="HC858" s="19">
        <v>0.4</v>
      </c>
      <c r="HD858" s="20">
        <v>0</v>
      </c>
      <c r="HE858" s="19">
        <v>16.7</v>
      </c>
      <c r="HF858" s="19">
        <v>17.6</v>
      </c>
      <c r="HG858" s="19">
        <v>16.8</v>
      </c>
      <c r="HH858" s="19">
        <v>17.7</v>
      </c>
      <c r="HI858" s="19">
        <v>19.2</v>
      </c>
      <c r="HJ858" s="19">
        <v>19.7</v>
      </c>
      <c r="HK858" s="19">
        <v>20.5</v>
      </c>
      <c r="HL858" s="19">
        <v>19.3</v>
      </c>
      <c r="HM858" s="19">
        <v>18.3</v>
      </c>
      <c r="HN858" s="19">
        <v>17.3</v>
      </c>
      <c r="HO858" s="19">
        <v>16.3</v>
      </c>
      <c r="HP858" s="19">
        <v>15.3</v>
      </c>
      <c r="HQ858" s="19">
        <v>14.3</v>
      </c>
      <c r="HR858" s="19">
        <v>13.3</v>
      </c>
      <c r="HS858" s="19">
        <v>12.3</v>
      </c>
      <c r="HT858" s="19">
        <v>11.1</v>
      </c>
      <c r="HU858" s="19">
        <v>10.1</v>
      </c>
      <c r="HV858" s="19">
        <v>9.1</v>
      </c>
      <c r="HW858" s="19">
        <v>8.1</v>
      </c>
      <c r="HX858" s="19">
        <v>7.1</v>
      </c>
      <c r="HY858" s="19">
        <v>6.1</v>
      </c>
      <c r="HZ858" s="19">
        <v>5.1</v>
      </c>
      <c r="IA858" s="19">
        <v>19.4</v>
      </c>
      <c r="IB858" s="19">
        <v>18.4</v>
      </c>
    </row>
    <row r="859">
      <c r="A859" s="2" t="s">
        <v>4446</v>
      </c>
      <c r="B859" s="2" t="s">
        <v>872</v>
      </c>
      <c r="C859" s="2" t="s">
        <v>1398</v>
      </c>
      <c r="D859" s="2" t="s">
        <v>261</v>
      </c>
      <c r="E859" s="2" t="s">
        <v>895</v>
      </c>
      <c r="F859" s="2" t="s">
        <v>4447</v>
      </c>
      <c r="G859" s="2" t="s">
        <v>4448</v>
      </c>
      <c r="H859" s="2" t="s">
        <v>4449</v>
      </c>
      <c r="I859" s="2" t="s">
        <v>4450</v>
      </c>
      <c r="J859" s="2" t="s">
        <v>1052</v>
      </c>
      <c r="K859" s="2" t="s">
        <v>642</v>
      </c>
      <c r="L859" s="3">
        <v>21.42</v>
      </c>
      <c r="M859" s="3">
        <v>22.49</v>
      </c>
      <c r="N859" s="3">
        <v>44.99</v>
      </c>
      <c r="O859" s="2" t="s">
        <v>230</v>
      </c>
      <c r="P859" s="2" t="s">
        <v>1302</v>
      </c>
      <c r="Q859" s="2" t="s">
        <v>232</v>
      </c>
      <c r="R859" s="2" t="s">
        <v>233</v>
      </c>
      <c r="S859" s="2" t="s">
        <v>4451</v>
      </c>
      <c r="T859" s="2" t="s">
        <v>1546</v>
      </c>
      <c r="U859" s="2" t="s">
        <v>711</v>
      </c>
      <c r="V859" s="2" t="s">
        <v>236</v>
      </c>
      <c r="W859" s="2" t="s">
        <v>620</v>
      </c>
      <c r="X859" s="2" t="s">
        <v>233</v>
      </c>
      <c r="Y859" s="2" t="s">
        <v>1513</v>
      </c>
      <c r="Z859" s="4">
        <v>562</v>
      </c>
      <c r="AA859" s="4">
        <f>=ROUNDDOWN(62.4444444444444,0)</f>
      </c>
      <c r="AB859" s="5">
        <v>9</v>
      </c>
      <c r="AC859" s="2" t="s">
        <v>135</v>
      </c>
      <c r="AD859" s="4">
        <v>480</v>
      </c>
      <c r="AE859" s="4">
        <v>600</v>
      </c>
      <c r="AF859" s="6">
        <v>63</v>
      </c>
      <c r="AG859" s="6">
        <v>46</v>
      </c>
      <c r="AH859" s="7">
        <v>1</v>
      </c>
      <c r="AI859" s="4"/>
      <c r="AJ859" s="4">
        <f>=ROUNDDOWN({0},0)</f>
      </c>
      <c r="AK859" s="5"/>
      <c r="AL859" s="2" t="s">
        <v>233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233</v>
      </c>
      <c r="AW859" s="8" t="s">
        <v>233</v>
      </c>
      <c r="AX859" s="4" t="s">
        <v>233</v>
      </c>
      <c r="AY859" s="8" t="s">
        <v>233</v>
      </c>
      <c r="AZ859" s="7" t="s">
        <v>233</v>
      </c>
      <c r="BA859" s="7" t="s">
        <v>233</v>
      </c>
      <c r="BB859" s="7" t="s">
        <v>233</v>
      </c>
      <c r="BC859" s="4" t="s">
        <v>233</v>
      </c>
      <c r="BD859" s="8" t="s">
        <v>233</v>
      </c>
      <c r="BE859" s="4" t="s">
        <v>233</v>
      </c>
      <c r="BF859" s="8" t="s">
        <v>233</v>
      </c>
      <c r="BG859" s="7" t="s">
        <v>233</v>
      </c>
      <c r="BH859" s="7" t="s">
        <v>233</v>
      </c>
      <c r="BI859" s="7"/>
      <c r="BJ859" s="4">
        <v>24</v>
      </c>
      <c r="BK859" s="8">
        <v>639.35</v>
      </c>
      <c r="BL859" s="2" t="s">
        <v>4452</v>
      </c>
      <c r="BM859" s="7"/>
      <c r="BN859" s="7"/>
      <c r="BO859" s="4"/>
      <c r="BP859" s="8"/>
      <c r="BQ859" s="4"/>
      <c r="BR859" s="8"/>
      <c r="BS859" s="7"/>
      <c r="BT859" s="7"/>
      <c r="BU859" s="2" t="s">
        <v>4453</v>
      </c>
      <c r="BV859" s="2" t="s">
        <v>233</v>
      </c>
      <c r="BW859" s="2" t="s">
        <v>233</v>
      </c>
      <c r="BX859" s="2" t="s">
        <v>1407</v>
      </c>
      <c r="BY859" s="2" t="s">
        <v>242</v>
      </c>
      <c r="BZ859" s="2" t="s">
        <v>230</v>
      </c>
      <c r="CA859" s="2" t="s">
        <v>2315</v>
      </c>
      <c r="CB859" s="2" t="s">
        <v>443</v>
      </c>
      <c r="CC859" s="2" t="s">
        <v>245</v>
      </c>
      <c r="CD859" s="2" t="s">
        <v>233</v>
      </c>
      <c r="CE859" s="4">
        <v>247</v>
      </c>
      <c r="CF859" s="4"/>
      <c r="CG859" s="4"/>
      <c r="CH859" s="4">
        <v>75</v>
      </c>
      <c r="CI859" s="4"/>
      <c r="CJ859" s="4"/>
      <c r="CK859" s="4"/>
      <c r="CL859" s="4"/>
      <c r="CM859" s="4"/>
      <c r="CN859" s="4"/>
      <c r="CO859" s="4">
        <v>240</v>
      </c>
      <c r="CP859" s="4"/>
      <c r="CQ859" s="4"/>
      <c r="CR859" s="4"/>
      <c r="CS859" s="4"/>
      <c r="CT859" s="4"/>
      <c r="CU859" s="4">
        <v>480</v>
      </c>
      <c r="CV859" s="4">
        <v>120</v>
      </c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>
        <v>322</v>
      </c>
      <c r="GD859" s="4">
        <v>666</v>
      </c>
      <c r="GE859" s="4">
        <v>648</v>
      </c>
      <c r="GF859" s="4">
        <v>625</v>
      </c>
      <c r="GG859" s="4">
        <v>598</v>
      </c>
      <c r="GH859" s="4">
        <v>578</v>
      </c>
      <c r="GI859" s="4">
        <v>562</v>
      </c>
      <c r="GJ859" s="4">
        <v>548</v>
      </c>
      <c r="GK859" s="4">
        <v>534</v>
      </c>
      <c r="GL859" s="4">
        <v>522</v>
      </c>
      <c r="GM859" s="4">
        <v>511</v>
      </c>
      <c r="GN859" s="4">
        <v>500</v>
      </c>
      <c r="GO859" s="4">
        <v>489</v>
      </c>
      <c r="GP859" s="4">
        <v>480</v>
      </c>
      <c r="GQ859" s="4">
        <v>469</v>
      </c>
      <c r="GR859" s="4">
        <v>456</v>
      </c>
      <c r="GS859" s="4">
        <v>443</v>
      </c>
      <c r="GT859" s="4">
        <v>429</v>
      </c>
      <c r="GU859" s="4">
        <v>416</v>
      </c>
      <c r="GV859" s="4">
        <v>402</v>
      </c>
      <c r="GW859" s="4">
        <v>388</v>
      </c>
      <c r="GX859" s="4">
        <v>374</v>
      </c>
      <c r="GY859" s="4">
        <v>360</v>
      </c>
      <c r="GZ859" s="4">
        <v>348</v>
      </c>
      <c r="HA859" s="4">
        <v>336</v>
      </c>
      <c r="HB859" s="4">
        <v>324</v>
      </c>
      <c r="HC859" s="19">
        <v>14.2</v>
      </c>
      <c r="HD859" s="19">
        <v>32.1</v>
      </c>
      <c r="HE859" s="19">
        <v>31.3</v>
      </c>
      <c r="HF859" s="19">
        <v>34.8</v>
      </c>
      <c r="HG859" s="19">
        <v>39.5</v>
      </c>
      <c r="HH859" s="19">
        <v>44.5</v>
      </c>
      <c r="HI859" s="19">
        <v>52.2</v>
      </c>
      <c r="HJ859" s="19">
        <v>51</v>
      </c>
      <c r="HK859" s="19">
        <v>52.3</v>
      </c>
      <c r="HL859" s="19">
        <v>51.2</v>
      </c>
      <c r="HM859" s="19">
        <v>50.2</v>
      </c>
      <c r="HN859" s="19">
        <v>49.2</v>
      </c>
      <c r="HO859" s="19">
        <v>48.2</v>
      </c>
      <c r="HP859" s="19">
        <v>39.2</v>
      </c>
      <c r="HQ859" s="19">
        <v>38.3</v>
      </c>
      <c r="HR859" s="19">
        <v>37.3</v>
      </c>
      <c r="HS859" s="19">
        <v>34.9</v>
      </c>
      <c r="HT859" s="19">
        <v>33.9</v>
      </c>
      <c r="HU859" s="19">
        <v>32.9</v>
      </c>
      <c r="HV859" s="19">
        <v>31.9</v>
      </c>
      <c r="HW859" s="19">
        <v>37.4</v>
      </c>
      <c r="HX859" s="19">
        <v>36.2</v>
      </c>
      <c r="HY859" s="19">
        <v>35</v>
      </c>
      <c r="HZ859" s="19">
        <v>34</v>
      </c>
      <c r="IA859" s="19">
        <v>33</v>
      </c>
      <c r="IB859" s="19">
        <v>33.2</v>
      </c>
    </row>
    <row r="860">
      <c r="A860" s="2" t="s">
        <v>4454</v>
      </c>
      <c r="B860" s="2" t="s">
        <v>872</v>
      </c>
      <c r="C860" s="2" t="s">
        <v>1398</v>
      </c>
      <c r="D860" s="2" t="s">
        <v>774</v>
      </c>
      <c r="E860" s="2" t="s">
        <v>775</v>
      </c>
      <c r="F860" s="2" t="s">
        <v>4447</v>
      </c>
      <c r="G860" s="2" t="s">
        <v>4448</v>
      </c>
      <c r="H860" s="2" t="s">
        <v>4449</v>
      </c>
      <c r="I860" s="2" t="s">
        <v>4455</v>
      </c>
      <c r="J860" s="2" t="s">
        <v>1052</v>
      </c>
      <c r="K860" s="2" t="s">
        <v>642</v>
      </c>
      <c r="L860" s="3">
        <v>16.9</v>
      </c>
      <c r="M860" s="3">
        <v>17.75</v>
      </c>
      <c r="N860" s="3">
        <v>35.49</v>
      </c>
      <c r="O860" s="2" t="s">
        <v>230</v>
      </c>
      <c r="P860" s="2" t="s">
        <v>1302</v>
      </c>
      <c r="Q860" s="2" t="s">
        <v>232</v>
      </c>
      <c r="R860" s="2" t="s">
        <v>233</v>
      </c>
      <c r="S860" s="2" t="s">
        <v>4451</v>
      </c>
      <c r="T860" s="2" t="s">
        <v>1546</v>
      </c>
      <c r="U860" s="2" t="s">
        <v>711</v>
      </c>
      <c r="V860" s="2" t="s">
        <v>236</v>
      </c>
      <c r="W860" s="2" t="s">
        <v>620</v>
      </c>
      <c r="X860" s="2" t="s">
        <v>233</v>
      </c>
      <c r="Y860" s="2" t="s">
        <v>1513</v>
      </c>
      <c r="Z860" s="4">
        <v>209</v>
      </c>
      <c r="AA860" s="4">
        <f>=ROUNDDOWN(29.8571428571429,0)</f>
      </c>
      <c r="AB860" s="5">
        <v>7</v>
      </c>
      <c r="AC860" s="2" t="s">
        <v>175</v>
      </c>
      <c r="AD860" s="4">
        <v>100</v>
      </c>
      <c r="AE860" s="4">
        <v>100</v>
      </c>
      <c r="AF860" s="6">
        <v>63</v>
      </c>
      <c r="AG860" s="6">
        <v>46</v>
      </c>
      <c r="AH860" s="7">
        <v>1</v>
      </c>
      <c r="AI860" s="4"/>
      <c r="AJ860" s="4">
        <f>=ROUNDDOWN({0},0)</f>
      </c>
      <c r="AK860" s="5"/>
      <c r="AL860" s="2" t="s">
        <v>233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233</v>
      </c>
      <c r="AW860" s="8" t="s">
        <v>233</v>
      </c>
      <c r="AX860" s="4" t="s">
        <v>233</v>
      </c>
      <c r="AY860" s="8" t="s">
        <v>233</v>
      </c>
      <c r="AZ860" s="7" t="s">
        <v>233</v>
      </c>
      <c r="BA860" s="7" t="s">
        <v>233</v>
      </c>
      <c r="BB860" s="7" t="s">
        <v>233</v>
      </c>
      <c r="BC860" s="4" t="s">
        <v>233</v>
      </c>
      <c r="BD860" s="8" t="s">
        <v>233</v>
      </c>
      <c r="BE860" s="4" t="s">
        <v>233</v>
      </c>
      <c r="BF860" s="8" t="s">
        <v>233</v>
      </c>
      <c r="BG860" s="7" t="s">
        <v>233</v>
      </c>
      <c r="BH860" s="7" t="s">
        <v>233</v>
      </c>
      <c r="BI860" s="7"/>
      <c r="BJ860" s="4">
        <v>18</v>
      </c>
      <c r="BK860" s="8">
        <v>313.22</v>
      </c>
      <c r="BL860" s="2" t="s">
        <v>1923</v>
      </c>
      <c r="BM860" s="7"/>
      <c r="BN860" s="7"/>
      <c r="BO860" s="4"/>
      <c r="BP860" s="8"/>
      <c r="BQ860" s="4"/>
      <c r="BR860" s="8"/>
      <c r="BS860" s="7"/>
      <c r="BT860" s="7"/>
      <c r="BU860" s="2" t="s">
        <v>4456</v>
      </c>
      <c r="BV860" s="2" t="s">
        <v>233</v>
      </c>
      <c r="BW860" s="2" t="s">
        <v>233</v>
      </c>
      <c r="BX860" s="2" t="s">
        <v>1407</v>
      </c>
      <c r="BY860" s="2" t="s">
        <v>242</v>
      </c>
      <c r="BZ860" s="2" t="s">
        <v>230</v>
      </c>
      <c r="CA860" s="2" t="s">
        <v>2315</v>
      </c>
      <c r="CB860" s="2" t="s">
        <v>2251</v>
      </c>
      <c r="CC860" s="2" t="s">
        <v>245</v>
      </c>
      <c r="CD860" s="2" t="s">
        <v>233</v>
      </c>
      <c r="CE860" s="4">
        <v>67</v>
      </c>
      <c r="CF860" s="4"/>
      <c r="CG860" s="4"/>
      <c r="CH860" s="4">
        <v>142</v>
      </c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>
        <v>100</v>
      </c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>
        <v>214</v>
      </c>
      <c r="GD860" s="4">
        <v>198</v>
      </c>
      <c r="GE860" s="4">
        <v>186</v>
      </c>
      <c r="GF860" s="4">
        <v>171</v>
      </c>
      <c r="GG860" s="4">
        <v>154</v>
      </c>
      <c r="GH860" s="4">
        <v>140</v>
      </c>
      <c r="GI860" s="4">
        <v>129</v>
      </c>
      <c r="GJ860" s="4">
        <v>119</v>
      </c>
      <c r="GK860" s="4">
        <v>209</v>
      </c>
      <c r="GL860" s="4">
        <v>199</v>
      </c>
      <c r="GM860" s="4">
        <v>192</v>
      </c>
      <c r="GN860" s="4">
        <v>185</v>
      </c>
      <c r="GO860" s="4">
        <v>178</v>
      </c>
      <c r="GP860" s="4">
        <v>171</v>
      </c>
      <c r="GQ860" s="4">
        <v>164</v>
      </c>
      <c r="GR860" s="4">
        <v>157</v>
      </c>
      <c r="GS860" s="4">
        <v>150</v>
      </c>
      <c r="GT860" s="4">
        <v>143</v>
      </c>
      <c r="GU860" s="4">
        <v>136</v>
      </c>
      <c r="GV860" s="4">
        <v>129</v>
      </c>
      <c r="GW860" s="4">
        <v>122</v>
      </c>
      <c r="GX860" s="4">
        <v>115</v>
      </c>
      <c r="GY860" s="4">
        <v>108</v>
      </c>
      <c r="GZ860" s="4">
        <v>101</v>
      </c>
      <c r="HA860" s="4">
        <v>94</v>
      </c>
      <c r="HB860" s="4">
        <v>87</v>
      </c>
      <c r="HC860" s="19">
        <v>16</v>
      </c>
      <c r="HD860" s="19">
        <v>15.3</v>
      </c>
      <c r="HE860" s="19">
        <v>14.5</v>
      </c>
      <c r="HF860" s="19">
        <v>13.4</v>
      </c>
      <c r="HG860" s="19">
        <v>14.9</v>
      </c>
      <c r="HH860" s="19">
        <v>16.5</v>
      </c>
      <c r="HI860" s="19">
        <v>13.4</v>
      </c>
      <c r="HJ860" s="19">
        <v>10.9</v>
      </c>
      <c r="HK860" s="19">
        <v>18.4</v>
      </c>
      <c r="HL860" s="19">
        <v>14.2</v>
      </c>
      <c r="HM860" s="19">
        <v>13.7</v>
      </c>
      <c r="HN860" s="19">
        <v>13.2</v>
      </c>
      <c r="HO860" s="19">
        <v>12.7</v>
      </c>
      <c r="HP860" s="19">
        <v>12.2</v>
      </c>
      <c r="HQ860" s="19">
        <v>11.7</v>
      </c>
      <c r="HR860" s="19">
        <v>11.2</v>
      </c>
      <c r="HS860" s="19">
        <v>10.7</v>
      </c>
      <c r="HT860" s="19">
        <v>10.2</v>
      </c>
      <c r="HU860" s="19">
        <v>9.7</v>
      </c>
      <c r="HV860" s="19">
        <v>9.2</v>
      </c>
      <c r="HW860" s="19">
        <v>8.7</v>
      </c>
      <c r="HX860" s="19">
        <v>8.2</v>
      </c>
      <c r="HY860" s="19">
        <v>7.7</v>
      </c>
      <c r="HZ860" s="19">
        <v>7.2</v>
      </c>
      <c r="IA860" s="19">
        <v>6.7</v>
      </c>
      <c r="IB860" s="19">
        <v>6.2</v>
      </c>
    </row>
    <row r="861">
      <c r="A861" s="2" t="s">
        <v>4457</v>
      </c>
      <c r="B861" s="2" t="s">
        <v>872</v>
      </c>
      <c r="C861" s="2" t="s">
        <v>1398</v>
      </c>
      <c r="D861" s="2" t="s">
        <v>261</v>
      </c>
      <c r="E861" s="2" t="s">
        <v>895</v>
      </c>
      <c r="F861" s="2" t="s">
        <v>4447</v>
      </c>
      <c r="G861" s="2" t="s">
        <v>4448</v>
      </c>
      <c r="H861" s="2" t="s">
        <v>4449</v>
      </c>
      <c r="I861" s="2" t="s">
        <v>4450</v>
      </c>
      <c r="J861" s="2" t="s">
        <v>1052</v>
      </c>
      <c r="K861" s="2" t="s">
        <v>742</v>
      </c>
      <c r="L861" s="3">
        <v>21.42</v>
      </c>
      <c r="M861" s="3">
        <v>22.49</v>
      </c>
      <c r="N861" s="3">
        <v>44.99</v>
      </c>
      <c r="O861" s="2" t="s">
        <v>230</v>
      </c>
      <c r="P861" s="2" t="s">
        <v>1903</v>
      </c>
      <c r="Q861" s="2" t="s">
        <v>232</v>
      </c>
      <c r="R861" s="2" t="s">
        <v>233</v>
      </c>
      <c r="S861" s="2" t="s">
        <v>4458</v>
      </c>
      <c r="T861" s="2" t="s">
        <v>1546</v>
      </c>
      <c r="U861" s="2" t="s">
        <v>711</v>
      </c>
      <c r="V861" s="2" t="s">
        <v>236</v>
      </c>
      <c r="W861" s="2" t="s">
        <v>620</v>
      </c>
      <c r="X861" s="2" t="s">
        <v>233</v>
      </c>
      <c r="Y861" s="2" t="s">
        <v>1561</v>
      </c>
      <c r="Z861" s="4">
        <v>568</v>
      </c>
      <c r="AA861" s="4">
        <f>=ROUNDDOWN(142,0)</f>
      </c>
      <c r="AB861" s="5">
        <v>4</v>
      </c>
      <c r="AC861" s="2" t="s">
        <v>168</v>
      </c>
      <c r="AD861" s="4">
        <v>360</v>
      </c>
      <c r="AE861" s="4">
        <v>360</v>
      </c>
      <c r="AF861" s="6">
        <v>63</v>
      </c>
      <c r="AG861" s="6">
        <v>46</v>
      </c>
      <c r="AH861" s="7">
        <v>1</v>
      </c>
      <c r="AI861" s="4"/>
      <c r="AJ861" s="4">
        <f>=ROUNDDOWN({0},0)</f>
      </c>
      <c r="AK861" s="5"/>
      <c r="AL861" s="2" t="s">
        <v>233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233</v>
      </c>
      <c r="AW861" s="8" t="s">
        <v>233</v>
      </c>
      <c r="AX861" s="4" t="s">
        <v>233</v>
      </c>
      <c r="AY861" s="8" t="s">
        <v>233</v>
      </c>
      <c r="AZ861" s="7" t="s">
        <v>233</v>
      </c>
      <c r="BA861" s="7" t="s">
        <v>233</v>
      </c>
      <c r="BB861" s="7" t="s">
        <v>233</v>
      </c>
      <c r="BC861" s="4" t="s">
        <v>233</v>
      </c>
      <c r="BD861" s="8" t="s">
        <v>233</v>
      </c>
      <c r="BE861" s="4" t="s">
        <v>233</v>
      </c>
      <c r="BF861" s="8" t="s">
        <v>233</v>
      </c>
      <c r="BG861" s="7" t="s">
        <v>233</v>
      </c>
      <c r="BH861" s="7" t="s">
        <v>233</v>
      </c>
      <c r="BI861" s="7"/>
      <c r="BJ861" s="4">
        <v>42</v>
      </c>
      <c r="BK861" s="8">
        <v>994.89</v>
      </c>
      <c r="BL861" s="2" t="s">
        <v>4459</v>
      </c>
      <c r="BM861" s="7"/>
      <c r="BN861" s="7"/>
      <c r="BO861" s="4"/>
      <c r="BP861" s="8"/>
      <c r="BQ861" s="4"/>
      <c r="BR861" s="8"/>
      <c r="BS861" s="7"/>
      <c r="BT861" s="7"/>
      <c r="BU861" s="2" t="s">
        <v>4453</v>
      </c>
      <c r="BV861" s="2" t="s">
        <v>233</v>
      </c>
      <c r="BW861" s="2" t="s">
        <v>233</v>
      </c>
      <c r="BX861" s="2" t="s">
        <v>1407</v>
      </c>
      <c r="BY861" s="2" t="s">
        <v>242</v>
      </c>
      <c r="BZ861" s="2" t="s">
        <v>230</v>
      </c>
      <c r="CA861" s="2" t="s">
        <v>1561</v>
      </c>
      <c r="CB861" s="2" t="s">
        <v>2234</v>
      </c>
      <c r="CC861" s="2" t="s">
        <v>245</v>
      </c>
      <c r="CD861" s="2" t="s">
        <v>233</v>
      </c>
      <c r="CE861" s="4">
        <v>169</v>
      </c>
      <c r="CF861" s="4"/>
      <c r="CG861" s="4"/>
      <c r="CH861" s="4">
        <v>399</v>
      </c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>
        <v>360</v>
      </c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>
        <v>570</v>
      </c>
      <c r="GD861" s="4">
        <v>557</v>
      </c>
      <c r="GE861" s="4">
        <v>544</v>
      </c>
      <c r="GF861" s="4">
        <v>531</v>
      </c>
      <c r="GG861" s="4">
        <v>516</v>
      </c>
      <c r="GH861" s="4">
        <v>507</v>
      </c>
      <c r="GI861" s="4">
        <v>500</v>
      </c>
      <c r="GJ861" s="4">
        <v>853</v>
      </c>
      <c r="GK861" s="4">
        <v>846</v>
      </c>
      <c r="GL861" s="4">
        <v>841</v>
      </c>
      <c r="GM861" s="4">
        <v>836</v>
      </c>
      <c r="GN861" s="4">
        <v>831</v>
      </c>
      <c r="GO861" s="4">
        <v>826</v>
      </c>
      <c r="GP861" s="4">
        <v>824</v>
      </c>
      <c r="GQ861" s="4">
        <v>819</v>
      </c>
      <c r="GR861" s="4">
        <v>812</v>
      </c>
      <c r="GS861" s="4">
        <v>803</v>
      </c>
      <c r="GT861" s="4">
        <v>794</v>
      </c>
      <c r="GU861" s="4">
        <v>785</v>
      </c>
      <c r="GV861" s="4">
        <v>775</v>
      </c>
      <c r="GW861" s="4">
        <v>765</v>
      </c>
      <c r="GX861" s="4">
        <v>755</v>
      </c>
      <c r="GY861" s="4">
        <v>745</v>
      </c>
      <c r="GZ861" s="4">
        <v>737</v>
      </c>
      <c r="HA861" s="4">
        <v>729</v>
      </c>
      <c r="HB861" s="4">
        <v>721</v>
      </c>
      <c r="HC861" s="19">
        <v>75.2</v>
      </c>
      <c r="HD861" s="19">
        <v>75.1</v>
      </c>
      <c r="HE861" s="19">
        <v>75.1</v>
      </c>
      <c r="HF861" s="19">
        <v>75.2</v>
      </c>
      <c r="HG861" s="19">
        <v>109.7</v>
      </c>
      <c r="HH861" s="19">
        <v>108.3</v>
      </c>
      <c r="HI861" s="19">
        <v>110.3</v>
      </c>
      <c r="HJ861" s="19">
        <v>249.2</v>
      </c>
      <c r="HK861" s="19">
        <v>247.5</v>
      </c>
      <c r="HL861" s="19">
        <v>265.9</v>
      </c>
      <c r="HM861" s="19">
        <v>264.7</v>
      </c>
      <c r="HN861" s="19">
        <v>244.5</v>
      </c>
      <c r="HO861" s="19">
        <v>150</v>
      </c>
      <c r="HP861" s="19">
        <v>130.9</v>
      </c>
      <c r="HQ861" s="19">
        <v>130.3</v>
      </c>
      <c r="HR861" s="19">
        <v>124.1</v>
      </c>
      <c r="HS861" s="19">
        <v>119.2</v>
      </c>
      <c r="HT861" s="19">
        <v>118.3</v>
      </c>
      <c r="HU861" s="19">
        <v>117.3</v>
      </c>
      <c r="HV861" s="19">
        <v>116.3</v>
      </c>
      <c r="HW861" s="19">
        <v>119</v>
      </c>
      <c r="HX861" s="19">
        <v>122.6</v>
      </c>
      <c r="HY861" s="19">
        <v>121.4</v>
      </c>
      <c r="HZ861" s="19">
        <v>120.4</v>
      </c>
      <c r="IA861" s="19">
        <v>125.7</v>
      </c>
      <c r="IB861" s="19">
        <v>133.9</v>
      </c>
    </row>
    <row r="862">
      <c r="A862" s="2" t="s">
        <v>4460</v>
      </c>
      <c r="B862" s="2" t="s">
        <v>872</v>
      </c>
      <c r="C862" s="2" t="s">
        <v>1398</v>
      </c>
      <c r="D862" s="2" t="s">
        <v>774</v>
      </c>
      <c r="E862" s="2" t="s">
        <v>775</v>
      </c>
      <c r="F862" s="2" t="s">
        <v>4447</v>
      </c>
      <c r="G862" s="2" t="s">
        <v>4448</v>
      </c>
      <c r="H862" s="2" t="s">
        <v>4449</v>
      </c>
      <c r="I862" s="2" t="s">
        <v>4455</v>
      </c>
      <c r="J862" s="2" t="s">
        <v>1052</v>
      </c>
      <c r="K862" s="2" t="s">
        <v>742</v>
      </c>
      <c r="L862" s="3">
        <v>16.9</v>
      </c>
      <c r="M862" s="3">
        <v>17.75</v>
      </c>
      <c r="N862" s="3">
        <v>35.49</v>
      </c>
      <c r="O862" s="2" t="s">
        <v>230</v>
      </c>
      <c r="P862" s="2" t="s">
        <v>1903</v>
      </c>
      <c r="Q862" s="2" t="s">
        <v>232</v>
      </c>
      <c r="R862" s="2" t="s">
        <v>233</v>
      </c>
      <c r="S862" s="2" t="s">
        <v>4458</v>
      </c>
      <c r="T862" s="2" t="s">
        <v>1546</v>
      </c>
      <c r="U862" s="2" t="s">
        <v>711</v>
      </c>
      <c r="V862" s="2" t="s">
        <v>236</v>
      </c>
      <c r="W862" s="2" t="s">
        <v>620</v>
      </c>
      <c r="X862" s="2" t="s">
        <v>233</v>
      </c>
      <c r="Y862" s="2" t="s">
        <v>1561</v>
      </c>
      <c r="Z862" s="4">
        <v>177</v>
      </c>
      <c r="AA862" s="4">
        <f>=ROUNDDOWN(22.125,0)</f>
      </c>
      <c r="AB862" s="5">
        <v>8</v>
      </c>
      <c r="AC862" s="2" t="s">
        <v>5</v>
      </c>
      <c r="AD862" s="4">
        <v>100</v>
      </c>
      <c r="AE862" s="4">
        <v>168</v>
      </c>
      <c r="AF862" s="6">
        <v>63</v>
      </c>
      <c r="AG862" s="6">
        <v>46</v>
      </c>
      <c r="AH862" s="7">
        <v>1</v>
      </c>
      <c r="AI862" s="4"/>
      <c r="AJ862" s="4">
        <f>=ROUNDDOWN({0},0)</f>
      </c>
      <c r="AK862" s="5"/>
      <c r="AL862" s="2" t="s">
        <v>233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233</v>
      </c>
      <c r="AW862" s="8" t="s">
        <v>233</v>
      </c>
      <c r="AX862" s="4" t="s">
        <v>233</v>
      </c>
      <c r="AY862" s="8" t="s">
        <v>233</v>
      </c>
      <c r="AZ862" s="7" t="s">
        <v>233</v>
      </c>
      <c r="BA862" s="7" t="s">
        <v>233</v>
      </c>
      <c r="BB862" s="7" t="s">
        <v>233</v>
      </c>
      <c r="BC862" s="4" t="s">
        <v>233</v>
      </c>
      <c r="BD862" s="8" t="s">
        <v>233</v>
      </c>
      <c r="BE862" s="4" t="s">
        <v>233</v>
      </c>
      <c r="BF862" s="8" t="s">
        <v>233</v>
      </c>
      <c r="BG862" s="7" t="s">
        <v>233</v>
      </c>
      <c r="BH862" s="7" t="s">
        <v>233</v>
      </c>
      <c r="BI862" s="7"/>
      <c r="BJ862" s="4">
        <v>33</v>
      </c>
      <c r="BK862" s="8">
        <v>600.87</v>
      </c>
      <c r="BL862" s="2" t="s">
        <v>1358</v>
      </c>
      <c r="BM862" s="7"/>
      <c r="BN862" s="7"/>
      <c r="BO862" s="4"/>
      <c r="BP862" s="8"/>
      <c r="BQ862" s="4"/>
      <c r="BR862" s="8"/>
      <c r="BS862" s="7"/>
      <c r="BT862" s="7"/>
      <c r="BU862" s="2" t="s">
        <v>4456</v>
      </c>
      <c r="BV862" s="2" t="s">
        <v>233</v>
      </c>
      <c r="BW862" s="2" t="s">
        <v>233</v>
      </c>
      <c r="BX862" s="2" t="s">
        <v>1407</v>
      </c>
      <c r="BY862" s="2" t="s">
        <v>242</v>
      </c>
      <c r="BZ862" s="2" t="s">
        <v>230</v>
      </c>
      <c r="CA862" s="2" t="s">
        <v>1561</v>
      </c>
      <c r="CB862" s="2" t="s">
        <v>4461</v>
      </c>
      <c r="CC862" s="2" t="s">
        <v>245</v>
      </c>
      <c r="CD862" s="2" t="s">
        <v>233</v>
      </c>
      <c r="CE862" s="4">
        <v>86</v>
      </c>
      <c r="CF862" s="4"/>
      <c r="CG862" s="4"/>
      <c r="CH862" s="4">
        <v>91</v>
      </c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>
        <v>100</v>
      </c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>
        <v>68</v>
      </c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>
        <v>188</v>
      </c>
      <c r="GD862" s="4">
        <v>271</v>
      </c>
      <c r="GE862" s="4">
        <v>257</v>
      </c>
      <c r="GF862" s="4">
        <v>239</v>
      </c>
      <c r="GG862" s="4">
        <v>218</v>
      </c>
      <c r="GH862" s="4">
        <v>201</v>
      </c>
      <c r="GI862" s="4">
        <v>188</v>
      </c>
      <c r="GJ862" s="4">
        <v>245</v>
      </c>
      <c r="GK862" s="4">
        <v>234</v>
      </c>
      <c r="GL862" s="4">
        <v>223</v>
      </c>
      <c r="GM862" s="4">
        <v>215</v>
      </c>
      <c r="GN862" s="4">
        <v>207</v>
      </c>
      <c r="GO862" s="4">
        <v>199</v>
      </c>
      <c r="GP862" s="4">
        <v>191</v>
      </c>
      <c r="GQ862" s="4">
        <v>183</v>
      </c>
      <c r="GR862" s="4">
        <v>175</v>
      </c>
      <c r="GS862" s="4">
        <v>167</v>
      </c>
      <c r="GT862" s="4">
        <v>158</v>
      </c>
      <c r="GU862" s="4">
        <v>150</v>
      </c>
      <c r="GV862" s="4">
        <v>142</v>
      </c>
      <c r="GW862" s="4">
        <v>134</v>
      </c>
      <c r="GX862" s="4">
        <v>126</v>
      </c>
      <c r="GY862" s="4">
        <v>118</v>
      </c>
      <c r="GZ862" s="4">
        <v>110</v>
      </c>
      <c r="HA862" s="4">
        <v>102</v>
      </c>
      <c r="HB862" s="4">
        <v>94</v>
      </c>
      <c r="HC862" s="19">
        <v>11.7</v>
      </c>
      <c r="HD862" s="19">
        <v>14.9</v>
      </c>
      <c r="HE862" s="19">
        <v>14.8</v>
      </c>
      <c r="HF862" s="19">
        <v>14.5</v>
      </c>
      <c r="HG862" s="19">
        <v>16.2</v>
      </c>
      <c r="HH862" s="19">
        <v>17.7</v>
      </c>
      <c r="HI862" s="19">
        <v>18.1</v>
      </c>
      <c r="HJ862" s="19">
        <v>22.7</v>
      </c>
      <c r="HK862" s="19">
        <v>23.6</v>
      </c>
      <c r="HL862" s="19">
        <v>25.3</v>
      </c>
      <c r="HM862" s="19">
        <v>24.3</v>
      </c>
      <c r="HN862" s="19">
        <v>23.3</v>
      </c>
      <c r="HO862" s="19">
        <v>22.3</v>
      </c>
      <c r="HP862" s="19">
        <v>21.3</v>
      </c>
      <c r="HQ862" s="19">
        <v>20.3</v>
      </c>
      <c r="HR862" s="19">
        <v>19.3</v>
      </c>
      <c r="HS862" s="19">
        <v>18.3</v>
      </c>
      <c r="HT862" s="19">
        <v>17.2</v>
      </c>
      <c r="HU862" s="19">
        <v>16.2</v>
      </c>
      <c r="HV862" s="19">
        <v>15.2</v>
      </c>
      <c r="HW862" s="19">
        <v>14.2</v>
      </c>
      <c r="HX862" s="19">
        <v>12</v>
      </c>
      <c r="HY862" s="19">
        <v>10.9</v>
      </c>
      <c r="HZ862" s="19">
        <v>9.2</v>
      </c>
      <c r="IA862" s="19">
        <v>6.4</v>
      </c>
      <c r="IB862" s="19">
        <v>5.9</v>
      </c>
    </row>
    <row r="863">
      <c r="A863" s="2" t="s">
        <v>4462</v>
      </c>
      <c r="B863" s="2" t="s">
        <v>825</v>
      </c>
      <c r="C863" s="2" t="s">
        <v>1411</v>
      </c>
      <c r="D863" s="2" t="s">
        <v>261</v>
      </c>
      <c r="E863" s="2" t="s">
        <v>895</v>
      </c>
      <c r="F863" s="2" t="s">
        <v>4463</v>
      </c>
      <c r="G863" s="2" t="s">
        <v>4464</v>
      </c>
      <c r="H863" s="2" t="s">
        <v>4465</v>
      </c>
      <c r="I863" s="2" t="s">
        <v>4466</v>
      </c>
      <c r="J863" s="2" t="s">
        <v>1052</v>
      </c>
      <c r="K863" s="2" t="s">
        <v>1177</v>
      </c>
      <c r="L863" s="3">
        <v>33.33</v>
      </c>
      <c r="M863" s="3">
        <v>35</v>
      </c>
      <c r="N863" s="3">
        <v>69.99</v>
      </c>
      <c r="O863" s="2" t="s">
        <v>230</v>
      </c>
      <c r="P863" s="2" t="s">
        <v>231</v>
      </c>
      <c r="Q863" s="2" t="s">
        <v>232</v>
      </c>
      <c r="R863" s="2" t="s">
        <v>233</v>
      </c>
      <c r="S863" s="2" t="s">
        <v>4467</v>
      </c>
      <c r="T863" s="2" t="s">
        <v>2129</v>
      </c>
      <c r="U863" s="2" t="s">
        <v>711</v>
      </c>
      <c r="V863" s="2" t="s">
        <v>236</v>
      </c>
      <c r="W863" s="2" t="s">
        <v>288</v>
      </c>
      <c r="X863" s="2" t="s">
        <v>237</v>
      </c>
      <c r="Y863" s="2" t="s">
        <v>1505</v>
      </c>
      <c r="Z863" s="4">
        <v>245</v>
      </c>
      <c r="AA863" s="4">
        <f>=ROUNDDOWN(175,0)</f>
      </c>
      <c r="AB863" s="5">
        <v>1.4</v>
      </c>
      <c r="AC863" s="2" t="s">
        <v>233</v>
      </c>
      <c r="AD863" s="4"/>
      <c r="AE863" s="4"/>
      <c r="AF863" s="6">
        <v>64</v>
      </c>
      <c r="AG863" s="6"/>
      <c r="AH863" s="7">
        <v>1</v>
      </c>
      <c r="AI863" s="4"/>
      <c r="AJ863" s="4">
        <f>=ROUNDDOWN({0},0)</f>
      </c>
      <c r="AK863" s="5"/>
      <c r="AL863" s="2" t="s">
        <v>233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233</v>
      </c>
      <c r="AW863" s="8" t="s">
        <v>233</v>
      </c>
      <c r="AX863" s="4" t="s">
        <v>233</v>
      </c>
      <c r="AY863" s="8" t="s">
        <v>233</v>
      </c>
      <c r="AZ863" s="7" t="s">
        <v>233</v>
      </c>
      <c r="BA863" s="7" t="s">
        <v>233</v>
      </c>
      <c r="BB863" s="7"/>
      <c r="BC863" s="4" t="s">
        <v>233</v>
      </c>
      <c r="BD863" s="8" t="s">
        <v>233</v>
      </c>
      <c r="BE863" s="4" t="s">
        <v>233</v>
      </c>
      <c r="BF863" s="8" t="s">
        <v>233</v>
      </c>
      <c r="BG863" s="7" t="s">
        <v>233</v>
      </c>
      <c r="BH863" s="7" t="s">
        <v>233</v>
      </c>
      <c r="BI863" s="7"/>
      <c r="BJ863" s="4">
        <v>7</v>
      </c>
      <c r="BK863" s="8">
        <v>263.55</v>
      </c>
      <c r="BL863" s="2" t="s">
        <v>570</v>
      </c>
      <c r="BM863" s="7"/>
      <c r="BN863" s="7"/>
      <c r="BO863" s="4"/>
      <c r="BP863" s="8"/>
      <c r="BQ863" s="4"/>
      <c r="BR863" s="8"/>
      <c r="BS863" s="7"/>
      <c r="BT863" s="7"/>
      <c r="BU863" s="2" t="s">
        <v>4468</v>
      </c>
      <c r="BV863" s="2" t="s">
        <v>233</v>
      </c>
      <c r="BW863" s="2" t="s">
        <v>233</v>
      </c>
      <c r="BX863" s="2" t="s">
        <v>293</v>
      </c>
      <c r="BY863" s="2" t="s">
        <v>242</v>
      </c>
      <c r="BZ863" s="2" t="s">
        <v>230</v>
      </c>
      <c r="CA863" s="2" t="s">
        <v>1269</v>
      </c>
      <c r="CB863" s="2" t="s">
        <v>1272</v>
      </c>
      <c r="CC863" s="2" t="s">
        <v>245</v>
      </c>
      <c r="CD863" s="2" t="s">
        <v>233</v>
      </c>
      <c r="CE863" s="4">
        <v>245</v>
      </c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>
        <v>248</v>
      </c>
      <c r="GD863" s="4">
        <v>243</v>
      </c>
      <c r="GE863" s="4">
        <v>241</v>
      </c>
      <c r="GF863" s="4">
        <v>240</v>
      </c>
      <c r="GG863" s="4">
        <v>238</v>
      </c>
      <c r="GH863" s="4">
        <v>236</v>
      </c>
      <c r="GI863" s="4">
        <v>235</v>
      </c>
      <c r="GJ863" s="4">
        <v>233</v>
      </c>
      <c r="GK863" s="4">
        <v>232</v>
      </c>
      <c r="GL863" s="4">
        <v>231</v>
      </c>
      <c r="GM863" s="4">
        <v>230</v>
      </c>
      <c r="GN863" s="4">
        <v>229</v>
      </c>
      <c r="GO863" s="4">
        <v>228</v>
      </c>
      <c r="GP863" s="4">
        <v>227</v>
      </c>
      <c r="GQ863" s="4">
        <v>226</v>
      </c>
      <c r="GR863" s="4">
        <v>225</v>
      </c>
      <c r="GS863" s="4">
        <v>224</v>
      </c>
      <c r="GT863" s="4">
        <v>223</v>
      </c>
      <c r="GU863" s="4">
        <v>222</v>
      </c>
      <c r="GV863" s="4">
        <v>221</v>
      </c>
      <c r="GW863" s="4">
        <v>220</v>
      </c>
      <c r="GX863" s="4">
        <v>219</v>
      </c>
      <c r="GY863" s="4">
        <v>218</v>
      </c>
      <c r="GZ863" s="4">
        <v>217</v>
      </c>
      <c r="HA863" s="4">
        <v>216</v>
      </c>
      <c r="HB863" s="4">
        <v>255</v>
      </c>
      <c r="HC863" s="19">
        <v>124</v>
      </c>
      <c r="HD863" s="19">
        <v>121.5</v>
      </c>
      <c r="HE863" s="19">
        <v>120.5</v>
      </c>
      <c r="HF863" s="19">
        <v>120</v>
      </c>
      <c r="HG863" s="19">
        <v>119</v>
      </c>
      <c r="HH863" s="19">
        <v>236</v>
      </c>
      <c r="HI863" s="19">
        <v>235</v>
      </c>
      <c r="HJ863" s="19">
        <v>233</v>
      </c>
      <c r="HK863" s="19">
        <v>232</v>
      </c>
      <c r="HL863" s="19">
        <v>231</v>
      </c>
      <c r="HM863" s="19">
        <v>230</v>
      </c>
      <c r="HN863" s="19">
        <v>229</v>
      </c>
      <c r="HO863" s="19">
        <v>228</v>
      </c>
      <c r="HP863" s="19">
        <v>227</v>
      </c>
      <c r="HQ863" s="19">
        <v>226</v>
      </c>
      <c r="HR863" s="19">
        <v>225</v>
      </c>
      <c r="HS863" s="19">
        <v>224</v>
      </c>
      <c r="HT863" s="19">
        <v>223</v>
      </c>
      <c r="HU863" s="19">
        <v>222</v>
      </c>
      <c r="HV863" s="19">
        <v>221</v>
      </c>
      <c r="HW863" s="19">
        <v>220</v>
      </c>
      <c r="HX863" s="19">
        <v>219</v>
      </c>
      <c r="HY863" s="19">
        <v>218</v>
      </c>
      <c r="HZ863" s="19">
        <v>217</v>
      </c>
      <c r="IA863" s="19">
        <v>216</v>
      </c>
      <c r="IB863" s="19">
        <v>255</v>
      </c>
    </row>
    <row r="864">
      <c r="A864" s="2" t="s">
        <v>4469</v>
      </c>
      <c r="B864" s="2" t="s">
        <v>825</v>
      </c>
      <c r="C864" s="2" t="s">
        <v>1411</v>
      </c>
      <c r="D864" s="2" t="s">
        <v>261</v>
      </c>
      <c r="E864" s="2" t="s">
        <v>895</v>
      </c>
      <c r="F864" s="2" t="s">
        <v>4463</v>
      </c>
      <c r="G864" s="2" t="s">
        <v>4464</v>
      </c>
      <c r="H864" s="2" t="s">
        <v>4465</v>
      </c>
      <c r="I864" s="2" t="s">
        <v>4466</v>
      </c>
      <c r="J864" s="2" t="s">
        <v>265</v>
      </c>
      <c r="K864" s="2" t="s">
        <v>1177</v>
      </c>
      <c r="L864" s="3">
        <v>42.85</v>
      </c>
      <c r="M864" s="3">
        <v>44.99</v>
      </c>
      <c r="N864" s="3">
        <v>89.99</v>
      </c>
      <c r="O864" s="2" t="s">
        <v>230</v>
      </c>
      <c r="P864" s="2" t="s">
        <v>231</v>
      </c>
      <c r="Q864" s="2" t="s">
        <v>232</v>
      </c>
      <c r="R864" s="2" t="s">
        <v>233</v>
      </c>
      <c r="S864" s="2" t="s">
        <v>4467</v>
      </c>
      <c r="T864" s="2" t="s">
        <v>2129</v>
      </c>
      <c r="U864" s="2" t="s">
        <v>781</v>
      </c>
      <c r="V864" s="2" t="s">
        <v>236</v>
      </c>
      <c r="W864" s="2" t="s">
        <v>288</v>
      </c>
      <c r="X864" s="2" t="s">
        <v>237</v>
      </c>
      <c r="Y864" s="2" t="s">
        <v>1505</v>
      </c>
      <c r="Z864" s="4">
        <v>466</v>
      </c>
      <c r="AA864" s="4">
        <f>=ROUNDDOWN(160.689655172414,0)</f>
      </c>
      <c r="AB864" s="5">
        <v>2.9</v>
      </c>
      <c r="AC864" s="2" t="s">
        <v>233</v>
      </c>
      <c r="AD864" s="4"/>
      <c r="AE864" s="4"/>
      <c r="AF864" s="6">
        <v>64</v>
      </c>
      <c r="AG864" s="6"/>
      <c r="AH864" s="7">
        <v>1</v>
      </c>
      <c r="AI864" s="4"/>
      <c r="AJ864" s="4">
        <f>=ROUNDDOWN({0},0)</f>
      </c>
      <c r="AK864" s="5"/>
      <c r="AL864" s="2" t="s">
        <v>233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233</v>
      </c>
      <c r="AW864" s="8" t="s">
        <v>233</v>
      </c>
      <c r="AX864" s="4" t="s">
        <v>233</v>
      </c>
      <c r="AY864" s="8" t="s">
        <v>233</v>
      </c>
      <c r="AZ864" s="7" t="s">
        <v>233</v>
      </c>
      <c r="BA864" s="7" t="s">
        <v>233</v>
      </c>
      <c r="BB864" s="7"/>
      <c r="BC864" s="4" t="s">
        <v>233</v>
      </c>
      <c r="BD864" s="8" t="s">
        <v>233</v>
      </c>
      <c r="BE864" s="4" t="s">
        <v>233</v>
      </c>
      <c r="BF864" s="8" t="s">
        <v>233</v>
      </c>
      <c r="BG864" s="7" t="s">
        <v>233</v>
      </c>
      <c r="BH864" s="7" t="s">
        <v>233</v>
      </c>
      <c r="BI864" s="7"/>
      <c r="BJ864" s="4">
        <v>16</v>
      </c>
      <c r="BK864" s="8">
        <v>779.51</v>
      </c>
      <c r="BL864" s="2" t="s">
        <v>2501</v>
      </c>
      <c r="BM864" s="7"/>
      <c r="BN864" s="7"/>
      <c r="BO864" s="4"/>
      <c r="BP864" s="8"/>
      <c r="BQ864" s="4"/>
      <c r="BR864" s="8"/>
      <c r="BS864" s="7"/>
      <c r="BT864" s="7"/>
      <c r="BU864" s="2" t="s">
        <v>4468</v>
      </c>
      <c r="BV864" s="2" t="s">
        <v>233</v>
      </c>
      <c r="BW864" s="2" t="s">
        <v>233</v>
      </c>
      <c r="BX864" s="2" t="s">
        <v>293</v>
      </c>
      <c r="BY864" s="2" t="s">
        <v>242</v>
      </c>
      <c r="BZ864" s="2" t="s">
        <v>230</v>
      </c>
      <c r="CA864" s="2" t="s">
        <v>1269</v>
      </c>
      <c r="CB864" s="2" t="s">
        <v>1516</v>
      </c>
      <c r="CC864" s="2" t="s">
        <v>245</v>
      </c>
      <c r="CD864" s="2" t="s">
        <v>233</v>
      </c>
      <c r="CE864" s="4">
        <v>466</v>
      </c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>
        <v>475</v>
      </c>
      <c r="GD864" s="4">
        <v>462</v>
      </c>
      <c r="GE864" s="4">
        <v>459</v>
      </c>
      <c r="GF864" s="4">
        <v>455</v>
      </c>
      <c r="GG864" s="4">
        <v>449</v>
      </c>
      <c r="GH864" s="4">
        <v>445</v>
      </c>
      <c r="GI864" s="4">
        <v>442</v>
      </c>
      <c r="GJ864" s="4">
        <v>438</v>
      </c>
      <c r="GK864" s="4">
        <v>434</v>
      </c>
      <c r="GL864" s="4">
        <v>431</v>
      </c>
      <c r="GM864" s="4">
        <v>428</v>
      </c>
      <c r="GN864" s="4">
        <v>425</v>
      </c>
      <c r="GO864" s="4">
        <v>422</v>
      </c>
      <c r="GP864" s="4">
        <v>419</v>
      </c>
      <c r="GQ864" s="4">
        <v>416</v>
      </c>
      <c r="GR864" s="4">
        <v>413</v>
      </c>
      <c r="GS864" s="4">
        <v>410</v>
      </c>
      <c r="GT864" s="4">
        <v>407</v>
      </c>
      <c r="GU864" s="4">
        <v>404</v>
      </c>
      <c r="GV864" s="4">
        <v>401</v>
      </c>
      <c r="GW864" s="4">
        <v>398</v>
      </c>
      <c r="GX864" s="4">
        <v>395</v>
      </c>
      <c r="GY864" s="4">
        <v>392</v>
      </c>
      <c r="GZ864" s="4">
        <v>389</v>
      </c>
      <c r="HA864" s="4">
        <v>386</v>
      </c>
      <c r="HB864" s="4">
        <v>563</v>
      </c>
      <c r="HC864" s="19">
        <v>79.2</v>
      </c>
      <c r="HD864" s="19">
        <v>115.5</v>
      </c>
      <c r="HE864" s="19">
        <v>114.8</v>
      </c>
      <c r="HF864" s="19">
        <v>113.8</v>
      </c>
      <c r="HG864" s="19">
        <v>112.3</v>
      </c>
      <c r="HH864" s="19">
        <v>111.3</v>
      </c>
      <c r="HI864" s="19">
        <v>110.5</v>
      </c>
      <c r="HJ864" s="19">
        <v>146</v>
      </c>
      <c r="HK864" s="19">
        <v>144.7</v>
      </c>
      <c r="HL864" s="19">
        <v>143.7</v>
      </c>
      <c r="HM864" s="19">
        <v>142.7</v>
      </c>
      <c r="HN864" s="19">
        <v>141.7</v>
      </c>
      <c r="HO864" s="19">
        <v>140.7</v>
      </c>
      <c r="HP864" s="19">
        <v>139.7</v>
      </c>
      <c r="HQ864" s="19">
        <v>138.7</v>
      </c>
      <c r="HR864" s="19">
        <v>137.7</v>
      </c>
      <c r="HS864" s="19">
        <v>136.7</v>
      </c>
      <c r="HT864" s="19">
        <v>135.7</v>
      </c>
      <c r="HU864" s="19">
        <v>134.7</v>
      </c>
      <c r="HV864" s="19">
        <v>133.7</v>
      </c>
      <c r="HW864" s="19">
        <v>132.7</v>
      </c>
      <c r="HX864" s="19">
        <v>131.7</v>
      </c>
      <c r="HY864" s="19">
        <v>130.7</v>
      </c>
      <c r="HZ864" s="19">
        <v>129.7</v>
      </c>
      <c r="IA864" s="19">
        <v>128.7</v>
      </c>
      <c r="IB864" s="19">
        <v>187.7</v>
      </c>
    </row>
    <row r="865">
      <c r="A865" s="2" t="s">
        <v>4470</v>
      </c>
      <c r="B865" s="2" t="s">
        <v>938</v>
      </c>
      <c r="C865" s="2" t="s">
        <v>1318</v>
      </c>
      <c r="D865" s="2" t="s">
        <v>972</v>
      </c>
      <c r="E865" s="2" t="s">
        <v>1092</v>
      </c>
      <c r="F865" s="2" t="s">
        <v>4471</v>
      </c>
      <c r="G865" s="2" t="s">
        <v>4472</v>
      </c>
      <c r="H865" s="2" t="s">
        <v>4473</v>
      </c>
      <c r="I865" s="2" t="s">
        <v>4474</v>
      </c>
      <c r="J865" s="2" t="s">
        <v>1935</v>
      </c>
      <c r="K865" s="2" t="s">
        <v>2800</v>
      </c>
      <c r="L865" s="3">
        <v>30.1</v>
      </c>
      <c r="M865" s="3">
        <v>31.61</v>
      </c>
      <c r="N865" s="3">
        <v>69.99</v>
      </c>
      <c r="O865" s="2" t="s">
        <v>230</v>
      </c>
      <c r="P865" s="2" t="s">
        <v>231</v>
      </c>
      <c r="Q865" s="2" t="s">
        <v>232</v>
      </c>
      <c r="R865" s="2" t="s">
        <v>233</v>
      </c>
      <c r="S865" s="2" t="s">
        <v>4475</v>
      </c>
      <c r="T865" s="2" t="s">
        <v>233</v>
      </c>
      <c r="U865" s="2" t="s">
        <v>711</v>
      </c>
      <c r="V865" s="2" t="s">
        <v>1251</v>
      </c>
      <c r="W865" s="2" t="s">
        <v>288</v>
      </c>
      <c r="X865" s="2" t="s">
        <v>1324</v>
      </c>
      <c r="Y865" s="2" t="s">
        <v>3633</v>
      </c>
      <c r="Z865" s="4">
        <v>346</v>
      </c>
      <c r="AA865" s="4">
        <f>=ROUNDDOWN(57.6666666666667,0)</f>
      </c>
      <c r="AB865" s="5">
        <v>6</v>
      </c>
      <c r="AC865" s="2" t="s">
        <v>233</v>
      </c>
      <c r="AD865" s="4"/>
      <c r="AE865" s="4"/>
      <c r="AF865" s="6">
        <v>68</v>
      </c>
      <c r="AG865" s="6"/>
      <c r="AH865" s="7">
        <v>1</v>
      </c>
      <c r="AI865" s="4"/>
      <c r="AJ865" s="4">
        <f>=ROUNDDOWN({0},0)</f>
      </c>
      <c r="AK865" s="5"/>
      <c r="AL865" s="2" t="s">
        <v>233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/>
      <c r="AW865" s="8"/>
      <c r="AX865" s="4"/>
      <c r="AY865" s="8"/>
      <c r="AZ865" s="7"/>
      <c r="BA865" s="7"/>
      <c r="BB865" s="7"/>
      <c r="BC865" s="4"/>
      <c r="BD865" s="8"/>
      <c r="BE865" s="4"/>
      <c r="BF865" s="8"/>
      <c r="BG865" s="7"/>
      <c r="BH865" s="7"/>
      <c r="BI865" s="7"/>
      <c r="BJ865" s="4">
        <v>12</v>
      </c>
      <c r="BK865" s="8">
        <v>424.86</v>
      </c>
      <c r="BL865" s="2" t="s">
        <v>1278</v>
      </c>
      <c r="BM865" s="7"/>
      <c r="BN865" s="7"/>
      <c r="BO865" s="4"/>
      <c r="BP865" s="8"/>
      <c r="BQ865" s="4"/>
      <c r="BR865" s="8"/>
      <c r="BS865" s="7"/>
      <c r="BT865" s="7"/>
      <c r="BU865" s="2" t="s">
        <v>4476</v>
      </c>
      <c r="BV865" s="2" t="s">
        <v>233</v>
      </c>
      <c r="BW865" s="2" t="s">
        <v>233</v>
      </c>
      <c r="BX865" s="2" t="s">
        <v>293</v>
      </c>
      <c r="BY865" s="2" t="s">
        <v>242</v>
      </c>
      <c r="BZ865" s="2" t="s">
        <v>230</v>
      </c>
      <c r="CA865" s="2" t="s">
        <v>3372</v>
      </c>
      <c r="CB865" s="2" t="s">
        <v>2468</v>
      </c>
      <c r="CC865" s="2" t="s">
        <v>245</v>
      </c>
      <c r="CD865" s="2" t="s">
        <v>233</v>
      </c>
      <c r="CE865" s="4">
        <v>346</v>
      </c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>
        <v>348</v>
      </c>
      <c r="GD865" s="4">
        <v>337</v>
      </c>
      <c r="GE865" s="4">
        <v>331</v>
      </c>
      <c r="GF865" s="4">
        <v>326</v>
      </c>
      <c r="GG865" s="4">
        <v>319</v>
      </c>
      <c r="GH865" s="4">
        <v>314</v>
      </c>
      <c r="GI865" s="4">
        <v>307</v>
      </c>
      <c r="GJ865" s="4">
        <v>301</v>
      </c>
      <c r="GK865" s="4">
        <v>294</v>
      </c>
      <c r="GL865" s="4">
        <v>288</v>
      </c>
      <c r="GM865" s="4">
        <v>282</v>
      </c>
      <c r="GN865" s="4">
        <v>276</v>
      </c>
      <c r="GO865" s="4">
        <v>270</v>
      </c>
      <c r="GP865" s="4">
        <v>264</v>
      </c>
      <c r="GQ865" s="4">
        <v>258</v>
      </c>
      <c r="GR865" s="4">
        <v>252</v>
      </c>
      <c r="GS865" s="4">
        <v>246</v>
      </c>
      <c r="GT865" s="4">
        <v>239</v>
      </c>
      <c r="GU865" s="4">
        <v>233</v>
      </c>
      <c r="GV865" s="4">
        <v>227</v>
      </c>
      <c r="GW865" s="4">
        <v>221</v>
      </c>
      <c r="GX865" s="4">
        <v>215</v>
      </c>
      <c r="GY865" s="4">
        <v>209</v>
      </c>
      <c r="GZ865" s="4">
        <v>203</v>
      </c>
      <c r="HA865" s="4">
        <v>197</v>
      </c>
      <c r="HB865" s="4">
        <v>191</v>
      </c>
      <c r="HC865" s="19">
        <v>49.7</v>
      </c>
      <c r="HD865" s="19">
        <v>56.2</v>
      </c>
      <c r="HE865" s="19">
        <v>55.2</v>
      </c>
      <c r="HF865" s="19">
        <v>54.3</v>
      </c>
      <c r="HG865" s="19">
        <v>53.2</v>
      </c>
      <c r="HH865" s="19">
        <v>52.3</v>
      </c>
      <c r="HI865" s="19">
        <v>51.2</v>
      </c>
      <c r="HJ865" s="19">
        <v>50.2</v>
      </c>
      <c r="HK865" s="19">
        <v>49</v>
      </c>
      <c r="HL865" s="19">
        <v>48</v>
      </c>
      <c r="HM865" s="19">
        <v>47</v>
      </c>
      <c r="HN865" s="19">
        <v>46</v>
      </c>
      <c r="HO865" s="19">
        <v>45</v>
      </c>
      <c r="HP865" s="19">
        <v>44</v>
      </c>
      <c r="HQ865" s="19">
        <v>43</v>
      </c>
      <c r="HR865" s="19">
        <v>42</v>
      </c>
      <c r="HS865" s="19">
        <v>41</v>
      </c>
      <c r="HT865" s="19">
        <v>39.8</v>
      </c>
      <c r="HU865" s="19">
        <v>38.8</v>
      </c>
      <c r="HV865" s="19">
        <v>37.8</v>
      </c>
      <c r="HW865" s="19">
        <v>36.8</v>
      </c>
      <c r="HX865" s="19">
        <v>35.8</v>
      </c>
      <c r="HY865" s="19">
        <v>34.8</v>
      </c>
      <c r="HZ865" s="19">
        <v>33.8</v>
      </c>
      <c r="IA865" s="19">
        <v>32.8</v>
      </c>
      <c r="IB865" s="19">
        <v>31.8</v>
      </c>
    </row>
    <row r="866">
      <c r="A866" s="2" t="s">
        <v>4477</v>
      </c>
      <c r="B866" s="2" t="s">
        <v>761</v>
      </c>
      <c r="C866" s="2" t="s">
        <v>762</v>
      </c>
      <c r="D866" s="2" t="s">
        <v>4478</v>
      </c>
      <c r="E866" s="2" t="s">
        <v>4479</v>
      </c>
      <c r="F866" s="2" t="s">
        <v>4480</v>
      </c>
      <c r="G866" s="2" t="s">
        <v>4480</v>
      </c>
      <c r="H866" s="2" t="s">
        <v>4480</v>
      </c>
      <c r="I866" s="2" t="s">
        <v>4481</v>
      </c>
      <c r="J866" s="2" t="s">
        <v>4482</v>
      </c>
      <c r="K866" s="2" t="s">
        <v>4483</v>
      </c>
      <c r="L866" s="3">
        <v>157.5</v>
      </c>
      <c r="M866" s="3">
        <v>165.38</v>
      </c>
      <c r="N866" s="3">
        <v>329</v>
      </c>
      <c r="O866" s="2" t="s">
        <v>230</v>
      </c>
      <c r="P866" s="2" t="s">
        <v>721</v>
      </c>
      <c r="Q866" s="2" t="s">
        <v>232</v>
      </c>
      <c r="R866" s="2" t="s">
        <v>233</v>
      </c>
      <c r="S866" s="2" t="s">
        <v>233</v>
      </c>
      <c r="T866" s="2" t="s">
        <v>233</v>
      </c>
      <c r="U866" s="2" t="s">
        <v>329</v>
      </c>
      <c r="V866" s="2" t="s">
        <v>609</v>
      </c>
      <c r="W866" s="2" t="s">
        <v>620</v>
      </c>
      <c r="X866" s="2" t="s">
        <v>237</v>
      </c>
      <c r="Y866" s="2" t="s">
        <v>4484</v>
      </c>
      <c r="Z866" s="4">
        <v>8</v>
      </c>
      <c r="AA866" s="4">
        <f>=ROUNDDOWN(2.66666666666667,0)</f>
      </c>
      <c r="AB866" s="5">
        <v>3</v>
      </c>
      <c r="AC866" s="2" t="s">
        <v>143</v>
      </c>
      <c r="AD866" s="4">
        <v>170</v>
      </c>
      <c r="AE866" s="4">
        <v>170</v>
      </c>
      <c r="AF866" s="6">
        <v>76</v>
      </c>
      <c r="AG866" s="6"/>
      <c r="AH866" s="7">
        <v>1</v>
      </c>
      <c r="AI866" s="4"/>
      <c r="AJ866" s="4">
        <f>=ROUNDDOWN({0},0)</f>
      </c>
      <c r="AK866" s="5"/>
      <c r="AL866" s="2" t="s">
        <v>233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/>
      <c r="BD866" s="8"/>
      <c r="BE866" s="4"/>
      <c r="BF866" s="8"/>
      <c r="BG866" s="7"/>
      <c r="BH866" s="7"/>
      <c r="BI866" s="7"/>
      <c r="BJ866" s="4">
        <v>2</v>
      </c>
      <c r="BK866" s="8">
        <v>347.29</v>
      </c>
      <c r="BL866" s="2" t="s">
        <v>4485</v>
      </c>
      <c r="BM866" s="7"/>
      <c r="BN866" s="7"/>
      <c r="BO866" s="4"/>
      <c r="BP866" s="8"/>
      <c r="BQ866" s="4"/>
      <c r="BR866" s="8"/>
      <c r="BS866" s="7"/>
      <c r="BT866" s="7"/>
      <c r="BU866" s="2" t="s">
        <v>4486</v>
      </c>
      <c r="BV866" s="2" t="s">
        <v>233</v>
      </c>
      <c r="BW866" s="2" t="s">
        <v>233</v>
      </c>
      <c r="BX866" s="2" t="s">
        <v>241</v>
      </c>
      <c r="BY866" s="2" t="s">
        <v>242</v>
      </c>
      <c r="BZ866" s="2" t="s">
        <v>230</v>
      </c>
      <c r="CA866" s="2" t="s">
        <v>1770</v>
      </c>
      <c r="CB866" s="2" t="s">
        <v>4487</v>
      </c>
      <c r="CC866" s="2" t="s">
        <v>245</v>
      </c>
      <c r="CD866" s="2" t="s">
        <v>233</v>
      </c>
      <c r="CE866" s="4"/>
      <c r="CF866" s="4">
        <v>8</v>
      </c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>
        <v>170</v>
      </c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>
        <v>10</v>
      </c>
      <c r="GD866" s="4">
        <v>5</v>
      </c>
      <c r="GE866" s="4">
        <v>2</v>
      </c>
      <c r="GF866" s="4">
        <v>170</v>
      </c>
      <c r="GG866" s="4">
        <v>163</v>
      </c>
      <c r="GH866" s="4">
        <v>158</v>
      </c>
      <c r="GI866" s="4">
        <v>153</v>
      </c>
      <c r="GJ866" s="4">
        <v>150</v>
      </c>
      <c r="GK866" s="4">
        <v>148</v>
      </c>
      <c r="GL866" s="4">
        <v>145</v>
      </c>
      <c r="GM866" s="4">
        <v>143</v>
      </c>
      <c r="GN866" s="4">
        <v>140</v>
      </c>
      <c r="GO866" s="4">
        <v>138</v>
      </c>
      <c r="GP866" s="4">
        <v>136</v>
      </c>
      <c r="GQ866" s="4">
        <v>134</v>
      </c>
      <c r="GR866" s="4">
        <v>132</v>
      </c>
      <c r="GS866" s="4">
        <v>130</v>
      </c>
      <c r="GT866" s="4">
        <v>127</v>
      </c>
      <c r="GU866" s="4">
        <v>125</v>
      </c>
      <c r="GV866" s="4">
        <v>122</v>
      </c>
      <c r="GW866" s="4">
        <v>119</v>
      </c>
      <c r="GX866" s="4">
        <v>116</v>
      </c>
      <c r="GY866" s="4">
        <v>113</v>
      </c>
      <c r="GZ866" s="4">
        <v>110</v>
      </c>
      <c r="HA866" s="4">
        <v>107</v>
      </c>
      <c r="HB866" s="4">
        <v>104</v>
      </c>
      <c r="HC866" s="19">
        <v>2</v>
      </c>
      <c r="HD866" s="19">
        <v>1</v>
      </c>
      <c r="HE866" s="19">
        <v>0.4</v>
      </c>
      <c r="HF866" s="19">
        <v>34</v>
      </c>
      <c r="HG866" s="19">
        <v>40.8</v>
      </c>
      <c r="HH866" s="19">
        <v>52.7</v>
      </c>
      <c r="HI866" s="19">
        <v>76.5</v>
      </c>
      <c r="HJ866" s="19">
        <v>75</v>
      </c>
      <c r="HK866" s="19">
        <v>74</v>
      </c>
      <c r="HL866" s="19">
        <v>72.5</v>
      </c>
      <c r="HM866" s="19">
        <v>71.5</v>
      </c>
      <c r="HN866" s="19">
        <v>70</v>
      </c>
      <c r="HO866" s="19">
        <v>69</v>
      </c>
      <c r="HP866" s="19">
        <v>68</v>
      </c>
      <c r="HQ866" s="19">
        <v>67</v>
      </c>
      <c r="HR866" s="19">
        <v>66</v>
      </c>
      <c r="HS866" s="19">
        <v>43.3</v>
      </c>
      <c r="HT866" s="19">
        <v>42.3</v>
      </c>
      <c r="HU866" s="19">
        <v>41.7</v>
      </c>
      <c r="HV866" s="19">
        <v>40.7</v>
      </c>
      <c r="HW866" s="19">
        <v>39.7</v>
      </c>
      <c r="HX866" s="19">
        <v>38.7</v>
      </c>
      <c r="HY866" s="19">
        <v>37.7</v>
      </c>
      <c r="HZ866" s="19">
        <v>36.7</v>
      </c>
      <c r="IA866" s="19">
        <v>35.7</v>
      </c>
      <c r="IB866" s="19">
        <v>34.7</v>
      </c>
    </row>
    <row r="867">
      <c r="A867" s="2" t="s">
        <v>4488</v>
      </c>
      <c r="B867" s="2" t="s">
        <v>736</v>
      </c>
      <c r="C867" s="2" t="s">
        <v>280</v>
      </c>
      <c r="D867" s="2" t="s">
        <v>1197</v>
      </c>
      <c r="E867" s="2" t="s">
        <v>738</v>
      </c>
      <c r="F867" s="2" t="s">
        <v>4489</v>
      </c>
      <c r="G867" s="2" t="s">
        <v>4489</v>
      </c>
      <c r="H867" s="2" t="s">
        <v>4489</v>
      </c>
      <c r="I867" s="2" t="s">
        <v>4490</v>
      </c>
      <c r="J867" s="2" t="s">
        <v>741</v>
      </c>
      <c r="K867" s="2" t="s">
        <v>4491</v>
      </c>
      <c r="L867" s="3">
        <v>52.38</v>
      </c>
      <c r="M867" s="3">
        <v>55</v>
      </c>
      <c r="N867" s="3">
        <v>109.99</v>
      </c>
      <c r="O867" s="2" t="s">
        <v>230</v>
      </c>
      <c r="P867" s="2" t="s">
        <v>721</v>
      </c>
      <c r="Q867" s="2" t="s">
        <v>232</v>
      </c>
      <c r="R867" s="2" t="s">
        <v>233</v>
      </c>
      <c r="S867" s="2" t="s">
        <v>233</v>
      </c>
      <c r="T867" s="2" t="s">
        <v>233</v>
      </c>
      <c r="U867" s="2" t="s">
        <v>329</v>
      </c>
      <c r="V867" s="2" t="s">
        <v>609</v>
      </c>
      <c r="W867" s="2" t="s">
        <v>1190</v>
      </c>
      <c r="X867" s="2" t="s">
        <v>712</v>
      </c>
      <c r="Y867" s="2" t="s">
        <v>4492</v>
      </c>
      <c r="Z867" s="4">
        <v>48</v>
      </c>
      <c r="AA867" s="4">
        <f>=ROUNDDOWN(48,0)</f>
      </c>
      <c r="AB867" s="5">
        <v>1</v>
      </c>
      <c r="AC867" s="2" t="s">
        <v>233</v>
      </c>
      <c r="AD867" s="4"/>
      <c r="AE867" s="4"/>
      <c r="AF867" s="6">
        <v>63</v>
      </c>
      <c r="AG867" s="6"/>
      <c r="AH867" s="7">
        <v>1</v>
      </c>
      <c r="AI867" s="4"/>
      <c r="AJ867" s="4">
        <f>=ROUNDDOWN({0},0)</f>
      </c>
      <c r="AK867" s="5"/>
      <c r="AL867" s="2" t="s">
        <v>233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/>
      <c r="BD867" s="8"/>
      <c r="BE867" s="4"/>
      <c r="BF867" s="8"/>
      <c r="BG867" s="7"/>
      <c r="BH867" s="7"/>
      <c r="BI867" s="7"/>
      <c r="BJ867" s="4">
        <v>7</v>
      </c>
      <c r="BK867" s="8">
        <v>416.89</v>
      </c>
      <c r="BL867" s="2" t="s">
        <v>1600</v>
      </c>
      <c r="BM867" s="7"/>
      <c r="BN867" s="7"/>
      <c r="BO867" s="4"/>
      <c r="BP867" s="8"/>
      <c r="BQ867" s="4"/>
      <c r="BR867" s="8"/>
      <c r="BS867" s="7"/>
      <c r="BT867" s="7"/>
      <c r="BU867" s="2" t="s">
        <v>4493</v>
      </c>
      <c r="BV867" s="2" t="s">
        <v>233</v>
      </c>
      <c r="BW867" s="2" t="s">
        <v>233</v>
      </c>
      <c r="BX867" s="2" t="s">
        <v>241</v>
      </c>
      <c r="BY867" s="2" t="s">
        <v>242</v>
      </c>
      <c r="BZ867" s="2" t="s">
        <v>230</v>
      </c>
      <c r="CA867" s="2" t="s">
        <v>1597</v>
      </c>
      <c r="CB867" s="2" t="s">
        <v>233</v>
      </c>
      <c r="CC867" s="2" t="s">
        <v>245</v>
      </c>
      <c r="CD867" s="2" t="s">
        <v>233</v>
      </c>
      <c r="CE867" s="4"/>
      <c r="CF867" s="4">
        <v>48</v>
      </c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>
        <v>48</v>
      </c>
      <c r="GD867" s="4">
        <v>47</v>
      </c>
      <c r="GE867" s="4">
        <v>46</v>
      </c>
      <c r="GF867" s="4">
        <v>45</v>
      </c>
      <c r="GG867" s="4">
        <v>44</v>
      </c>
      <c r="GH867" s="4">
        <v>43</v>
      </c>
      <c r="GI867" s="4">
        <v>42</v>
      </c>
      <c r="GJ867" s="4">
        <v>41</v>
      </c>
      <c r="GK867" s="4">
        <v>40</v>
      </c>
      <c r="GL867" s="4">
        <v>39</v>
      </c>
      <c r="GM867" s="4">
        <v>38</v>
      </c>
      <c r="GN867" s="4">
        <v>37</v>
      </c>
      <c r="GO867" s="4">
        <v>36</v>
      </c>
      <c r="GP867" s="4">
        <v>35</v>
      </c>
      <c r="GQ867" s="4">
        <v>34</v>
      </c>
      <c r="GR867" s="4">
        <v>33</v>
      </c>
      <c r="GS867" s="4">
        <v>32</v>
      </c>
      <c r="GT867" s="4">
        <v>31</v>
      </c>
      <c r="GU867" s="4">
        <v>30</v>
      </c>
      <c r="GV867" s="4">
        <v>29</v>
      </c>
      <c r="GW867" s="4">
        <v>28</v>
      </c>
      <c r="GX867" s="4">
        <v>27</v>
      </c>
      <c r="GY867" s="4">
        <v>26</v>
      </c>
      <c r="GZ867" s="4">
        <v>25</v>
      </c>
      <c r="HA867" s="4">
        <v>24</v>
      </c>
      <c r="HB867" s="4">
        <v>23</v>
      </c>
      <c r="HC867" s="19">
        <v>48</v>
      </c>
      <c r="HD867" s="19">
        <v>47</v>
      </c>
      <c r="HE867" s="19">
        <v>46</v>
      </c>
      <c r="HF867" s="19">
        <v>45</v>
      </c>
      <c r="HG867" s="19">
        <v>44</v>
      </c>
      <c r="HH867" s="19">
        <v>43</v>
      </c>
      <c r="HI867" s="19">
        <v>42</v>
      </c>
      <c r="HJ867" s="19">
        <v>41</v>
      </c>
      <c r="HK867" s="19">
        <v>40</v>
      </c>
      <c r="HL867" s="19">
        <v>39</v>
      </c>
      <c r="HM867" s="19">
        <v>38</v>
      </c>
      <c r="HN867" s="19">
        <v>37</v>
      </c>
      <c r="HO867" s="19">
        <v>36</v>
      </c>
      <c r="HP867" s="19">
        <v>35</v>
      </c>
      <c r="HQ867" s="19">
        <v>34</v>
      </c>
      <c r="HR867" s="19">
        <v>33</v>
      </c>
      <c r="HS867" s="19">
        <v>32</v>
      </c>
      <c r="HT867" s="19">
        <v>31</v>
      </c>
      <c r="HU867" s="19">
        <v>30</v>
      </c>
      <c r="HV867" s="19">
        <v>29</v>
      </c>
      <c r="HW867" s="19">
        <v>28</v>
      </c>
      <c r="HX867" s="19">
        <v>27</v>
      </c>
      <c r="HY867" s="19">
        <v>26</v>
      </c>
      <c r="HZ867" s="19">
        <v>25</v>
      </c>
      <c r="IA867" s="19">
        <v>24</v>
      </c>
      <c r="IB867" s="19">
        <v>23</v>
      </c>
    </row>
    <row r="868">
      <c r="A868" s="2" t="s">
        <v>4494</v>
      </c>
      <c r="B868" s="2" t="s">
        <v>872</v>
      </c>
      <c r="C868" s="2" t="s">
        <v>2050</v>
      </c>
      <c r="D868" s="2" t="s">
        <v>774</v>
      </c>
      <c r="E868" s="2" t="s">
        <v>827</v>
      </c>
      <c r="F868" s="2" t="s">
        <v>4495</v>
      </c>
      <c r="G868" s="2" t="s">
        <v>4495</v>
      </c>
      <c r="H868" s="2" t="s">
        <v>4495</v>
      </c>
      <c r="I868" s="2" t="s">
        <v>4496</v>
      </c>
      <c r="J868" s="2" t="s">
        <v>265</v>
      </c>
      <c r="K868" s="2" t="s">
        <v>3532</v>
      </c>
      <c r="L868" s="3">
        <v>80</v>
      </c>
      <c r="M868" s="3">
        <v>84</v>
      </c>
      <c r="N868" s="3">
        <v>159.99</v>
      </c>
      <c r="O868" s="2" t="s">
        <v>230</v>
      </c>
      <c r="P868" s="2" t="s">
        <v>1302</v>
      </c>
      <c r="Q868" s="2" t="s">
        <v>232</v>
      </c>
      <c r="R868" s="2" t="s">
        <v>233</v>
      </c>
      <c r="S868" s="2" t="s">
        <v>4497</v>
      </c>
      <c r="T868" s="2" t="s">
        <v>348</v>
      </c>
      <c r="U868" s="2" t="s">
        <v>608</v>
      </c>
      <c r="V868" s="2" t="s">
        <v>349</v>
      </c>
      <c r="W868" s="2" t="s">
        <v>916</v>
      </c>
      <c r="X868" s="2" t="s">
        <v>4498</v>
      </c>
      <c r="Y868" s="2" t="s">
        <v>845</v>
      </c>
      <c r="Z868" s="4">
        <v>128</v>
      </c>
      <c r="AA868" s="4">
        <f>=ROUNDDOWN(64,0)</f>
      </c>
      <c r="AB868" s="5">
        <v>2</v>
      </c>
      <c r="AC868" s="2" t="s">
        <v>233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233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233</v>
      </c>
      <c r="AW868" s="8" t="s">
        <v>233</v>
      </c>
      <c r="AX868" s="4" t="s">
        <v>233</v>
      </c>
      <c r="AY868" s="8" t="s">
        <v>233</v>
      </c>
      <c r="AZ868" s="7" t="s">
        <v>233</v>
      </c>
      <c r="BA868" s="7" t="s">
        <v>233</v>
      </c>
      <c r="BB868" s="7"/>
      <c r="BC868" s="4" t="s">
        <v>233</v>
      </c>
      <c r="BD868" s="8" t="s">
        <v>233</v>
      </c>
      <c r="BE868" s="4" t="s">
        <v>233</v>
      </c>
      <c r="BF868" s="8" t="s">
        <v>233</v>
      </c>
      <c r="BG868" s="7" t="s">
        <v>233</v>
      </c>
      <c r="BH868" s="7" t="s">
        <v>233</v>
      </c>
      <c r="BI868" s="7"/>
      <c r="BJ868" s="4">
        <v>6</v>
      </c>
      <c r="BK868" s="8">
        <v>534.24</v>
      </c>
      <c r="BL868" s="2" t="s">
        <v>504</v>
      </c>
      <c r="BM868" s="7"/>
      <c r="BN868" s="7"/>
      <c r="BO868" s="4"/>
      <c r="BP868" s="8"/>
      <c r="BQ868" s="4"/>
      <c r="BR868" s="8"/>
      <c r="BS868" s="7"/>
      <c r="BT868" s="7"/>
      <c r="BU868" s="2" t="s">
        <v>4499</v>
      </c>
      <c r="BV868" s="2" t="s">
        <v>233</v>
      </c>
      <c r="BW868" s="2" t="s">
        <v>233</v>
      </c>
      <c r="BX868" s="2" t="s">
        <v>241</v>
      </c>
      <c r="BY868" s="2" t="s">
        <v>242</v>
      </c>
      <c r="BZ868" s="2" t="s">
        <v>230</v>
      </c>
      <c r="CA868" s="2" t="s">
        <v>4500</v>
      </c>
      <c r="CB868" s="2" t="s">
        <v>4501</v>
      </c>
      <c r="CC868" s="2" t="s">
        <v>245</v>
      </c>
      <c r="CD868" s="2" t="s">
        <v>233</v>
      </c>
      <c r="CE868" s="4">
        <v>79</v>
      </c>
      <c r="CF868" s="4"/>
      <c r="CG868" s="4"/>
      <c r="CH868" s="4"/>
      <c r="CI868" s="4"/>
      <c r="CJ868" s="4"/>
      <c r="CK868" s="4"/>
      <c r="CL868" s="4"/>
      <c r="CM868" s="4"/>
      <c r="CN868" s="4"/>
      <c r="CO868" s="4">
        <v>49</v>
      </c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>
        <v>128</v>
      </c>
      <c r="GD868" s="4">
        <v>126</v>
      </c>
      <c r="GE868" s="4">
        <v>124</v>
      </c>
      <c r="GF868" s="4">
        <v>122</v>
      </c>
      <c r="GG868" s="4">
        <v>120</v>
      </c>
      <c r="GH868" s="4">
        <v>118</v>
      </c>
      <c r="GI868" s="4">
        <v>116</v>
      </c>
      <c r="GJ868" s="4">
        <v>114</v>
      </c>
      <c r="GK868" s="4">
        <v>112</v>
      </c>
      <c r="GL868" s="4">
        <v>110</v>
      </c>
      <c r="GM868" s="4">
        <v>109</v>
      </c>
      <c r="GN868" s="4">
        <v>107</v>
      </c>
      <c r="GO868" s="4">
        <v>106</v>
      </c>
      <c r="GP868" s="4">
        <v>105</v>
      </c>
      <c r="GQ868" s="4">
        <v>103</v>
      </c>
      <c r="GR868" s="4">
        <v>101</v>
      </c>
      <c r="GS868" s="4">
        <v>99</v>
      </c>
      <c r="GT868" s="4">
        <v>97</v>
      </c>
      <c r="GU868" s="4">
        <v>95</v>
      </c>
      <c r="GV868" s="4">
        <v>93</v>
      </c>
      <c r="GW868" s="4">
        <v>91</v>
      </c>
      <c r="GX868" s="4">
        <v>89</v>
      </c>
      <c r="GY868" s="4">
        <v>87</v>
      </c>
      <c r="GZ868" s="4">
        <v>85</v>
      </c>
      <c r="HA868" s="4">
        <v>83</v>
      </c>
      <c r="HB868" s="4">
        <v>81</v>
      </c>
      <c r="HC868" s="19">
        <v>64</v>
      </c>
      <c r="HD868" s="19">
        <v>63</v>
      </c>
      <c r="HE868" s="19">
        <v>62</v>
      </c>
      <c r="HF868" s="19">
        <v>61</v>
      </c>
      <c r="HG868" s="19">
        <v>60</v>
      </c>
      <c r="HH868" s="19">
        <v>59</v>
      </c>
      <c r="HI868" s="19">
        <v>58</v>
      </c>
      <c r="HJ868" s="19">
        <v>57</v>
      </c>
      <c r="HK868" s="19">
        <v>56</v>
      </c>
      <c r="HL868" s="19">
        <v>110</v>
      </c>
      <c r="HM868" s="19">
        <v>54.5</v>
      </c>
      <c r="HN868" s="19">
        <v>53.5</v>
      </c>
      <c r="HO868" s="19">
        <v>53</v>
      </c>
      <c r="HP868" s="19">
        <v>52.5</v>
      </c>
      <c r="HQ868" s="19">
        <v>51.5</v>
      </c>
      <c r="HR868" s="19">
        <v>50.5</v>
      </c>
      <c r="HS868" s="19">
        <v>49.5</v>
      </c>
      <c r="HT868" s="19">
        <v>48.5</v>
      </c>
      <c r="HU868" s="19">
        <v>47.5</v>
      </c>
      <c r="HV868" s="19">
        <v>46.5</v>
      </c>
      <c r="HW868" s="19">
        <v>45.5</v>
      </c>
      <c r="HX868" s="19">
        <v>44.5</v>
      </c>
      <c r="HY868" s="19">
        <v>43.5</v>
      </c>
      <c r="HZ868" s="19">
        <v>42.5</v>
      </c>
      <c r="IA868" s="19">
        <v>41.5</v>
      </c>
      <c r="IB868" s="19">
        <v>40.5</v>
      </c>
    </row>
    <row r="869">
      <c r="A869" s="2" t="s">
        <v>4502</v>
      </c>
      <c r="B869" s="2" t="s">
        <v>872</v>
      </c>
      <c r="C869" s="2" t="s">
        <v>2050</v>
      </c>
      <c r="D869" s="2" t="s">
        <v>774</v>
      </c>
      <c r="E869" s="2" t="s">
        <v>827</v>
      </c>
      <c r="F869" s="2" t="s">
        <v>4495</v>
      </c>
      <c r="G869" s="2" t="s">
        <v>4495</v>
      </c>
      <c r="H869" s="2" t="s">
        <v>4495</v>
      </c>
      <c r="I869" s="2" t="s">
        <v>4496</v>
      </c>
      <c r="J869" s="2" t="s">
        <v>275</v>
      </c>
      <c r="K869" s="2" t="s">
        <v>3532</v>
      </c>
      <c r="L869" s="3">
        <v>90</v>
      </c>
      <c r="M869" s="3">
        <v>94.5</v>
      </c>
      <c r="N869" s="3">
        <v>179.99</v>
      </c>
      <c r="O869" s="2" t="s">
        <v>230</v>
      </c>
      <c r="P869" s="2" t="s">
        <v>1302</v>
      </c>
      <c r="Q869" s="2" t="s">
        <v>232</v>
      </c>
      <c r="R869" s="2" t="s">
        <v>233</v>
      </c>
      <c r="S869" s="2" t="s">
        <v>4497</v>
      </c>
      <c r="T869" s="2" t="s">
        <v>348</v>
      </c>
      <c r="U869" s="2" t="s">
        <v>608</v>
      </c>
      <c r="V869" s="2" t="s">
        <v>349</v>
      </c>
      <c r="W869" s="2" t="s">
        <v>916</v>
      </c>
      <c r="X869" s="2" t="s">
        <v>4498</v>
      </c>
      <c r="Y869" s="2" t="s">
        <v>845</v>
      </c>
      <c r="Z869" s="4">
        <v>116</v>
      </c>
      <c r="AA869" s="4">
        <f>=ROUNDDOWN(58,0)</f>
      </c>
      <c r="AB869" s="5">
        <v>2</v>
      </c>
      <c r="AC869" s="2" t="s">
        <v>233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233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233</v>
      </c>
      <c r="AW869" s="8" t="s">
        <v>233</v>
      </c>
      <c r="AX869" s="4" t="s">
        <v>233</v>
      </c>
      <c r="AY869" s="8" t="s">
        <v>233</v>
      </c>
      <c r="AZ869" s="7" t="s">
        <v>233</v>
      </c>
      <c r="BA869" s="7" t="s">
        <v>233</v>
      </c>
      <c r="BB869" s="7"/>
      <c r="BC869" s="4" t="s">
        <v>233</v>
      </c>
      <c r="BD869" s="8" t="s">
        <v>233</v>
      </c>
      <c r="BE869" s="4" t="s">
        <v>233</v>
      </c>
      <c r="BF869" s="8" t="s">
        <v>233</v>
      </c>
      <c r="BG869" s="7" t="s">
        <v>233</v>
      </c>
      <c r="BH869" s="7" t="s">
        <v>233</v>
      </c>
      <c r="BI869" s="7"/>
      <c r="BJ869" s="4">
        <v>9</v>
      </c>
      <c r="BK869" s="8">
        <v>904.36</v>
      </c>
      <c r="BL869" s="2" t="s">
        <v>2078</v>
      </c>
      <c r="BM869" s="7"/>
      <c r="BN869" s="7"/>
      <c r="BO869" s="4"/>
      <c r="BP869" s="8"/>
      <c r="BQ869" s="4"/>
      <c r="BR869" s="8"/>
      <c r="BS869" s="7"/>
      <c r="BT869" s="7"/>
      <c r="BU869" s="2" t="s">
        <v>4499</v>
      </c>
      <c r="BV869" s="2" t="s">
        <v>233</v>
      </c>
      <c r="BW869" s="2" t="s">
        <v>233</v>
      </c>
      <c r="BX869" s="2" t="s">
        <v>241</v>
      </c>
      <c r="BY869" s="2" t="s">
        <v>242</v>
      </c>
      <c r="BZ869" s="2" t="s">
        <v>230</v>
      </c>
      <c r="CA869" s="2" t="s">
        <v>4500</v>
      </c>
      <c r="CB869" s="2" t="s">
        <v>3372</v>
      </c>
      <c r="CC869" s="2" t="s">
        <v>245</v>
      </c>
      <c r="CD869" s="2" t="s">
        <v>233</v>
      </c>
      <c r="CE869" s="4">
        <v>86</v>
      </c>
      <c r="CF869" s="4"/>
      <c r="CG869" s="4"/>
      <c r="CH869" s="4"/>
      <c r="CI869" s="4"/>
      <c r="CJ869" s="4"/>
      <c r="CK869" s="4"/>
      <c r="CL869" s="4"/>
      <c r="CM869" s="4"/>
      <c r="CN869" s="4"/>
      <c r="CO869" s="4">
        <v>30</v>
      </c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>
        <v>118</v>
      </c>
      <c r="GD869" s="4">
        <v>114</v>
      </c>
      <c r="GE869" s="4">
        <v>112</v>
      </c>
      <c r="GF869" s="4">
        <v>110</v>
      </c>
      <c r="GG869" s="4">
        <v>108</v>
      </c>
      <c r="GH869" s="4">
        <v>106</v>
      </c>
      <c r="GI869" s="4">
        <v>104</v>
      </c>
      <c r="GJ869" s="4">
        <v>102</v>
      </c>
      <c r="GK869" s="4">
        <v>100</v>
      </c>
      <c r="GL869" s="4">
        <v>98</v>
      </c>
      <c r="GM869" s="4">
        <v>97</v>
      </c>
      <c r="GN869" s="4">
        <v>95</v>
      </c>
      <c r="GO869" s="4">
        <v>94</v>
      </c>
      <c r="GP869" s="4">
        <v>93</v>
      </c>
      <c r="GQ869" s="4">
        <v>91</v>
      </c>
      <c r="GR869" s="4">
        <v>89</v>
      </c>
      <c r="GS869" s="4">
        <v>87</v>
      </c>
      <c r="GT869" s="4">
        <v>85</v>
      </c>
      <c r="GU869" s="4">
        <v>83</v>
      </c>
      <c r="GV869" s="4">
        <v>81</v>
      </c>
      <c r="GW869" s="4">
        <v>79</v>
      </c>
      <c r="GX869" s="4">
        <v>77</v>
      </c>
      <c r="GY869" s="4">
        <v>75</v>
      </c>
      <c r="GZ869" s="4">
        <v>73</v>
      </c>
      <c r="HA869" s="4">
        <v>71</v>
      </c>
      <c r="HB869" s="4">
        <v>69</v>
      </c>
      <c r="HC869" s="19">
        <v>59</v>
      </c>
      <c r="HD869" s="19">
        <v>57</v>
      </c>
      <c r="HE869" s="19">
        <v>56</v>
      </c>
      <c r="HF869" s="19">
        <v>55</v>
      </c>
      <c r="HG869" s="19">
        <v>54</v>
      </c>
      <c r="HH869" s="19">
        <v>53</v>
      </c>
      <c r="HI869" s="19">
        <v>52</v>
      </c>
      <c r="HJ869" s="19">
        <v>51</v>
      </c>
      <c r="HK869" s="19">
        <v>50</v>
      </c>
      <c r="HL869" s="19">
        <v>98</v>
      </c>
      <c r="HM869" s="19">
        <v>48.5</v>
      </c>
      <c r="HN869" s="19">
        <v>47.5</v>
      </c>
      <c r="HO869" s="19">
        <v>47</v>
      </c>
      <c r="HP869" s="19">
        <v>46.5</v>
      </c>
      <c r="HQ869" s="19">
        <v>45.5</v>
      </c>
      <c r="HR869" s="19">
        <v>44.5</v>
      </c>
      <c r="HS869" s="19">
        <v>43.5</v>
      </c>
      <c r="HT869" s="19">
        <v>42.5</v>
      </c>
      <c r="HU869" s="19">
        <v>41.5</v>
      </c>
      <c r="HV869" s="19">
        <v>40.5</v>
      </c>
      <c r="HW869" s="19">
        <v>39.5</v>
      </c>
      <c r="HX869" s="19">
        <v>38.5</v>
      </c>
      <c r="HY869" s="19">
        <v>37.5</v>
      </c>
      <c r="HZ869" s="19">
        <v>36.5</v>
      </c>
      <c r="IA869" s="19">
        <v>35.5</v>
      </c>
      <c r="IB869" s="19">
        <v>34.5</v>
      </c>
    </row>
    <row r="870">
      <c r="A870" s="2" t="s">
        <v>4503</v>
      </c>
      <c r="B870" s="2" t="s">
        <v>825</v>
      </c>
      <c r="C870" s="2" t="s">
        <v>1772</v>
      </c>
      <c r="D870" s="2" t="s">
        <v>884</v>
      </c>
      <c r="E870" s="2" t="s">
        <v>3542</v>
      </c>
      <c r="F870" s="2" t="s">
        <v>1347</v>
      </c>
      <c r="G870" s="2" t="s">
        <v>2841</v>
      </c>
      <c r="H870" s="2" t="s">
        <v>4504</v>
      </c>
      <c r="I870" s="2" t="s">
        <v>4505</v>
      </c>
      <c r="J870" s="2" t="s">
        <v>228</v>
      </c>
      <c r="K870" s="2" t="s">
        <v>2996</v>
      </c>
      <c r="L870" s="3">
        <v>33.33</v>
      </c>
      <c r="M870" s="3">
        <v>35</v>
      </c>
      <c r="N870" s="3">
        <v>69.99</v>
      </c>
      <c r="O870" s="2" t="s">
        <v>230</v>
      </c>
      <c r="P870" s="2" t="s">
        <v>721</v>
      </c>
      <c r="Q870" s="2" t="s">
        <v>232</v>
      </c>
      <c r="R870" s="2" t="s">
        <v>233</v>
      </c>
      <c r="S870" s="2" t="s">
        <v>4506</v>
      </c>
      <c r="T870" s="2" t="s">
        <v>348</v>
      </c>
      <c r="U870" s="2" t="s">
        <v>711</v>
      </c>
      <c r="V870" s="2" t="s">
        <v>349</v>
      </c>
      <c r="W870" s="2" t="s">
        <v>237</v>
      </c>
      <c r="X870" s="2" t="s">
        <v>620</v>
      </c>
      <c r="Y870" s="2" t="s">
        <v>3632</v>
      </c>
      <c r="Z870" s="4">
        <v>89</v>
      </c>
      <c r="AA870" s="4">
        <f>=ROUNDDOWN(29.6666666666667,0)</f>
      </c>
      <c r="AB870" s="5">
        <v>3</v>
      </c>
      <c r="AC870" s="2" t="s">
        <v>233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233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/>
      <c r="AW870" s="8"/>
      <c r="AX870" s="4"/>
      <c r="AY870" s="8"/>
      <c r="AZ870" s="7"/>
      <c r="BA870" s="7"/>
      <c r="BB870" s="7"/>
      <c r="BC870" s="4"/>
      <c r="BD870" s="8"/>
      <c r="BE870" s="4"/>
      <c r="BF870" s="8"/>
      <c r="BG870" s="7"/>
      <c r="BH870" s="7"/>
      <c r="BI870" s="7"/>
      <c r="BJ870" s="4">
        <v>8</v>
      </c>
      <c r="BK870" s="8">
        <v>303.99</v>
      </c>
      <c r="BL870" s="2" t="s">
        <v>1652</v>
      </c>
      <c r="BM870" s="7"/>
      <c r="BN870" s="7"/>
      <c r="BO870" s="4"/>
      <c r="BP870" s="8"/>
      <c r="BQ870" s="4"/>
      <c r="BR870" s="8"/>
      <c r="BS870" s="7"/>
      <c r="BT870" s="7"/>
      <c r="BU870" s="2" t="s">
        <v>4507</v>
      </c>
      <c r="BV870" s="2" t="s">
        <v>233</v>
      </c>
      <c r="BW870" s="2" t="s">
        <v>233</v>
      </c>
      <c r="BX870" s="2" t="s">
        <v>241</v>
      </c>
      <c r="BY870" s="2" t="s">
        <v>242</v>
      </c>
      <c r="BZ870" s="2" t="s">
        <v>230</v>
      </c>
      <c r="CA870" s="2" t="s">
        <v>363</v>
      </c>
      <c r="CB870" s="2" t="s">
        <v>1272</v>
      </c>
      <c r="CC870" s="2" t="s">
        <v>245</v>
      </c>
      <c r="CD870" s="2" t="s">
        <v>233</v>
      </c>
      <c r="CE870" s="4">
        <v>89</v>
      </c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>
        <v>96</v>
      </c>
      <c r="GD870" s="4">
        <v>91</v>
      </c>
      <c r="GE870" s="4">
        <v>88</v>
      </c>
      <c r="GF870" s="4">
        <v>84</v>
      </c>
      <c r="GG870" s="4">
        <v>79</v>
      </c>
      <c r="GH870" s="4">
        <v>73</v>
      </c>
      <c r="GI870" s="4">
        <v>67</v>
      </c>
      <c r="GJ870" s="4">
        <v>63</v>
      </c>
      <c r="GK870" s="4">
        <v>60</v>
      </c>
      <c r="GL870" s="4">
        <v>57</v>
      </c>
      <c r="GM870" s="4">
        <v>54</v>
      </c>
      <c r="GN870" s="4">
        <v>51</v>
      </c>
      <c r="GO870" s="4">
        <v>48</v>
      </c>
      <c r="GP870" s="4">
        <v>45</v>
      </c>
      <c r="GQ870" s="4">
        <v>42</v>
      </c>
      <c r="GR870" s="4">
        <v>39</v>
      </c>
      <c r="GS870" s="4">
        <v>36</v>
      </c>
      <c r="GT870" s="4">
        <v>33</v>
      </c>
      <c r="GU870" s="4">
        <v>30</v>
      </c>
      <c r="GV870" s="4">
        <v>27</v>
      </c>
      <c r="GW870" s="4">
        <v>24</v>
      </c>
      <c r="GX870" s="4">
        <v>21</v>
      </c>
      <c r="GY870" s="4">
        <v>18</v>
      </c>
      <c r="GZ870" s="4">
        <v>15</v>
      </c>
      <c r="HA870" s="4">
        <v>12</v>
      </c>
      <c r="HB870" s="4">
        <v>9</v>
      </c>
      <c r="HC870" s="19">
        <v>24</v>
      </c>
      <c r="HD870" s="19">
        <v>22.8</v>
      </c>
      <c r="HE870" s="19">
        <v>17.6</v>
      </c>
      <c r="HF870" s="19">
        <v>16.8</v>
      </c>
      <c r="HG870" s="19">
        <v>15.8</v>
      </c>
      <c r="HH870" s="19">
        <v>18.3</v>
      </c>
      <c r="HI870" s="19">
        <v>22.3</v>
      </c>
      <c r="HJ870" s="19">
        <v>21</v>
      </c>
      <c r="HK870" s="19">
        <v>20</v>
      </c>
      <c r="HL870" s="19">
        <v>19</v>
      </c>
      <c r="HM870" s="19">
        <v>18</v>
      </c>
      <c r="HN870" s="19">
        <v>17</v>
      </c>
      <c r="HO870" s="19">
        <v>16</v>
      </c>
      <c r="HP870" s="19">
        <v>15</v>
      </c>
      <c r="HQ870" s="19">
        <v>14</v>
      </c>
      <c r="HR870" s="19">
        <v>13</v>
      </c>
      <c r="HS870" s="19">
        <v>12</v>
      </c>
      <c r="HT870" s="19">
        <v>11</v>
      </c>
      <c r="HU870" s="19">
        <v>10</v>
      </c>
      <c r="HV870" s="19">
        <v>9</v>
      </c>
      <c r="HW870" s="19">
        <v>8</v>
      </c>
      <c r="HX870" s="19">
        <v>7</v>
      </c>
      <c r="HY870" s="19">
        <v>6</v>
      </c>
      <c r="HZ870" s="19">
        <v>5</v>
      </c>
      <c r="IA870" s="19">
        <v>4</v>
      </c>
      <c r="IB870" s="19">
        <v>3</v>
      </c>
    </row>
    <row r="871">
      <c r="A871" s="2" t="s">
        <v>4508</v>
      </c>
      <c r="B871" s="2" t="s">
        <v>736</v>
      </c>
      <c r="C871" s="2" t="s">
        <v>280</v>
      </c>
      <c r="D871" s="2" t="s">
        <v>1197</v>
      </c>
      <c r="E871" s="2" t="s">
        <v>1198</v>
      </c>
      <c r="F871" s="2" t="s">
        <v>4509</v>
      </c>
      <c r="G871" s="2" t="s">
        <v>4509</v>
      </c>
      <c r="H871" s="2" t="s">
        <v>4509</v>
      </c>
      <c r="I871" s="2" t="s">
        <v>4510</v>
      </c>
      <c r="J871" s="2" t="s">
        <v>741</v>
      </c>
      <c r="K871" s="2" t="s">
        <v>1511</v>
      </c>
      <c r="L871" s="3">
        <v>61.71</v>
      </c>
      <c r="M871" s="3">
        <v>64.8</v>
      </c>
      <c r="N871" s="3">
        <v>127.49</v>
      </c>
      <c r="O871" s="2" t="s">
        <v>230</v>
      </c>
      <c r="P871" s="2" t="s">
        <v>231</v>
      </c>
      <c r="Q871" s="2" t="s">
        <v>232</v>
      </c>
      <c r="R871" s="2" t="s">
        <v>233</v>
      </c>
      <c r="S871" s="2" t="s">
        <v>4511</v>
      </c>
      <c r="T871" s="2" t="s">
        <v>233</v>
      </c>
      <c r="U871" s="2" t="s">
        <v>711</v>
      </c>
      <c r="V871" s="2" t="s">
        <v>744</v>
      </c>
      <c r="W871" s="2" t="s">
        <v>620</v>
      </c>
      <c r="X871" s="2" t="s">
        <v>288</v>
      </c>
      <c r="Y871" s="2" t="s">
        <v>745</v>
      </c>
      <c r="Z871" s="4">
        <v>112</v>
      </c>
      <c r="AA871" s="4">
        <f>=ROUNDDOWN(28.7179487179487,0)</f>
      </c>
      <c r="AB871" s="5">
        <v>3.9</v>
      </c>
      <c r="AC871" s="2" t="s">
        <v>233</v>
      </c>
      <c r="AD871" s="4"/>
      <c r="AE871" s="4"/>
      <c r="AF871" s="6">
        <v>63</v>
      </c>
      <c r="AG871" s="6"/>
      <c r="AH871" s="7">
        <v>1</v>
      </c>
      <c r="AI871" s="4"/>
      <c r="AJ871" s="4">
        <f>=ROUNDDOWN({0},0)</f>
      </c>
      <c r="AK871" s="5"/>
      <c r="AL871" s="2" t="s">
        <v>233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/>
      <c r="AW871" s="8"/>
      <c r="AX871" s="4"/>
      <c r="AY871" s="8"/>
      <c r="AZ871" s="7"/>
      <c r="BA871" s="7"/>
      <c r="BB871" s="7"/>
      <c r="BC871" s="4"/>
      <c r="BD871" s="8"/>
      <c r="BE871" s="4"/>
      <c r="BF871" s="8"/>
      <c r="BG871" s="7"/>
      <c r="BH871" s="7"/>
      <c r="BI871" s="7"/>
      <c r="BJ871" s="4">
        <v>16</v>
      </c>
      <c r="BK871" s="8">
        <v>1127.63</v>
      </c>
      <c r="BL871" s="2" t="s">
        <v>4512</v>
      </c>
      <c r="BM871" s="7"/>
      <c r="BN871" s="7"/>
      <c r="BO871" s="4"/>
      <c r="BP871" s="8"/>
      <c r="BQ871" s="4"/>
      <c r="BR871" s="8"/>
      <c r="BS871" s="7"/>
      <c r="BT871" s="7"/>
      <c r="BU871" s="2" t="s">
        <v>4513</v>
      </c>
      <c r="BV871" s="2" t="s">
        <v>233</v>
      </c>
      <c r="BW871" s="2" t="s">
        <v>233</v>
      </c>
      <c r="BX871" s="2" t="s">
        <v>241</v>
      </c>
      <c r="BY871" s="2" t="s">
        <v>242</v>
      </c>
      <c r="BZ871" s="2" t="s">
        <v>230</v>
      </c>
      <c r="CA871" s="2" t="s">
        <v>749</v>
      </c>
      <c r="CB871" s="2" t="s">
        <v>4514</v>
      </c>
      <c r="CC871" s="2" t="s">
        <v>245</v>
      </c>
      <c r="CD871" s="2" t="s">
        <v>233</v>
      </c>
      <c r="CE871" s="4"/>
      <c r="CF871" s="4">
        <v>112</v>
      </c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>
        <v>121</v>
      </c>
      <c r="GD871" s="4">
        <v>113</v>
      </c>
      <c r="GE871" s="4">
        <v>109</v>
      </c>
      <c r="GF871" s="4">
        <v>104</v>
      </c>
      <c r="GG871" s="4">
        <v>98</v>
      </c>
      <c r="GH871" s="4">
        <v>93</v>
      </c>
      <c r="GI871" s="4">
        <v>88</v>
      </c>
      <c r="GJ871" s="4">
        <v>84</v>
      </c>
      <c r="GK871" s="4">
        <v>80</v>
      </c>
      <c r="GL871" s="4">
        <v>76</v>
      </c>
      <c r="GM871" s="4">
        <v>72</v>
      </c>
      <c r="GN871" s="4">
        <v>68</v>
      </c>
      <c r="GO871" s="4">
        <v>64</v>
      </c>
      <c r="GP871" s="4">
        <v>60</v>
      </c>
      <c r="GQ871" s="4">
        <v>56</v>
      </c>
      <c r="GR871" s="4">
        <v>52</v>
      </c>
      <c r="GS871" s="4">
        <v>48</v>
      </c>
      <c r="GT871" s="4">
        <v>43</v>
      </c>
      <c r="GU871" s="4">
        <v>39</v>
      </c>
      <c r="GV871" s="4">
        <v>35</v>
      </c>
      <c r="GW871" s="4">
        <v>31</v>
      </c>
      <c r="GX871" s="4">
        <v>27</v>
      </c>
      <c r="GY871" s="4">
        <v>23</v>
      </c>
      <c r="GZ871" s="4">
        <v>19</v>
      </c>
      <c r="HA871" s="4">
        <v>15</v>
      </c>
      <c r="HB871" s="4">
        <v>28</v>
      </c>
      <c r="HC871" s="19">
        <v>20.2</v>
      </c>
      <c r="HD871" s="19">
        <v>22.6</v>
      </c>
      <c r="HE871" s="19">
        <v>21.8</v>
      </c>
      <c r="HF871" s="19">
        <v>20.8</v>
      </c>
      <c r="HG871" s="19">
        <v>24.5</v>
      </c>
      <c r="HH871" s="19">
        <v>23.3</v>
      </c>
      <c r="HI871" s="19">
        <v>22</v>
      </c>
      <c r="HJ871" s="19">
        <v>21</v>
      </c>
      <c r="HK871" s="19">
        <v>20</v>
      </c>
      <c r="HL871" s="19">
        <v>19</v>
      </c>
      <c r="HM871" s="19">
        <v>18</v>
      </c>
      <c r="HN871" s="19">
        <v>17</v>
      </c>
      <c r="HO871" s="19">
        <v>16</v>
      </c>
      <c r="HP871" s="19">
        <v>15</v>
      </c>
      <c r="HQ871" s="19">
        <v>14</v>
      </c>
      <c r="HR871" s="19">
        <v>13</v>
      </c>
      <c r="HS871" s="19">
        <v>12</v>
      </c>
      <c r="HT871" s="19">
        <v>10.8</v>
      </c>
      <c r="HU871" s="19">
        <v>9.8</v>
      </c>
      <c r="HV871" s="19">
        <v>8.8</v>
      </c>
      <c r="HW871" s="19">
        <v>7.8</v>
      </c>
      <c r="HX871" s="19">
        <v>6.8</v>
      </c>
      <c r="HY871" s="19">
        <v>5.8</v>
      </c>
      <c r="HZ871" s="19">
        <v>4.8</v>
      </c>
      <c r="IA871" s="19">
        <v>3.8</v>
      </c>
      <c r="IB871" s="19">
        <v>7</v>
      </c>
    </row>
    <row r="872">
      <c r="A872" s="2" t="s">
        <v>4515</v>
      </c>
      <c r="B872" s="2" t="s">
        <v>923</v>
      </c>
      <c r="C872" s="2" t="s">
        <v>1411</v>
      </c>
      <c r="D872" s="2" t="s">
        <v>4516</v>
      </c>
      <c r="E872" s="2" t="s">
        <v>706</v>
      </c>
      <c r="F872" s="2" t="s">
        <v>4517</v>
      </c>
      <c r="G872" s="2" t="s">
        <v>4518</v>
      </c>
      <c r="H872" s="2" t="s">
        <v>4519</v>
      </c>
      <c r="I872" s="2" t="s">
        <v>4520</v>
      </c>
      <c r="J872" s="2" t="s">
        <v>741</v>
      </c>
      <c r="K872" s="2" t="s">
        <v>300</v>
      </c>
      <c r="L872" s="3">
        <v>26.4</v>
      </c>
      <c r="M872" s="3">
        <v>27.72</v>
      </c>
      <c r="N872" s="3">
        <v>54.99</v>
      </c>
      <c r="O872" s="2" t="s">
        <v>230</v>
      </c>
      <c r="P872" s="2" t="s">
        <v>586</v>
      </c>
      <c r="Q872" s="2" t="s">
        <v>232</v>
      </c>
      <c r="R872" s="2" t="s">
        <v>233</v>
      </c>
      <c r="S872" s="2" t="s">
        <v>4521</v>
      </c>
      <c r="T872" s="2" t="s">
        <v>233</v>
      </c>
      <c r="U872" s="2" t="s">
        <v>233</v>
      </c>
      <c r="V872" s="2" t="s">
        <v>4522</v>
      </c>
      <c r="W872" s="2" t="s">
        <v>237</v>
      </c>
      <c r="X872" s="2" t="s">
        <v>233</v>
      </c>
      <c r="Y872" s="2" t="s">
        <v>238</v>
      </c>
      <c r="Z872" s="4">
        <v>444</v>
      </c>
      <c r="AA872" s="4">
        <f>=ROUNDDOWN(63.4285714285714,0)</f>
      </c>
      <c r="AB872" s="5">
        <v>7</v>
      </c>
      <c r="AC872" s="2" t="s">
        <v>4523</v>
      </c>
      <c r="AD872" s="4">
        <v>515</v>
      </c>
      <c r="AE872" s="4">
        <v>515</v>
      </c>
      <c r="AF872" s="6">
        <v>73</v>
      </c>
      <c r="AG872" s="6"/>
      <c r="AH872" s="7">
        <v>1</v>
      </c>
      <c r="AI872" s="4"/>
      <c r="AJ872" s="4">
        <f>=ROUNDDOWN({0},0)</f>
      </c>
      <c r="AK872" s="5"/>
      <c r="AL872" s="2" t="s">
        <v>233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/>
      <c r="BD872" s="8"/>
      <c r="BE872" s="4"/>
      <c r="BF872" s="8"/>
      <c r="BG872" s="7"/>
      <c r="BH872" s="7"/>
      <c r="BI872" s="7"/>
      <c r="BJ872" s="4">
        <v>20</v>
      </c>
      <c r="BK872" s="8">
        <v>581.13</v>
      </c>
      <c r="BL872" s="2" t="s">
        <v>3928</v>
      </c>
      <c r="BM872" s="7"/>
      <c r="BN872" s="7"/>
      <c r="BO872" s="4"/>
      <c r="BP872" s="8"/>
      <c r="BQ872" s="4"/>
      <c r="BR872" s="8"/>
      <c r="BS872" s="7"/>
      <c r="BT872" s="7"/>
      <c r="BU872" s="2" t="s">
        <v>4524</v>
      </c>
      <c r="BV872" s="2" t="s">
        <v>233</v>
      </c>
      <c r="BW872" s="2" t="s">
        <v>233</v>
      </c>
      <c r="BX872" s="2" t="s">
        <v>241</v>
      </c>
      <c r="BY872" s="2" t="s">
        <v>242</v>
      </c>
      <c r="BZ872" s="2" t="s">
        <v>230</v>
      </c>
      <c r="CA872" s="2" t="s">
        <v>243</v>
      </c>
      <c r="CB872" s="2" t="s">
        <v>4525</v>
      </c>
      <c r="CC872" s="2" t="s">
        <v>245</v>
      </c>
      <c r="CD872" s="2" t="s">
        <v>233</v>
      </c>
      <c r="CE872" s="4">
        <v>444</v>
      </c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>
        <v>515</v>
      </c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>
        <v>449</v>
      </c>
      <c r="GD872" s="4">
        <v>443</v>
      </c>
      <c r="GE872" s="4">
        <v>437</v>
      </c>
      <c r="GF872" s="4">
        <v>431</v>
      </c>
      <c r="GG872" s="4">
        <v>425</v>
      </c>
      <c r="GH872" s="4">
        <v>934</v>
      </c>
      <c r="GI872" s="4">
        <v>925</v>
      </c>
      <c r="GJ872" s="4">
        <v>897</v>
      </c>
      <c r="GK872" s="4">
        <v>895</v>
      </c>
      <c r="GL872" s="4">
        <v>891</v>
      </c>
      <c r="GM872" s="4">
        <v>887</v>
      </c>
      <c r="GN872" s="4">
        <v>883</v>
      </c>
      <c r="GO872" s="4">
        <v>879</v>
      </c>
      <c r="GP872" s="4">
        <v>875</v>
      </c>
      <c r="GQ872" s="4">
        <v>871</v>
      </c>
      <c r="GR872" s="4">
        <v>867</v>
      </c>
      <c r="GS872" s="4">
        <v>863</v>
      </c>
      <c r="GT872" s="4">
        <v>859</v>
      </c>
      <c r="GU872" s="4">
        <v>852</v>
      </c>
      <c r="GV872" s="4">
        <v>845</v>
      </c>
      <c r="GW872" s="4">
        <v>838</v>
      </c>
      <c r="GX872" s="4">
        <v>831</v>
      </c>
      <c r="GY872" s="4">
        <v>824</v>
      </c>
      <c r="GZ872" s="4">
        <v>817</v>
      </c>
      <c r="HA872" s="4">
        <v>810</v>
      </c>
      <c r="HB872" s="4">
        <v>803</v>
      </c>
      <c r="HC872" s="19">
        <v>74.8</v>
      </c>
      <c r="HD872" s="19">
        <v>73.8</v>
      </c>
      <c r="HE872" s="19">
        <v>62.4</v>
      </c>
      <c r="HF872" s="19">
        <v>35.9</v>
      </c>
      <c r="HG872" s="19">
        <v>38.6</v>
      </c>
      <c r="HH872" s="19">
        <v>84.9</v>
      </c>
      <c r="HI872" s="19">
        <v>92.5</v>
      </c>
      <c r="HJ872" s="19">
        <v>224.3</v>
      </c>
      <c r="HK872" s="19">
        <v>223.8</v>
      </c>
      <c r="HL872" s="19">
        <v>222.8</v>
      </c>
      <c r="HM872" s="19">
        <v>221.8</v>
      </c>
      <c r="HN872" s="19">
        <v>220.8</v>
      </c>
      <c r="HO872" s="19">
        <v>219.8</v>
      </c>
      <c r="HP872" s="19">
        <v>218.8</v>
      </c>
      <c r="HQ872" s="19">
        <v>174.2</v>
      </c>
      <c r="HR872" s="19">
        <v>144.5</v>
      </c>
      <c r="HS872" s="9"/>
      <c r="HT872" s="19">
        <v>122.7</v>
      </c>
      <c r="HU872" s="19">
        <v>121.7</v>
      </c>
      <c r="HV872" s="19">
        <v>120.7</v>
      </c>
      <c r="HW872" s="19">
        <v>119.7</v>
      </c>
      <c r="HX872" s="19">
        <v>118.7</v>
      </c>
      <c r="HY872" s="19">
        <v>117.7</v>
      </c>
      <c r="HZ872" s="19">
        <v>116.7</v>
      </c>
      <c r="IA872" s="19">
        <v>115.7</v>
      </c>
      <c r="IB872" s="19">
        <v>114.7</v>
      </c>
    </row>
    <row r="873">
      <c r="A873" s="2" t="s">
        <v>4526</v>
      </c>
      <c r="B873" s="2" t="s">
        <v>923</v>
      </c>
      <c r="C873" s="2" t="s">
        <v>1411</v>
      </c>
      <c r="D873" s="2" t="s">
        <v>4516</v>
      </c>
      <c r="E873" s="2" t="s">
        <v>706</v>
      </c>
      <c r="F873" s="2" t="s">
        <v>4527</v>
      </c>
      <c r="G873" s="2" t="s">
        <v>4527</v>
      </c>
      <c r="H873" s="2" t="s">
        <v>4527</v>
      </c>
      <c r="I873" s="2" t="s">
        <v>4528</v>
      </c>
      <c r="J873" s="2" t="s">
        <v>741</v>
      </c>
      <c r="K873" s="2" t="s">
        <v>312</v>
      </c>
      <c r="L873" s="3">
        <v>28.99</v>
      </c>
      <c r="M873" s="3">
        <v>30.44</v>
      </c>
      <c r="N873" s="3">
        <v>49.99</v>
      </c>
      <c r="O873" s="2" t="s">
        <v>230</v>
      </c>
      <c r="P873" s="2" t="s">
        <v>721</v>
      </c>
      <c r="Q873" s="2" t="s">
        <v>232</v>
      </c>
      <c r="R873" s="2" t="s">
        <v>233</v>
      </c>
      <c r="S873" s="2" t="s">
        <v>233</v>
      </c>
      <c r="T873" s="2" t="s">
        <v>233</v>
      </c>
      <c r="U873" s="2" t="s">
        <v>665</v>
      </c>
      <c r="V873" s="2" t="s">
        <v>4522</v>
      </c>
      <c r="W873" s="2" t="s">
        <v>233</v>
      </c>
      <c r="X873" s="2" t="s">
        <v>233</v>
      </c>
      <c r="Y873" s="2" t="s">
        <v>4529</v>
      </c>
      <c r="Z873" s="4">
        <v>157</v>
      </c>
      <c r="AA873" s="4">
        <f>=ROUNDDOWN(52.3333333333333,0)</f>
      </c>
      <c r="AB873" s="5">
        <v>3</v>
      </c>
      <c r="AC873" s="2" t="s">
        <v>233</v>
      </c>
      <c r="AD873" s="4"/>
      <c r="AE873" s="4"/>
      <c r="AF873" s="6">
        <v>73</v>
      </c>
      <c r="AG873" s="6"/>
      <c r="AH873" s="7">
        <v>1</v>
      </c>
      <c r="AI873" s="4"/>
      <c r="AJ873" s="4">
        <f>=ROUNDDOWN({0},0)</f>
      </c>
      <c r="AK873" s="5"/>
      <c r="AL873" s="2" t="s">
        <v>233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/>
      <c r="BD873" s="8"/>
      <c r="BE873" s="4"/>
      <c r="BF873" s="8"/>
      <c r="BG873" s="7"/>
      <c r="BH873" s="7"/>
      <c r="BI873" s="7"/>
      <c r="BJ873" s="4">
        <v>11</v>
      </c>
      <c r="BK873" s="8">
        <v>321.91</v>
      </c>
      <c r="BL873" s="2" t="s">
        <v>1565</v>
      </c>
      <c r="BM873" s="7"/>
      <c r="BN873" s="7"/>
      <c r="BO873" s="4"/>
      <c r="BP873" s="8"/>
      <c r="BQ873" s="4"/>
      <c r="BR873" s="8"/>
      <c r="BS873" s="7"/>
      <c r="BT873" s="7"/>
      <c r="BU873" s="2" t="s">
        <v>4530</v>
      </c>
      <c r="BV873" s="2" t="s">
        <v>233</v>
      </c>
      <c r="BW873" s="2" t="s">
        <v>233</v>
      </c>
      <c r="BX873" s="2" t="s">
        <v>241</v>
      </c>
      <c r="BY873" s="2" t="s">
        <v>242</v>
      </c>
      <c r="BZ873" s="2" t="s">
        <v>230</v>
      </c>
      <c r="CA873" s="2" t="s">
        <v>4531</v>
      </c>
      <c r="CB873" s="2" t="s">
        <v>233</v>
      </c>
      <c r="CC873" s="2" t="s">
        <v>245</v>
      </c>
      <c r="CD873" s="2" t="s">
        <v>233</v>
      </c>
      <c r="CE873" s="4">
        <v>157</v>
      </c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>
        <v>158</v>
      </c>
      <c r="GD873" s="4">
        <v>133</v>
      </c>
      <c r="GE873" s="4">
        <v>129</v>
      </c>
      <c r="GF873" s="4">
        <v>125</v>
      </c>
      <c r="GG873" s="4">
        <v>121</v>
      </c>
      <c r="GH873" s="4">
        <v>117</v>
      </c>
      <c r="GI873" s="4">
        <v>113</v>
      </c>
      <c r="GJ873" s="4">
        <v>109</v>
      </c>
      <c r="GK873" s="4">
        <v>105</v>
      </c>
      <c r="GL873" s="4">
        <v>102</v>
      </c>
      <c r="GM873" s="4">
        <v>99</v>
      </c>
      <c r="GN873" s="4">
        <v>96</v>
      </c>
      <c r="GO873" s="4">
        <v>93</v>
      </c>
      <c r="GP873" s="4">
        <v>90</v>
      </c>
      <c r="GQ873" s="4">
        <v>87</v>
      </c>
      <c r="GR873" s="4">
        <v>84</v>
      </c>
      <c r="GS873" s="4">
        <v>81</v>
      </c>
      <c r="GT873" s="4">
        <v>78</v>
      </c>
      <c r="GU873" s="4">
        <v>75</v>
      </c>
      <c r="GV873" s="4">
        <v>72</v>
      </c>
      <c r="GW873" s="4">
        <v>69</v>
      </c>
      <c r="GX873" s="4">
        <v>66</v>
      </c>
      <c r="GY873" s="4">
        <v>63</v>
      </c>
      <c r="GZ873" s="4">
        <v>60</v>
      </c>
      <c r="HA873" s="4">
        <v>57</v>
      </c>
      <c r="HB873" s="4">
        <v>54</v>
      </c>
      <c r="HC873" s="19">
        <v>17.6</v>
      </c>
      <c r="HD873" s="19">
        <v>33.3</v>
      </c>
      <c r="HE873" s="19">
        <v>32.3</v>
      </c>
      <c r="HF873" s="19">
        <v>31.3</v>
      </c>
      <c r="HG873" s="19">
        <v>30.3</v>
      </c>
      <c r="HH873" s="19">
        <v>29.3</v>
      </c>
      <c r="HI873" s="19">
        <v>28.3</v>
      </c>
      <c r="HJ873" s="19">
        <v>36.3</v>
      </c>
      <c r="HK873" s="19">
        <v>35</v>
      </c>
      <c r="HL873" s="19">
        <v>34</v>
      </c>
      <c r="HM873" s="19">
        <v>33</v>
      </c>
      <c r="HN873" s="19">
        <v>32</v>
      </c>
      <c r="HO873" s="19">
        <v>31</v>
      </c>
      <c r="HP873" s="19">
        <v>30</v>
      </c>
      <c r="HQ873" s="19">
        <v>29</v>
      </c>
      <c r="HR873" s="19">
        <v>28</v>
      </c>
      <c r="HS873" s="19">
        <v>27</v>
      </c>
      <c r="HT873" s="19">
        <v>26</v>
      </c>
      <c r="HU873" s="19">
        <v>25</v>
      </c>
      <c r="HV873" s="19">
        <v>24</v>
      </c>
      <c r="HW873" s="19">
        <v>23</v>
      </c>
      <c r="HX873" s="19">
        <v>22</v>
      </c>
      <c r="HY873" s="19">
        <v>21</v>
      </c>
      <c r="HZ873" s="19">
        <v>20</v>
      </c>
      <c r="IA873" s="19">
        <v>19</v>
      </c>
      <c r="IB873" s="19">
        <v>18</v>
      </c>
    </row>
    <row r="874">
      <c r="A874" s="2" t="s">
        <v>4532</v>
      </c>
      <c r="B874" s="2" t="s">
        <v>847</v>
      </c>
      <c r="C874" s="2" t="s">
        <v>848</v>
      </c>
      <c r="D874" s="2" t="s">
        <v>849</v>
      </c>
      <c r="E874" s="2" t="s">
        <v>850</v>
      </c>
      <c r="F874" s="2" t="s">
        <v>4533</v>
      </c>
      <c r="G874" s="2" t="s">
        <v>4533</v>
      </c>
      <c r="H874" s="2" t="s">
        <v>4533</v>
      </c>
      <c r="I874" s="2" t="s">
        <v>4534</v>
      </c>
      <c r="J874" s="2" t="s">
        <v>961</v>
      </c>
      <c r="K874" s="2" t="s">
        <v>300</v>
      </c>
      <c r="L874" s="3">
        <v>9.51</v>
      </c>
      <c r="M874" s="3">
        <v>9.99</v>
      </c>
      <c r="N874" s="3">
        <v>24.99</v>
      </c>
      <c r="O874" s="2" t="s">
        <v>230</v>
      </c>
      <c r="P874" s="2" t="s">
        <v>231</v>
      </c>
      <c r="Q874" s="2" t="s">
        <v>232</v>
      </c>
      <c r="R874" s="2" t="s">
        <v>233</v>
      </c>
      <c r="S874" s="2" t="s">
        <v>233</v>
      </c>
      <c r="T874" s="2" t="s">
        <v>233</v>
      </c>
      <c r="U874" s="2" t="s">
        <v>329</v>
      </c>
      <c r="V874" s="2" t="s">
        <v>609</v>
      </c>
      <c r="W874" s="2" t="s">
        <v>237</v>
      </c>
      <c r="X874" s="2" t="s">
        <v>233</v>
      </c>
      <c r="Y874" s="2" t="s">
        <v>1734</v>
      </c>
      <c r="Z874" s="4">
        <v>396</v>
      </c>
      <c r="AA874" s="4">
        <f>=ROUNDDOWN(123.75,0)</f>
      </c>
      <c r="AB874" s="5">
        <v>3.2</v>
      </c>
      <c r="AC874" s="2" t="s">
        <v>233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233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/>
      <c r="AW874" s="8"/>
      <c r="AX874" s="4"/>
      <c r="AY874" s="8"/>
      <c r="AZ874" s="7"/>
      <c r="BA874" s="7"/>
      <c r="BB874" s="7"/>
      <c r="BC874" s="4"/>
      <c r="BD874" s="8"/>
      <c r="BE874" s="4"/>
      <c r="BF874" s="8"/>
      <c r="BG874" s="7"/>
      <c r="BH874" s="7"/>
      <c r="BI874" s="7"/>
      <c r="BJ874" s="4">
        <v>16</v>
      </c>
      <c r="BK874" s="8">
        <v>215.56</v>
      </c>
      <c r="BL874" s="2" t="s">
        <v>2652</v>
      </c>
      <c r="BM874" s="7"/>
      <c r="BN874" s="7"/>
      <c r="BO874" s="4"/>
      <c r="BP874" s="8"/>
      <c r="BQ874" s="4"/>
      <c r="BR874" s="8"/>
      <c r="BS874" s="7"/>
      <c r="BT874" s="7"/>
      <c r="BU874" s="2" t="s">
        <v>4535</v>
      </c>
      <c r="BV874" s="2" t="s">
        <v>233</v>
      </c>
      <c r="BW874" s="2" t="s">
        <v>233</v>
      </c>
      <c r="BX874" s="2" t="s">
        <v>241</v>
      </c>
      <c r="BY874" s="2" t="s">
        <v>242</v>
      </c>
      <c r="BZ874" s="2" t="s">
        <v>230</v>
      </c>
      <c r="CA874" s="2" t="s">
        <v>3076</v>
      </c>
      <c r="CB874" s="2" t="s">
        <v>1790</v>
      </c>
      <c r="CC874" s="2" t="s">
        <v>245</v>
      </c>
      <c r="CD874" s="2" t="s">
        <v>233</v>
      </c>
      <c r="CE874" s="4">
        <v>396</v>
      </c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>
        <v>397</v>
      </c>
      <c r="GD874" s="4">
        <v>383</v>
      </c>
      <c r="GE874" s="4">
        <v>379</v>
      </c>
      <c r="GF874" s="4">
        <v>375</v>
      </c>
      <c r="GG874" s="4">
        <v>370</v>
      </c>
      <c r="GH874" s="4">
        <v>366</v>
      </c>
      <c r="GI874" s="4">
        <v>361</v>
      </c>
      <c r="GJ874" s="4">
        <v>357</v>
      </c>
      <c r="GK874" s="4">
        <v>354</v>
      </c>
      <c r="GL874" s="4">
        <v>351</v>
      </c>
      <c r="GM874" s="4">
        <v>348</v>
      </c>
      <c r="GN874" s="4">
        <v>345</v>
      </c>
      <c r="GO874" s="4">
        <v>342</v>
      </c>
      <c r="GP874" s="4">
        <v>339</v>
      </c>
      <c r="GQ874" s="4">
        <v>336</v>
      </c>
      <c r="GR874" s="4">
        <v>333</v>
      </c>
      <c r="GS874" s="4">
        <v>330</v>
      </c>
      <c r="GT874" s="4">
        <v>327</v>
      </c>
      <c r="GU874" s="4">
        <v>324</v>
      </c>
      <c r="GV874" s="4">
        <v>321</v>
      </c>
      <c r="GW874" s="4">
        <v>318</v>
      </c>
      <c r="GX874" s="4">
        <v>315</v>
      </c>
      <c r="GY874" s="4">
        <v>312</v>
      </c>
      <c r="GZ874" s="4">
        <v>309</v>
      </c>
      <c r="HA874" s="4">
        <v>306</v>
      </c>
      <c r="HB874" s="4">
        <v>303</v>
      </c>
      <c r="HC874" s="19">
        <v>56.7</v>
      </c>
      <c r="HD874" s="19">
        <v>95.8</v>
      </c>
      <c r="HE874" s="19">
        <v>94.8</v>
      </c>
      <c r="HF874" s="19">
        <v>93.8</v>
      </c>
      <c r="HG874" s="19">
        <v>92.5</v>
      </c>
      <c r="HH874" s="19">
        <v>91.5</v>
      </c>
      <c r="HI874" s="19">
        <v>120.3</v>
      </c>
      <c r="HJ874" s="19">
        <v>119</v>
      </c>
      <c r="HK874" s="19">
        <v>118</v>
      </c>
      <c r="HL874" s="19">
        <v>117</v>
      </c>
      <c r="HM874" s="19">
        <v>116</v>
      </c>
      <c r="HN874" s="19">
        <v>115</v>
      </c>
      <c r="HO874" s="19">
        <v>114</v>
      </c>
      <c r="HP874" s="19">
        <v>113</v>
      </c>
      <c r="HQ874" s="19">
        <v>112</v>
      </c>
      <c r="HR874" s="19">
        <v>111</v>
      </c>
      <c r="HS874" s="19">
        <v>110</v>
      </c>
      <c r="HT874" s="19">
        <v>109</v>
      </c>
      <c r="HU874" s="19">
        <v>108</v>
      </c>
      <c r="HV874" s="19">
        <v>107</v>
      </c>
      <c r="HW874" s="19">
        <v>106</v>
      </c>
      <c r="HX874" s="19">
        <v>105</v>
      </c>
      <c r="HY874" s="19">
        <v>104</v>
      </c>
      <c r="HZ874" s="19">
        <v>103</v>
      </c>
      <c r="IA874" s="19">
        <v>102</v>
      </c>
      <c r="IB874" s="19">
        <v>101</v>
      </c>
    </row>
    <row r="875">
      <c r="A875" s="2" t="s">
        <v>4536</v>
      </c>
      <c r="B875" s="2" t="s">
        <v>938</v>
      </c>
      <c r="C875" s="2" t="s">
        <v>762</v>
      </c>
      <c r="D875" s="2" t="s">
        <v>972</v>
      </c>
      <c r="E875" s="2" t="s">
        <v>973</v>
      </c>
      <c r="F875" s="2" t="s">
        <v>4537</v>
      </c>
      <c r="G875" s="2" t="s">
        <v>4537</v>
      </c>
      <c r="H875" s="2" t="s">
        <v>4537</v>
      </c>
      <c r="I875" s="2" t="s">
        <v>4538</v>
      </c>
      <c r="J875" s="2" t="s">
        <v>978</v>
      </c>
      <c r="K875" s="2" t="s">
        <v>4539</v>
      </c>
      <c r="L875" s="3">
        <v>21.12</v>
      </c>
      <c r="M875" s="3">
        <v>22.18</v>
      </c>
      <c r="N875" s="3">
        <v>47.99</v>
      </c>
      <c r="O875" s="2" t="s">
        <v>230</v>
      </c>
      <c r="P875" s="2" t="s">
        <v>231</v>
      </c>
      <c r="Q875" s="2" t="s">
        <v>232</v>
      </c>
      <c r="R875" s="2" t="s">
        <v>233</v>
      </c>
      <c r="S875" s="2" t="s">
        <v>4540</v>
      </c>
      <c r="T875" s="2" t="s">
        <v>348</v>
      </c>
      <c r="U875" s="2" t="s">
        <v>329</v>
      </c>
      <c r="V875" s="2" t="s">
        <v>3402</v>
      </c>
      <c r="W875" s="2" t="s">
        <v>620</v>
      </c>
      <c r="X875" s="2" t="s">
        <v>980</v>
      </c>
      <c r="Y875" s="2" t="s">
        <v>4541</v>
      </c>
      <c r="Z875" s="4">
        <v>657</v>
      </c>
      <c r="AA875" s="4">
        <f>=ROUNDDOWN(28.5652173913043,0)</f>
      </c>
      <c r="AB875" s="5">
        <v>23</v>
      </c>
      <c r="AC875" s="2" t="s">
        <v>139</v>
      </c>
      <c r="AD875" s="4">
        <v>356</v>
      </c>
      <c r="AE875" s="4">
        <v>356</v>
      </c>
      <c r="AF875" s="6">
        <v>64</v>
      </c>
      <c r="AG875" s="6"/>
      <c r="AH875" s="7">
        <v>1</v>
      </c>
      <c r="AI875" s="4"/>
      <c r="AJ875" s="4">
        <f>=ROUNDDOWN({0},0)</f>
      </c>
      <c r="AK875" s="5"/>
      <c r="AL875" s="2" t="s">
        <v>233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233</v>
      </c>
      <c r="AW875" s="8" t="s">
        <v>233</v>
      </c>
      <c r="AX875" s="4" t="s">
        <v>233</v>
      </c>
      <c r="AY875" s="8" t="s">
        <v>233</v>
      </c>
      <c r="AZ875" s="7" t="s">
        <v>233</v>
      </c>
      <c r="BA875" s="7" t="s">
        <v>233</v>
      </c>
      <c r="BB875" s="7"/>
      <c r="BC875" s="4" t="s">
        <v>233</v>
      </c>
      <c r="BD875" s="8" t="s">
        <v>233</v>
      </c>
      <c r="BE875" s="4" t="s">
        <v>233</v>
      </c>
      <c r="BF875" s="8" t="s">
        <v>233</v>
      </c>
      <c r="BG875" s="7" t="s">
        <v>233</v>
      </c>
      <c r="BH875" s="7" t="s">
        <v>233</v>
      </c>
      <c r="BI875" s="7"/>
      <c r="BJ875" s="4">
        <v>62</v>
      </c>
      <c r="BK875" s="8">
        <v>1379.16</v>
      </c>
      <c r="BL875" s="2" t="s">
        <v>4542</v>
      </c>
      <c r="BM875" s="7"/>
      <c r="BN875" s="7"/>
      <c r="BO875" s="4"/>
      <c r="BP875" s="8"/>
      <c r="BQ875" s="4"/>
      <c r="BR875" s="8"/>
      <c r="BS875" s="7"/>
      <c r="BT875" s="7"/>
      <c r="BU875" s="2" t="s">
        <v>4543</v>
      </c>
      <c r="BV875" s="2" t="s">
        <v>233</v>
      </c>
      <c r="BW875" s="2" t="s">
        <v>233</v>
      </c>
      <c r="BX875" s="2" t="s">
        <v>241</v>
      </c>
      <c r="BY875" s="2" t="s">
        <v>242</v>
      </c>
      <c r="BZ875" s="2" t="s">
        <v>230</v>
      </c>
      <c r="CA875" s="2" t="s">
        <v>4544</v>
      </c>
      <c r="CB875" s="2" t="s">
        <v>2191</v>
      </c>
      <c r="CC875" s="2" t="s">
        <v>245</v>
      </c>
      <c r="CD875" s="2" t="s">
        <v>233</v>
      </c>
      <c r="CE875" s="4">
        <v>657</v>
      </c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>
        <v>356</v>
      </c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>
        <v>669</v>
      </c>
      <c r="GD875" s="4">
        <v>608</v>
      </c>
      <c r="GE875" s="4">
        <v>935</v>
      </c>
      <c r="GF875" s="4">
        <v>908</v>
      </c>
      <c r="GG875" s="4">
        <v>877</v>
      </c>
      <c r="GH875" s="4">
        <v>850</v>
      </c>
      <c r="GI875" s="4">
        <v>819</v>
      </c>
      <c r="GJ875" s="4">
        <v>796</v>
      </c>
      <c r="GK875" s="4">
        <v>771</v>
      </c>
      <c r="GL875" s="4">
        <v>748</v>
      </c>
      <c r="GM875" s="4">
        <v>723</v>
      </c>
      <c r="GN875" s="4">
        <v>700</v>
      </c>
      <c r="GO875" s="4">
        <v>677</v>
      </c>
      <c r="GP875" s="4">
        <v>654</v>
      </c>
      <c r="GQ875" s="4">
        <v>631</v>
      </c>
      <c r="GR875" s="4">
        <v>608</v>
      </c>
      <c r="GS875" s="4">
        <v>585</v>
      </c>
      <c r="GT875" s="4">
        <v>560</v>
      </c>
      <c r="GU875" s="4">
        <v>537</v>
      </c>
      <c r="GV875" s="4">
        <v>514</v>
      </c>
      <c r="GW875" s="4">
        <v>491</v>
      </c>
      <c r="GX875" s="4">
        <v>468</v>
      </c>
      <c r="GY875" s="4">
        <v>445</v>
      </c>
      <c r="GZ875" s="4">
        <v>422</v>
      </c>
      <c r="HA875" s="4">
        <v>397</v>
      </c>
      <c r="HB875" s="4">
        <v>374</v>
      </c>
      <c r="HC875" s="19">
        <v>18.1</v>
      </c>
      <c r="HD875" s="19">
        <v>21.7</v>
      </c>
      <c r="HE875" s="19">
        <v>32.2</v>
      </c>
      <c r="HF875" s="19">
        <v>32.4</v>
      </c>
      <c r="HG875" s="19">
        <v>33.7</v>
      </c>
      <c r="HH875" s="19">
        <v>32.7</v>
      </c>
      <c r="HI875" s="19">
        <v>34.1</v>
      </c>
      <c r="HJ875" s="19">
        <v>33.2</v>
      </c>
      <c r="HK875" s="19">
        <v>32.1</v>
      </c>
      <c r="HL875" s="19">
        <v>31.2</v>
      </c>
      <c r="HM875" s="19">
        <v>31.4</v>
      </c>
      <c r="HN875" s="19">
        <v>30.4</v>
      </c>
      <c r="HO875" s="19">
        <v>29.4</v>
      </c>
      <c r="HP875" s="19">
        <v>27.3</v>
      </c>
      <c r="HQ875" s="19">
        <v>26.3</v>
      </c>
      <c r="HR875" s="19">
        <v>25.3</v>
      </c>
      <c r="HS875" s="19">
        <v>24.4</v>
      </c>
      <c r="HT875" s="19">
        <v>24.3</v>
      </c>
      <c r="HU875" s="19">
        <v>23.3</v>
      </c>
      <c r="HV875" s="19">
        <v>22.3</v>
      </c>
      <c r="HW875" s="19">
        <v>20.5</v>
      </c>
      <c r="HX875" s="19">
        <v>19.5</v>
      </c>
      <c r="HY875" s="19">
        <v>18.5</v>
      </c>
      <c r="HZ875" s="19">
        <v>17.6</v>
      </c>
      <c r="IA875" s="19">
        <v>17.3</v>
      </c>
      <c r="IB875" s="19">
        <v>15.6</v>
      </c>
    </row>
    <row r="876">
      <c r="A876" s="2" t="s">
        <v>4545</v>
      </c>
      <c r="B876" s="2" t="s">
        <v>923</v>
      </c>
      <c r="C876" s="2" t="s">
        <v>762</v>
      </c>
      <c r="D876" s="2" t="s">
        <v>951</v>
      </c>
      <c r="E876" s="2" t="s">
        <v>952</v>
      </c>
      <c r="F876" s="2" t="s">
        <v>4537</v>
      </c>
      <c r="G876" s="2" t="s">
        <v>4537</v>
      </c>
      <c r="H876" s="2" t="s">
        <v>4537</v>
      </c>
      <c r="I876" s="2" t="s">
        <v>4546</v>
      </c>
      <c r="J876" s="2" t="s">
        <v>954</v>
      </c>
      <c r="K876" s="2" t="s">
        <v>4539</v>
      </c>
      <c r="L876" s="3">
        <v>18.92</v>
      </c>
      <c r="M876" s="3">
        <v>19.87</v>
      </c>
      <c r="N876" s="3">
        <v>42.99</v>
      </c>
      <c r="O876" s="2" t="s">
        <v>230</v>
      </c>
      <c r="P876" s="2" t="s">
        <v>231</v>
      </c>
      <c r="Q876" s="2" t="s">
        <v>232</v>
      </c>
      <c r="R876" s="2" t="s">
        <v>233</v>
      </c>
      <c r="S876" s="2" t="s">
        <v>4540</v>
      </c>
      <c r="T876" s="2" t="s">
        <v>348</v>
      </c>
      <c r="U876" s="2" t="s">
        <v>329</v>
      </c>
      <c r="V876" s="2" t="s">
        <v>3402</v>
      </c>
      <c r="W876" s="2" t="s">
        <v>620</v>
      </c>
      <c r="X876" s="2" t="s">
        <v>1631</v>
      </c>
      <c r="Y876" s="2" t="s">
        <v>3054</v>
      </c>
      <c r="Z876" s="4">
        <v>488</v>
      </c>
      <c r="AA876" s="4">
        <f>=ROUNDDOWN(28.7058823529412,0)</f>
      </c>
      <c r="AB876" s="5">
        <v>17</v>
      </c>
      <c r="AC876" s="2" t="s">
        <v>233</v>
      </c>
      <c r="AD876" s="4"/>
      <c r="AE876" s="4"/>
      <c r="AF876" s="6">
        <v>64</v>
      </c>
      <c r="AG876" s="6"/>
      <c r="AH876" s="7">
        <v>1</v>
      </c>
      <c r="AI876" s="4"/>
      <c r="AJ876" s="4">
        <f>=ROUNDDOWN({0},0)</f>
      </c>
      <c r="AK876" s="5"/>
      <c r="AL876" s="2" t="s">
        <v>233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233</v>
      </c>
      <c r="AW876" s="8" t="s">
        <v>233</v>
      </c>
      <c r="AX876" s="4" t="s">
        <v>233</v>
      </c>
      <c r="AY876" s="8" t="s">
        <v>233</v>
      </c>
      <c r="AZ876" s="7" t="s">
        <v>233</v>
      </c>
      <c r="BA876" s="7" t="s">
        <v>233</v>
      </c>
      <c r="BB876" s="7"/>
      <c r="BC876" s="4" t="s">
        <v>233</v>
      </c>
      <c r="BD876" s="8" t="s">
        <v>233</v>
      </c>
      <c r="BE876" s="4" t="s">
        <v>233</v>
      </c>
      <c r="BF876" s="8" t="s">
        <v>233</v>
      </c>
      <c r="BG876" s="7" t="s">
        <v>233</v>
      </c>
      <c r="BH876" s="7" t="s">
        <v>233</v>
      </c>
      <c r="BI876" s="7"/>
      <c r="BJ876" s="4">
        <v>67</v>
      </c>
      <c r="BK876" s="8">
        <v>1450.03</v>
      </c>
      <c r="BL876" s="2" t="s">
        <v>4547</v>
      </c>
      <c r="BM876" s="7"/>
      <c r="BN876" s="7"/>
      <c r="BO876" s="4"/>
      <c r="BP876" s="8"/>
      <c r="BQ876" s="4"/>
      <c r="BR876" s="8"/>
      <c r="BS876" s="7"/>
      <c r="BT876" s="7"/>
      <c r="BU876" s="2" t="s">
        <v>4548</v>
      </c>
      <c r="BV876" s="2" t="s">
        <v>233</v>
      </c>
      <c r="BW876" s="2" t="s">
        <v>233</v>
      </c>
      <c r="BX876" s="2" t="s">
        <v>241</v>
      </c>
      <c r="BY876" s="2" t="s">
        <v>242</v>
      </c>
      <c r="BZ876" s="2" t="s">
        <v>230</v>
      </c>
      <c r="CA876" s="2" t="s">
        <v>4549</v>
      </c>
      <c r="CB876" s="2" t="s">
        <v>4550</v>
      </c>
      <c r="CC876" s="2" t="s">
        <v>245</v>
      </c>
      <c r="CD876" s="2" t="s">
        <v>233</v>
      </c>
      <c r="CE876" s="4">
        <v>488</v>
      </c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>
        <v>520</v>
      </c>
      <c r="GD876" s="4">
        <v>487</v>
      </c>
      <c r="GE876" s="4">
        <v>473</v>
      </c>
      <c r="GF876" s="4">
        <v>461</v>
      </c>
      <c r="GG876" s="4">
        <v>438</v>
      </c>
      <c r="GH876" s="4">
        <v>414</v>
      </c>
      <c r="GI876" s="4">
        <v>390</v>
      </c>
      <c r="GJ876" s="4">
        <v>374</v>
      </c>
      <c r="GK876" s="4">
        <v>361</v>
      </c>
      <c r="GL876" s="4">
        <v>343</v>
      </c>
      <c r="GM876" s="4">
        <v>325</v>
      </c>
      <c r="GN876" s="4">
        <v>308</v>
      </c>
      <c r="GO876" s="4">
        <v>291</v>
      </c>
      <c r="GP876" s="4">
        <v>274</v>
      </c>
      <c r="GQ876" s="4">
        <v>257</v>
      </c>
      <c r="GR876" s="4">
        <v>240</v>
      </c>
      <c r="GS876" s="4">
        <v>223</v>
      </c>
      <c r="GT876" s="4">
        <v>205</v>
      </c>
      <c r="GU876" s="4">
        <v>188</v>
      </c>
      <c r="GV876" s="4">
        <v>171</v>
      </c>
      <c r="GW876" s="4">
        <v>154</v>
      </c>
      <c r="GX876" s="4">
        <v>137</v>
      </c>
      <c r="GY876" s="4">
        <v>120</v>
      </c>
      <c r="GZ876" s="4">
        <v>103</v>
      </c>
      <c r="HA876" s="4">
        <v>85</v>
      </c>
      <c r="HB876" s="4">
        <v>68</v>
      </c>
      <c r="HC876" s="19">
        <v>26</v>
      </c>
      <c r="HD876" s="19">
        <v>27.1</v>
      </c>
      <c r="HE876" s="19">
        <v>22.5</v>
      </c>
      <c r="HF876" s="19">
        <v>21</v>
      </c>
      <c r="HG876" s="19">
        <v>23.1</v>
      </c>
      <c r="HH876" s="19">
        <v>23</v>
      </c>
      <c r="HI876" s="19">
        <v>24.4</v>
      </c>
      <c r="HJ876" s="19">
        <v>23.4</v>
      </c>
      <c r="HK876" s="19">
        <v>20.1</v>
      </c>
      <c r="HL876" s="19">
        <v>20.2</v>
      </c>
      <c r="HM876" s="19">
        <v>19.1</v>
      </c>
      <c r="HN876" s="19">
        <v>18.1</v>
      </c>
      <c r="HO876" s="19">
        <v>17.1</v>
      </c>
      <c r="HP876" s="19">
        <v>16.1</v>
      </c>
      <c r="HQ876" s="19">
        <v>15.1</v>
      </c>
      <c r="HR876" s="19">
        <v>14.1</v>
      </c>
      <c r="HS876" s="19">
        <v>13.1</v>
      </c>
      <c r="HT876" s="19">
        <v>12.1</v>
      </c>
      <c r="HU876" s="19">
        <v>11.1</v>
      </c>
      <c r="HV876" s="19">
        <v>10.1</v>
      </c>
      <c r="HW876" s="19">
        <v>9.1</v>
      </c>
      <c r="HX876" s="19">
        <v>8.1</v>
      </c>
      <c r="HY876" s="19">
        <v>7.1</v>
      </c>
      <c r="HZ876" s="19">
        <v>6.1</v>
      </c>
      <c r="IA876" s="19">
        <v>5</v>
      </c>
      <c r="IB876" s="19">
        <v>4</v>
      </c>
    </row>
    <row r="877">
      <c r="A877" s="2" t="s">
        <v>4551</v>
      </c>
      <c r="B877" s="2" t="s">
        <v>811</v>
      </c>
      <c r="C877" s="2" t="s">
        <v>789</v>
      </c>
      <c r="D877" s="2" t="s">
        <v>813</v>
      </c>
      <c r="E877" s="2" t="s">
        <v>814</v>
      </c>
      <c r="F877" s="2" t="s">
        <v>4552</v>
      </c>
      <c r="G877" s="2" t="s">
        <v>4552</v>
      </c>
      <c r="H877" s="2" t="s">
        <v>4552</v>
      </c>
      <c r="I877" s="2" t="s">
        <v>4553</v>
      </c>
      <c r="J877" s="2" t="s">
        <v>741</v>
      </c>
      <c r="K877" s="2" t="s">
        <v>1511</v>
      </c>
      <c r="L877" s="3">
        <v>26.78</v>
      </c>
      <c r="M877" s="3">
        <v>28.12</v>
      </c>
      <c r="N877" s="3">
        <v>59.99</v>
      </c>
      <c r="O877" s="2" t="s">
        <v>230</v>
      </c>
      <c r="P877" s="2" t="s">
        <v>231</v>
      </c>
      <c r="Q877" s="2" t="s">
        <v>232</v>
      </c>
      <c r="R877" s="2" t="s">
        <v>233</v>
      </c>
      <c r="S877" s="2" t="s">
        <v>233</v>
      </c>
      <c r="T877" s="2" t="s">
        <v>233</v>
      </c>
      <c r="U877" s="2" t="s">
        <v>329</v>
      </c>
      <c r="V877" s="2" t="s">
        <v>609</v>
      </c>
      <c r="W877" s="2" t="s">
        <v>620</v>
      </c>
      <c r="X877" s="2" t="s">
        <v>233</v>
      </c>
      <c r="Y877" s="2" t="s">
        <v>3574</v>
      </c>
      <c r="Z877" s="4">
        <v>107</v>
      </c>
      <c r="AA877" s="4">
        <f>=ROUNDDOWN(26.75,0)</f>
      </c>
      <c r="AB877" s="5">
        <v>4</v>
      </c>
      <c r="AC877" s="2" t="s">
        <v>233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233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/>
      <c r="AW877" s="8"/>
      <c r="AX877" s="4"/>
      <c r="AY877" s="8"/>
      <c r="AZ877" s="7"/>
      <c r="BA877" s="7"/>
      <c r="BB877" s="7"/>
      <c r="BC877" s="4"/>
      <c r="BD877" s="8"/>
      <c r="BE877" s="4"/>
      <c r="BF877" s="8"/>
      <c r="BG877" s="7"/>
      <c r="BH877" s="7"/>
      <c r="BI877" s="7"/>
      <c r="BJ877" s="4">
        <v>18</v>
      </c>
      <c r="BK877" s="8">
        <v>526.26</v>
      </c>
      <c r="BL877" s="2" t="s">
        <v>4554</v>
      </c>
      <c r="BM877" s="7"/>
      <c r="BN877" s="7"/>
      <c r="BO877" s="4"/>
      <c r="BP877" s="8"/>
      <c r="BQ877" s="4"/>
      <c r="BR877" s="8"/>
      <c r="BS877" s="7"/>
      <c r="BT877" s="7"/>
      <c r="BU877" s="2" t="s">
        <v>4555</v>
      </c>
      <c r="BV877" s="2" t="s">
        <v>233</v>
      </c>
      <c r="BW877" s="2" t="s">
        <v>233</v>
      </c>
      <c r="BX877" s="2" t="s">
        <v>241</v>
      </c>
      <c r="BY877" s="2" t="s">
        <v>242</v>
      </c>
      <c r="BZ877" s="2" t="s">
        <v>230</v>
      </c>
      <c r="CA877" s="2" t="s">
        <v>3577</v>
      </c>
      <c r="CB877" s="2" t="s">
        <v>4556</v>
      </c>
      <c r="CC877" s="2" t="s">
        <v>245</v>
      </c>
      <c r="CD877" s="2" t="s">
        <v>233</v>
      </c>
      <c r="CE877" s="4"/>
      <c r="CF877" s="4">
        <v>107</v>
      </c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>
        <v>119</v>
      </c>
      <c r="GD877" s="4">
        <v>115</v>
      </c>
      <c r="GE877" s="4">
        <v>110</v>
      </c>
      <c r="GF877" s="4">
        <v>105</v>
      </c>
      <c r="GG877" s="4">
        <v>101</v>
      </c>
      <c r="GH877" s="4">
        <v>97</v>
      </c>
      <c r="GI877" s="4">
        <v>92</v>
      </c>
      <c r="GJ877" s="4">
        <v>88</v>
      </c>
      <c r="GK877" s="4">
        <v>84</v>
      </c>
      <c r="GL877" s="4">
        <v>80</v>
      </c>
      <c r="GM877" s="4">
        <v>76</v>
      </c>
      <c r="GN877" s="4">
        <v>72</v>
      </c>
      <c r="GO877" s="4">
        <v>68</v>
      </c>
      <c r="GP877" s="4">
        <v>64</v>
      </c>
      <c r="GQ877" s="4">
        <v>60</v>
      </c>
      <c r="GR877" s="4">
        <v>56</v>
      </c>
      <c r="GS877" s="4">
        <v>52</v>
      </c>
      <c r="GT877" s="4">
        <v>47</v>
      </c>
      <c r="GU877" s="4">
        <v>43</v>
      </c>
      <c r="GV877" s="4">
        <v>39</v>
      </c>
      <c r="GW877" s="4">
        <v>35</v>
      </c>
      <c r="GX877" s="4">
        <v>31</v>
      </c>
      <c r="GY877" s="4">
        <v>27</v>
      </c>
      <c r="GZ877" s="4">
        <v>23</v>
      </c>
      <c r="HA877" s="4">
        <v>19</v>
      </c>
      <c r="HB877" s="4">
        <v>15</v>
      </c>
      <c r="HC877" s="19">
        <v>29.8</v>
      </c>
      <c r="HD877" s="19">
        <v>28.8</v>
      </c>
      <c r="HE877" s="19">
        <v>27.5</v>
      </c>
      <c r="HF877" s="19">
        <v>26.3</v>
      </c>
      <c r="HG877" s="19">
        <v>25.3</v>
      </c>
      <c r="HH877" s="19">
        <v>24.3</v>
      </c>
      <c r="HI877" s="19">
        <v>23</v>
      </c>
      <c r="HJ877" s="19">
        <v>22</v>
      </c>
      <c r="HK877" s="19">
        <v>21</v>
      </c>
      <c r="HL877" s="19">
        <v>20</v>
      </c>
      <c r="HM877" s="19">
        <v>19</v>
      </c>
      <c r="HN877" s="19">
        <v>18</v>
      </c>
      <c r="HO877" s="19">
        <v>17</v>
      </c>
      <c r="HP877" s="19">
        <v>16</v>
      </c>
      <c r="HQ877" s="19">
        <v>15</v>
      </c>
      <c r="HR877" s="19">
        <v>14</v>
      </c>
      <c r="HS877" s="19">
        <v>13</v>
      </c>
      <c r="HT877" s="19">
        <v>11.8</v>
      </c>
      <c r="HU877" s="19">
        <v>10.8</v>
      </c>
      <c r="HV877" s="19">
        <v>9.8</v>
      </c>
      <c r="HW877" s="19">
        <v>8.8</v>
      </c>
      <c r="HX877" s="19">
        <v>7.8</v>
      </c>
      <c r="HY877" s="19">
        <v>6.8</v>
      </c>
      <c r="HZ877" s="19">
        <v>5.8</v>
      </c>
      <c r="IA877" s="19">
        <v>4.8</v>
      </c>
      <c r="IB877" s="19">
        <v>3.8</v>
      </c>
    </row>
    <row r="878">
      <c r="A878" s="2" t="s">
        <v>4557</v>
      </c>
      <c r="B878" s="2" t="s">
        <v>923</v>
      </c>
      <c r="C878" s="2" t="s">
        <v>280</v>
      </c>
      <c r="D878" s="2" t="s">
        <v>951</v>
      </c>
      <c r="E878" s="2" t="s">
        <v>952</v>
      </c>
      <c r="F878" s="2" t="s">
        <v>4558</v>
      </c>
      <c r="G878" s="2" t="s">
        <v>4559</v>
      </c>
      <c r="H878" s="2" t="s">
        <v>4560</v>
      </c>
      <c r="I878" s="2" t="s">
        <v>4561</v>
      </c>
      <c r="J878" s="2" t="s">
        <v>954</v>
      </c>
      <c r="K878" s="2" t="s">
        <v>300</v>
      </c>
      <c r="L878" s="3">
        <v>17.16</v>
      </c>
      <c r="M878" s="3">
        <v>18.02</v>
      </c>
      <c r="N878" s="3">
        <v>38.99</v>
      </c>
      <c r="O878" s="2" t="s">
        <v>230</v>
      </c>
      <c r="P878" s="2" t="s">
        <v>231</v>
      </c>
      <c r="Q878" s="2" t="s">
        <v>232</v>
      </c>
      <c r="R878" s="2" t="s">
        <v>233</v>
      </c>
      <c r="S878" s="2" t="s">
        <v>4562</v>
      </c>
      <c r="T878" s="2" t="s">
        <v>233</v>
      </c>
      <c r="U878" s="2" t="s">
        <v>329</v>
      </c>
      <c r="V878" s="2" t="s">
        <v>834</v>
      </c>
      <c r="W878" s="2" t="s">
        <v>620</v>
      </c>
      <c r="X878" s="2" t="s">
        <v>233</v>
      </c>
      <c r="Y878" s="2" t="s">
        <v>4563</v>
      </c>
      <c r="Z878" s="4">
        <v>313</v>
      </c>
      <c r="AA878" s="4">
        <f>=ROUNDDOWN(22.3571428571429,0)</f>
      </c>
      <c r="AB878" s="5">
        <v>14</v>
      </c>
      <c r="AC878" s="2" t="s">
        <v>233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233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/>
      <c r="AW878" s="8"/>
      <c r="AX878" s="4"/>
      <c r="AY878" s="8"/>
      <c r="AZ878" s="7"/>
      <c r="BA878" s="7"/>
      <c r="BB878" s="7"/>
      <c r="BC878" s="4"/>
      <c r="BD878" s="8"/>
      <c r="BE878" s="4"/>
      <c r="BF878" s="8"/>
      <c r="BG878" s="7"/>
      <c r="BH878" s="7"/>
      <c r="BI878" s="7"/>
      <c r="BJ878" s="4">
        <v>81</v>
      </c>
      <c r="BK878" s="8">
        <v>1527.53</v>
      </c>
      <c r="BL878" s="2" t="s">
        <v>4564</v>
      </c>
      <c r="BM878" s="7"/>
      <c r="BN878" s="7"/>
      <c r="BO878" s="4"/>
      <c r="BP878" s="8"/>
      <c r="BQ878" s="4"/>
      <c r="BR878" s="8"/>
      <c r="BS878" s="7"/>
      <c r="BT878" s="7"/>
      <c r="BU878" s="2" t="s">
        <v>4565</v>
      </c>
      <c r="BV878" s="2" t="s">
        <v>233</v>
      </c>
      <c r="BW878" s="2" t="s">
        <v>233</v>
      </c>
      <c r="BX878" s="2" t="s">
        <v>293</v>
      </c>
      <c r="BY878" s="2" t="s">
        <v>242</v>
      </c>
      <c r="BZ878" s="2" t="s">
        <v>230</v>
      </c>
      <c r="CA878" s="2" t="s">
        <v>4566</v>
      </c>
      <c r="CB878" s="2" t="s">
        <v>4567</v>
      </c>
      <c r="CC878" s="2" t="s">
        <v>245</v>
      </c>
      <c r="CD878" s="2" t="s">
        <v>233</v>
      </c>
      <c r="CE878" s="4">
        <v>45</v>
      </c>
      <c r="CF878" s="4"/>
      <c r="CG878" s="4"/>
      <c r="CH878" s="4"/>
      <c r="CI878" s="4"/>
      <c r="CJ878" s="4"/>
      <c r="CK878" s="4">
        <v>268</v>
      </c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>
        <v>327</v>
      </c>
      <c r="GD878" s="4">
        <v>312</v>
      </c>
      <c r="GE878" s="4">
        <v>296</v>
      </c>
      <c r="GF878" s="4">
        <v>283</v>
      </c>
      <c r="GG878" s="4">
        <v>260</v>
      </c>
      <c r="GH878" s="4">
        <v>244</v>
      </c>
      <c r="GI878" s="4">
        <v>227</v>
      </c>
      <c r="GJ878" s="4">
        <v>219</v>
      </c>
      <c r="GK878" s="4">
        <v>214</v>
      </c>
      <c r="GL878" s="4">
        <v>201</v>
      </c>
      <c r="GM878" s="4">
        <v>189</v>
      </c>
      <c r="GN878" s="4">
        <v>177</v>
      </c>
      <c r="GO878" s="4">
        <v>165</v>
      </c>
      <c r="GP878" s="4">
        <v>153</v>
      </c>
      <c r="GQ878" s="4">
        <v>141</v>
      </c>
      <c r="GR878" s="4">
        <v>129</v>
      </c>
      <c r="GS878" s="4">
        <v>117</v>
      </c>
      <c r="GT878" s="4">
        <v>102</v>
      </c>
      <c r="GU878" s="4">
        <v>88</v>
      </c>
      <c r="GV878" s="4">
        <v>74</v>
      </c>
      <c r="GW878" s="4">
        <v>60</v>
      </c>
      <c r="GX878" s="4">
        <v>46</v>
      </c>
      <c r="GY878" s="4">
        <v>32</v>
      </c>
      <c r="GZ878" s="4">
        <v>18</v>
      </c>
      <c r="HA878" s="4">
        <v>4</v>
      </c>
      <c r="HB878" s="4">
        <v>154</v>
      </c>
      <c r="HC878" s="19">
        <v>19.2</v>
      </c>
      <c r="HD878" s="19">
        <v>18.4</v>
      </c>
      <c r="HE878" s="19">
        <v>17.4</v>
      </c>
      <c r="HF878" s="19">
        <v>17.7</v>
      </c>
      <c r="HG878" s="19">
        <v>21.7</v>
      </c>
      <c r="HH878" s="19">
        <v>22.2</v>
      </c>
      <c r="HI878" s="19">
        <v>22.7</v>
      </c>
      <c r="HJ878" s="19">
        <v>21.9</v>
      </c>
      <c r="HK878" s="19">
        <v>17.8</v>
      </c>
      <c r="HL878" s="19">
        <v>16.8</v>
      </c>
      <c r="HM878" s="19">
        <v>15.8</v>
      </c>
      <c r="HN878" s="19">
        <v>14.8</v>
      </c>
      <c r="HO878" s="19">
        <v>13.8</v>
      </c>
      <c r="HP878" s="19">
        <v>11.8</v>
      </c>
      <c r="HQ878" s="19">
        <v>10.8</v>
      </c>
      <c r="HR878" s="19">
        <v>9.2</v>
      </c>
      <c r="HS878" s="19">
        <v>8.4</v>
      </c>
      <c r="HT878" s="19">
        <v>7.3</v>
      </c>
      <c r="HU878" s="19">
        <v>6.3</v>
      </c>
      <c r="HV878" s="19">
        <v>5.3</v>
      </c>
      <c r="HW878" s="19">
        <v>4.3</v>
      </c>
      <c r="HX878" s="19">
        <v>3.3</v>
      </c>
      <c r="HY878" s="19">
        <v>2.3</v>
      </c>
      <c r="HZ878" s="19">
        <v>1.3</v>
      </c>
      <c r="IA878" s="19">
        <v>0.3</v>
      </c>
      <c r="IB878" s="19">
        <v>11</v>
      </c>
    </row>
    <row r="879">
      <c r="A879" s="2" t="s">
        <v>4568</v>
      </c>
      <c r="B879" s="2" t="s">
        <v>847</v>
      </c>
      <c r="C879" s="2" t="s">
        <v>848</v>
      </c>
      <c r="D879" s="2" t="s">
        <v>849</v>
      </c>
      <c r="E879" s="2" t="s">
        <v>850</v>
      </c>
      <c r="F879" s="2" t="s">
        <v>1029</v>
      </c>
      <c r="G879" s="2" t="s">
        <v>1029</v>
      </c>
      <c r="H879" s="2" t="s">
        <v>1029</v>
      </c>
      <c r="I879" s="2" t="s">
        <v>4569</v>
      </c>
      <c r="J879" s="2" t="s">
        <v>3455</v>
      </c>
      <c r="K879" s="2" t="s">
        <v>300</v>
      </c>
      <c r="L879" s="3">
        <v>8.66</v>
      </c>
      <c r="M879" s="3">
        <v>9.09</v>
      </c>
      <c r="N879" s="3">
        <v>19.99</v>
      </c>
      <c r="O879" s="2" t="s">
        <v>230</v>
      </c>
      <c r="P879" s="2" t="s">
        <v>597</v>
      </c>
      <c r="Q879" s="2" t="s">
        <v>232</v>
      </c>
      <c r="R879" s="2" t="s">
        <v>233</v>
      </c>
      <c r="S879" s="2" t="s">
        <v>233</v>
      </c>
      <c r="T879" s="2" t="s">
        <v>233</v>
      </c>
      <c r="U879" s="2" t="s">
        <v>329</v>
      </c>
      <c r="V879" s="2" t="s">
        <v>609</v>
      </c>
      <c r="W879" s="2" t="s">
        <v>237</v>
      </c>
      <c r="X879" s="2" t="s">
        <v>233</v>
      </c>
      <c r="Y879" s="2" t="s">
        <v>1734</v>
      </c>
      <c r="Z879" s="4">
        <v>6</v>
      </c>
      <c r="AA879" s="4">
        <f>=ROUNDDOWN(0.107142857142857,0)</f>
      </c>
      <c r="AB879" s="5">
        <v>56</v>
      </c>
      <c r="AC879" s="2" t="s">
        <v>135</v>
      </c>
      <c r="AD879" s="4">
        <v>1200</v>
      </c>
      <c r="AE879" s="4">
        <v>2004</v>
      </c>
      <c r="AF879" s="6">
        <v>65</v>
      </c>
      <c r="AG879" s="6"/>
      <c r="AH879" s="7">
        <v>0</v>
      </c>
      <c r="AI879" s="4"/>
      <c r="AJ879" s="4">
        <f>=ROUNDDOWN({0},0)</f>
      </c>
      <c r="AK879" s="5"/>
      <c r="AL879" s="2" t="s">
        <v>233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233</v>
      </c>
      <c r="AW879" s="8" t="s">
        <v>233</v>
      </c>
      <c r="AX879" s="4" t="s">
        <v>233</v>
      </c>
      <c r="AY879" s="8" t="s">
        <v>233</v>
      </c>
      <c r="AZ879" s="7" t="s">
        <v>233</v>
      </c>
      <c r="BA879" s="7" t="s">
        <v>233</v>
      </c>
      <c r="BB879" s="7"/>
      <c r="BC879" s="4" t="s">
        <v>233</v>
      </c>
      <c r="BD879" s="8" t="s">
        <v>233</v>
      </c>
      <c r="BE879" s="4" t="s">
        <v>233</v>
      </c>
      <c r="BF879" s="8" t="s">
        <v>233</v>
      </c>
      <c r="BG879" s="7" t="s">
        <v>233</v>
      </c>
      <c r="BH879" s="7" t="s">
        <v>233</v>
      </c>
      <c r="BI879" s="7"/>
      <c r="BJ879" s="4"/>
      <c r="BK879" s="8"/>
      <c r="BL879" s="2" t="s">
        <v>233</v>
      </c>
      <c r="BM879" s="7"/>
      <c r="BN879" s="7"/>
      <c r="BO879" s="4"/>
      <c r="BP879" s="8"/>
      <c r="BQ879" s="4"/>
      <c r="BR879" s="8"/>
      <c r="BS879" s="7"/>
      <c r="BT879" s="7"/>
      <c r="BU879" s="2" t="s">
        <v>4570</v>
      </c>
      <c r="BV879" s="2" t="s">
        <v>233</v>
      </c>
      <c r="BW879" s="2" t="s">
        <v>233</v>
      </c>
      <c r="BX879" s="2" t="s">
        <v>241</v>
      </c>
      <c r="BY879" s="2" t="s">
        <v>242</v>
      </c>
      <c r="BZ879" s="2" t="s">
        <v>230</v>
      </c>
      <c r="CA879" s="2" t="s">
        <v>3076</v>
      </c>
      <c r="CB879" s="2" t="s">
        <v>2468</v>
      </c>
      <c r="CC879" s="2" t="s">
        <v>245</v>
      </c>
      <c r="CD879" s="2" t="s">
        <v>233</v>
      </c>
      <c r="CE879" s="4"/>
      <c r="CF879" s="4">
        <v>3</v>
      </c>
      <c r="CG879" s="4"/>
      <c r="CH879" s="4">
        <v>3</v>
      </c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>
        <v>1200</v>
      </c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>
        <v>804</v>
      </c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>
        <v>6</v>
      </c>
      <c r="GD879" s="4">
        <v>1200</v>
      </c>
      <c r="GE879" s="4">
        <v>536</v>
      </c>
      <c r="GF879" s="4">
        <v>469</v>
      </c>
      <c r="GG879" s="4">
        <v>401</v>
      </c>
      <c r="GH879" s="4">
        <v>333</v>
      </c>
      <c r="GI879" s="4">
        <v>1069</v>
      </c>
      <c r="GJ879" s="4">
        <v>1001</v>
      </c>
      <c r="GK879" s="4">
        <v>939</v>
      </c>
      <c r="GL879" s="4">
        <v>877</v>
      </c>
      <c r="GM879" s="4">
        <v>815</v>
      </c>
      <c r="GN879" s="4">
        <v>753</v>
      </c>
      <c r="GO879" s="4">
        <v>697</v>
      </c>
      <c r="GP879" s="4">
        <v>641</v>
      </c>
      <c r="GQ879" s="4">
        <v>585</v>
      </c>
      <c r="GR879" s="4">
        <v>529</v>
      </c>
      <c r="GS879" s="4">
        <v>473</v>
      </c>
      <c r="GT879" s="4">
        <v>417</v>
      </c>
      <c r="GU879" s="4">
        <v>361</v>
      </c>
      <c r="GV879" s="4">
        <v>305</v>
      </c>
      <c r="GW879" s="4">
        <v>249</v>
      </c>
      <c r="GX879" s="4">
        <v>193</v>
      </c>
      <c r="GY879" s="4">
        <v>137</v>
      </c>
      <c r="GZ879" s="4">
        <v>740</v>
      </c>
      <c r="HA879" s="4">
        <v>678</v>
      </c>
      <c r="HB879" s="4">
        <v>622</v>
      </c>
      <c r="HC879" s="20">
        <v>0</v>
      </c>
      <c r="HD879" s="19">
        <v>5.5</v>
      </c>
      <c r="HE879" s="19">
        <v>7.9</v>
      </c>
      <c r="HF879" s="19">
        <v>6.9</v>
      </c>
      <c r="HG879" s="19">
        <v>6.1</v>
      </c>
      <c r="HH879" s="19">
        <v>5.1</v>
      </c>
      <c r="HI879" s="19">
        <v>16.7</v>
      </c>
      <c r="HJ879" s="19">
        <v>16.1</v>
      </c>
      <c r="HK879" s="19">
        <v>15.7</v>
      </c>
      <c r="HL879" s="19">
        <v>14.9</v>
      </c>
      <c r="HM879" s="19">
        <v>14.1</v>
      </c>
      <c r="HN879" s="19">
        <v>13.4</v>
      </c>
      <c r="HO879" s="19">
        <v>12.4</v>
      </c>
      <c r="HP879" s="19">
        <v>11.4</v>
      </c>
      <c r="HQ879" s="19">
        <v>10.4</v>
      </c>
      <c r="HR879" s="19">
        <v>9.4</v>
      </c>
      <c r="HS879" s="19">
        <v>8.4</v>
      </c>
      <c r="HT879" s="19">
        <v>7.4</v>
      </c>
      <c r="HU879" s="19">
        <v>6.4</v>
      </c>
      <c r="HV879" s="19">
        <v>5.4</v>
      </c>
      <c r="HW879" s="19">
        <v>4.3</v>
      </c>
      <c r="HX879" s="19">
        <v>3.3</v>
      </c>
      <c r="HY879" s="19">
        <v>2.4</v>
      </c>
      <c r="HZ879" s="19">
        <v>12.8</v>
      </c>
      <c r="IA879" s="19">
        <v>12.1</v>
      </c>
      <c r="IB879" s="19">
        <v>10.7</v>
      </c>
    </row>
    <row r="880">
      <c r="A880" s="2" t="s">
        <v>4571</v>
      </c>
      <c r="B880" s="2" t="s">
        <v>847</v>
      </c>
      <c r="C880" s="2" t="s">
        <v>848</v>
      </c>
      <c r="D880" s="2" t="s">
        <v>849</v>
      </c>
      <c r="E880" s="2" t="s">
        <v>850</v>
      </c>
      <c r="F880" s="2" t="s">
        <v>1029</v>
      </c>
      <c r="G880" s="2" t="s">
        <v>1029</v>
      </c>
      <c r="H880" s="2" t="s">
        <v>1029</v>
      </c>
      <c r="I880" s="2" t="s">
        <v>4569</v>
      </c>
      <c r="J880" s="2" t="s">
        <v>867</v>
      </c>
      <c r="K880" s="2" t="s">
        <v>300</v>
      </c>
      <c r="L880" s="3">
        <v>15.03</v>
      </c>
      <c r="M880" s="3">
        <v>15.78</v>
      </c>
      <c r="N880" s="3">
        <v>34.99</v>
      </c>
      <c r="O880" s="2" t="s">
        <v>230</v>
      </c>
      <c r="P880" s="2" t="s">
        <v>597</v>
      </c>
      <c r="Q880" s="2" t="s">
        <v>232</v>
      </c>
      <c r="R880" s="2" t="s">
        <v>233</v>
      </c>
      <c r="S880" s="2" t="s">
        <v>233</v>
      </c>
      <c r="T880" s="2" t="s">
        <v>233</v>
      </c>
      <c r="U880" s="2" t="s">
        <v>329</v>
      </c>
      <c r="V880" s="2" t="s">
        <v>609</v>
      </c>
      <c r="W880" s="2" t="s">
        <v>237</v>
      </c>
      <c r="X880" s="2" t="s">
        <v>233</v>
      </c>
      <c r="Y880" s="2" t="s">
        <v>1734</v>
      </c>
      <c r="Z880" s="4">
        <v>1749</v>
      </c>
      <c r="AA880" s="4">
        <f>=ROUNDDOWN(174.9,0)</f>
      </c>
      <c r="AB880" s="5">
        <v>10</v>
      </c>
      <c r="AC880" s="2" t="s">
        <v>233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233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233</v>
      </c>
      <c r="AW880" s="8" t="s">
        <v>233</v>
      </c>
      <c r="AX880" s="4" t="s">
        <v>233</v>
      </c>
      <c r="AY880" s="8" t="s">
        <v>233</v>
      </c>
      <c r="AZ880" s="7" t="s">
        <v>233</v>
      </c>
      <c r="BA880" s="7" t="s">
        <v>233</v>
      </c>
      <c r="BB880" s="7"/>
      <c r="BC880" s="4" t="s">
        <v>233</v>
      </c>
      <c r="BD880" s="8" t="s">
        <v>233</v>
      </c>
      <c r="BE880" s="4" t="s">
        <v>233</v>
      </c>
      <c r="BF880" s="8" t="s">
        <v>233</v>
      </c>
      <c r="BG880" s="7" t="s">
        <v>233</v>
      </c>
      <c r="BH880" s="7" t="s">
        <v>233</v>
      </c>
      <c r="BI880" s="7"/>
      <c r="BJ880" s="4">
        <v>12</v>
      </c>
      <c r="BK880" s="8">
        <v>207.48</v>
      </c>
      <c r="BL880" s="2" t="s">
        <v>351</v>
      </c>
      <c r="BM880" s="7"/>
      <c r="BN880" s="7"/>
      <c r="BO880" s="4"/>
      <c r="BP880" s="8"/>
      <c r="BQ880" s="4"/>
      <c r="BR880" s="8"/>
      <c r="BS880" s="7"/>
      <c r="BT880" s="7"/>
      <c r="BU880" s="2" t="s">
        <v>4570</v>
      </c>
      <c r="BV880" s="2" t="s">
        <v>233</v>
      </c>
      <c r="BW880" s="2" t="s">
        <v>233</v>
      </c>
      <c r="BX880" s="2" t="s">
        <v>241</v>
      </c>
      <c r="BY880" s="2" t="s">
        <v>242</v>
      </c>
      <c r="BZ880" s="2" t="s">
        <v>230</v>
      </c>
      <c r="CA880" s="2" t="s">
        <v>3076</v>
      </c>
      <c r="CB880" s="2" t="s">
        <v>4572</v>
      </c>
      <c r="CC880" s="2" t="s">
        <v>245</v>
      </c>
      <c r="CD880" s="2" t="s">
        <v>233</v>
      </c>
      <c r="CE880" s="4"/>
      <c r="CF880" s="4">
        <v>360</v>
      </c>
      <c r="CG880" s="4"/>
      <c r="CH880" s="4">
        <v>1389</v>
      </c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>
        <v>1749</v>
      </c>
      <c r="GD880" s="4">
        <v>1661</v>
      </c>
      <c r="GE880" s="4">
        <v>1650</v>
      </c>
      <c r="GF880" s="4">
        <v>1638</v>
      </c>
      <c r="GG880" s="4">
        <v>1626</v>
      </c>
      <c r="GH880" s="4">
        <v>1614</v>
      </c>
      <c r="GI880" s="4">
        <v>1602</v>
      </c>
      <c r="GJ880" s="4">
        <v>1590</v>
      </c>
      <c r="GK880" s="4">
        <v>1579</v>
      </c>
      <c r="GL880" s="4">
        <v>1568</v>
      </c>
      <c r="GM880" s="4">
        <v>1557</v>
      </c>
      <c r="GN880" s="4">
        <v>1546</v>
      </c>
      <c r="GO880" s="4">
        <v>1536</v>
      </c>
      <c r="GP880" s="4">
        <v>1526</v>
      </c>
      <c r="GQ880" s="4">
        <v>1516</v>
      </c>
      <c r="GR880" s="4">
        <v>1506</v>
      </c>
      <c r="GS880" s="4">
        <v>1496</v>
      </c>
      <c r="GT880" s="4">
        <v>1486</v>
      </c>
      <c r="GU880" s="4">
        <v>1476</v>
      </c>
      <c r="GV880" s="4">
        <v>1466</v>
      </c>
      <c r="GW880" s="4">
        <v>1456</v>
      </c>
      <c r="GX880" s="4">
        <v>1446</v>
      </c>
      <c r="GY880" s="4">
        <v>1436</v>
      </c>
      <c r="GZ880" s="4">
        <v>1426</v>
      </c>
      <c r="HA880" s="4">
        <v>1415</v>
      </c>
      <c r="HB880" s="4">
        <v>1405</v>
      </c>
      <c r="HC880" s="19">
        <v>56.4</v>
      </c>
      <c r="HD880" s="19">
        <v>138.4</v>
      </c>
      <c r="HE880" s="19">
        <v>137.5</v>
      </c>
      <c r="HF880" s="19">
        <v>136.5</v>
      </c>
      <c r="HG880" s="19">
        <v>135.5</v>
      </c>
      <c r="HH880" s="19">
        <v>134.5</v>
      </c>
      <c r="HI880" s="19">
        <v>145.6</v>
      </c>
      <c r="HJ880" s="19">
        <v>144.5</v>
      </c>
      <c r="HK880" s="19">
        <v>143.5</v>
      </c>
      <c r="HL880" s="19">
        <v>156.8</v>
      </c>
      <c r="HM880" s="19">
        <v>155.7</v>
      </c>
      <c r="HN880" s="19">
        <v>154.6</v>
      </c>
      <c r="HO880" s="19">
        <v>153.6</v>
      </c>
      <c r="HP880" s="19">
        <v>152.6</v>
      </c>
      <c r="HQ880" s="19">
        <v>151.6</v>
      </c>
      <c r="HR880" s="19">
        <v>150.6</v>
      </c>
      <c r="HS880" s="19">
        <v>149.6</v>
      </c>
      <c r="HT880" s="19">
        <v>148.6</v>
      </c>
      <c r="HU880" s="19">
        <v>147.6</v>
      </c>
      <c r="HV880" s="19">
        <v>146.6</v>
      </c>
      <c r="HW880" s="19">
        <v>145.6</v>
      </c>
      <c r="HX880" s="19">
        <v>144.6</v>
      </c>
      <c r="HY880" s="19">
        <v>143.6</v>
      </c>
      <c r="HZ880" s="19">
        <v>142.6</v>
      </c>
      <c r="IA880" s="19">
        <v>141.5</v>
      </c>
      <c r="IB880" s="19">
        <v>140.5</v>
      </c>
    </row>
    <row r="881">
      <c r="A881" s="2" t="s">
        <v>4573</v>
      </c>
      <c r="B881" s="2" t="s">
        <v>847</v>
      </c>
      <c r="C881" s="2" t="s">
        <v>848</v>
      </c>
      <c r="D881" s="2" t="s">
        <v>849</v>
      </c>
      <c r="E881" s="2" t="s">
        <v>850</v>
      </c>
      <c r="F881" s="2" t="s">
        <v>1029</v>
      </c>
      <c r="G881" s="2" t="s">
        <v>1029</v>
      </c>
      <c r="H881" s="2" t="s">
        <v>1029</v>
      </c>
      <c r="I881" s="2" t="s">
        <v>4574</v>
      </c>
      <c r="J881" s="2" t="s">
        <v>3455</v>
      </c>
      <c r="K881" s="2" t="s">
        <v>4575</v>
      </c>
      <c r="L881" s="3">
        <v>11.19</v>
      </c>
      <c r="M881" s="3">
        <v>11.75</v>
      </c>
      <c r="N881" s="3">
        <v>21.99</v>
      </c>
      <c r="O881" s="2" t="s">
        <v>230</v>
      </c>
      <c r="P881" s="2" t="s">
        <v>597</v>
      </c>
      <c r="Q881" s="2" t="s">
        <v>232</v>
      </c>
      <c r="R881" s="2" t="s">
        <v>233</v>
      </c>
      <c r="S881" s="2" t="s">
        <v>233</v>
      </c>
      <c r="T881" s="2" t="s">
        <v>233</v>
      </c>
      <c r="U881" s="2" t="s">
        <v>329</v>
      </c>
      <c r="V881" s="2" t="s">
        <v>609</v>
      </c>
      <c r="W881" s="2" t="s">
        <v>237</v>
      </c>
      <c r="X881" s="2" t="s">
        <v>233</v>
      </c>
      <c r="Y881" s="2" t="s">
        <v>4576</v>
      </c>
      <c r="Z881" s="4">
        <v>1559</v>
      </c>
      <c r="AA881" s="4">
        <f>=ROUNDDOWN(236.212121212121,0)</f>
      </c>
      <c r="AB881" s="5">
        <v>6.6</v>
      </c>
      <c r="AC881" s="2" t="s">
        <v>233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233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233</v>
      </c>
      <c r="AW881" s="8" t="s">
        <v>233</v>
      </c>
      <c r="AX881" s="4" t="s">
        <v>233</v>
      </c>
      <c r="AY881" s="8" t="s">
        <v>233</v>
      </c>
      <c r="AZ881" s="7" t="s">
        <v>233</v>
      </c>
      <c r="BA881" s="7" t="s">
        <v>233</v>
      </c>
      <c r="BB881" s="7"/>
      <c r="BC881" s="4" t="s">
        <v>233</v>
      </c>
      <c r="BD881" s="8" t="s">
        <v>233</v>
      </c>
      <c r="BE881" s="4" t="s">
        <v>233</v>
      </c>
      <c r="BF881" s="8" t="s">
        <v>233</v>
      </c>
      <c r="BG881" s="7" t="s">
        <v>233</v>
      </c>
      <c r="BH881" s="7" t="s">
        <v>233</v>
      </c>
      <c r="BI881" s="7"/>
      <c r="BJ881" s="4">
        <v>41</v>
      </c>
      <c r="BK881" s="8">
        <v>527.67</v>
      </c>
      <c r="BL881" s="2" t="s">
        <v>1996</v>
      </c>
      <c r="BM881" s="7"/>
      <c r="BN881" s="7"/>
      <c r="BO881" s="4"/>
      <c r="BP881" s="8"/>
      <c r="BQ881" s="4"/>
      <c r="BR881" s="8"/>
      <c r="BS881" s="7"/>
      <c r="BT881" s="7"/>
      <c r="BU881" s="2" t="s">
        <v>4577</v>
      </c>
      <c r="BV881" s="2" t="s">
        <v>233</v>
      </c>
      <c r="BW881" s="2" t="s">
        <v>233</v>
      </c>
      <c r="BX881" s="2" t="s">
        <v>241</v>
      </c>
      <c r="BY881" s="2" t="s">
        <v>242</v>
      </c>
      <c r="BZ881" s="2" t="s">
        <v>230</v>
      </c>
      <c r="CA881" s="2" t="s">
        <v>3076</v>
      </c>
      <c r="CB881" s="2" t="s">
        <v>3077</v>
      </c>
      <c r="CC881" s="2" t="s">
        <v>245</v>
      </c>
      <c r="CD881" s="2" t="s">
        <v>233</v>
      </c>
      <c r="CE881" s="4"/>
      <c r="CF881" s="4">
        <v>276</v>
      </c>
      <c r="CG881" s="4"/>
      <c r="CH881" s="4">
        <v>1283</v>
      </c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>
        <v>1560</v>
      </c>
      <c r="GD881" s="4">
        <v>1475</v>
      </c>
      <c r="GE881" s="4">
        <v>1467</v>
      </c>
      <c r="GF881" s="4">
        <v>1459</v>
      </c>
      <c r="GG881" s="4">
        <v>1451</v>
      </c>
      <c r="GH881" s="4">
        <v>1443</v>
      </c>
      <c r="GI881" s="4">
        <v>1435</v>
      </c>
      <c r="GJ881" s="4">
        <v>1427</v>
      </c>
      <c r="GK881" s="4">
        <v>1419</v>
      </c>
      <c r="GL881" s="4">
        <v>1411</v>
      </c>
      <c r="GM881" s="4">
        <v>1403</v>
      </c>
      <c r="GN881" s="4">
        <v>1395</v>
      </c>
      <c r="GO881" s="4">
        <v>1388</v>
      </c>
      <c r="GP881" s="4">
        <v>1381</v>
      </c>
      <c r="GQ881" s="4">
        <v>1374</v>
      </c>
      <c r="GR881" s="4">
        <v>1367</v>
      </c>
      <c r="GS881" s="4">
        <v>1360</v>
      </c>
      <c r="GT881" s="4">
        <v>1353</v>
      </c>
      <c r="GU881" s="4">
        <v>1346</v>
      </c>
      <c r="GV881" s="4">
        <v>1339</v>
      </c>
      <c r="GW881" s="4">
        <v>1332</v>
      </c>
      <c r="GX881" s="4">
        <v>1325</v>
      </c>
      <c r="GY881" s="4">
        <v>1318</v>
      </c>
      <c r="GZ881" s="4">
        <v>1311</v>
      </c>
      <c r="HA881" s="4">
        <v>1303</v>
      </c>
      <c r="HB881" s="4">
        <v>1296</v>
      </c>
      <c r="HC881" s="19">
        <v>57.8</v>
      </c>
      <c r="HD881" s="19">
        <v>184.4</v>
      </c>
      <c r="HE881" s="19">
        <v>183.4</v>
      </c>
      <c r="HF881" s="19">
        <v>182.4</v>
      </c>
      <c r="HG881" s="19">
        <v>181.4</v>
      </c>
      <c r="HH881" s="19">
        <v>180.4</v>
      </c>
      <c r="HI881" s="19">
        <v>179.4</v>
      </c>
      <c r="HJ881" s="19">
        <v>178.4</v>
      </c>
      <c r="HK881" s="19">
        <v>177.4</v>
      </c>
      <c r="HL881" s="19">
        <v>176.4</v>
      </c>
      <c r="HM881" s="19">
        <v>200.4</v>
      </c>
      <c r="HN881" s="19">
        <v>199.3</v>
      </c>
      <c r="HO881" s="19">
        <v>198.3</v>
      </c>
      <c r="HP881" s="19">
        <v>197.3</v>
      </c>
      <c r="HQ881" s="19">
        <v>196.3</v>
      </c>
      <c r="HR881" s="19">
        <v>195.3</v>
      </c>
      <c r="HS881" s="19">
        <v>194.3</v>
      </c>
      <c r="HT881" s="19">
        <v>193.3</v>
      </c>
      <c r="HU881" s="19">
        <v>192.3</v>
      </c>
      <c r="HV881" s="19">
        <v>191.3</v>
      </c>
      <c r="HW881" s="19">
        <v>190.3</v>
      </c>
      <c r="HX881" s="19">
        <v>189.3</v>
      </c>
      <c r="HY881" s="19">
        <v>188.3</v>
      </c>
      <c r="HZ881" s="19">
        <v>187.3</v>
      </c>
      <c r="IA881" s="19">
        <v>186.1</v>
      </c>
      <c r="IB881" s="19">
        <v>185.1</v>
      </c>
    </row>
    <row r="882">
      <c r="A882" s="2" t="s">
        <v>4578</v>
      </c>
      <c r="B882" s="2" t="s">
        <v>847</v>
      </c>
      <c r="C882" s="2" t="s">
        <v>848</v>
      </c>
      <c r="D882" s="2" t="s">
        <v>849</v>
      </c>
      <c r="E882" s="2" t="s">
        <v>850</v>
      </c>
      <c r="F882" s="2" t="s">
        <v>1029</v>
      </c>
      <c r="G882" s="2" t="s">
        <v>1029</v>
      </c>
      <c r="H882" s="2" t="s">
        <v>1029</v>
      </c>
      <c r="I882" s="2" t="s">
        <v>4574</v>
      </c>
      <c r="J882" s="2" t="s">
        <v>860</v>
      </c>
      <c r="K882" s="2" t="s">
        <v>4575</v>
      </c>
      <c r="L882" s="3">
        <v>13.49</v>
      </c>
      <c r="M882" s="3">
        <v>14.16</v>
      </c>
      <c r="N882" s="3">
        <v>24.99</v>
      </c>
      <c r="O882" s="2" t="s">
        <v>230</v>
      </c>
      <c r="P882" s="2" t="s">
        <v>597</v>
      </c>
      <c r="Q882" s="2" t="s">
        <v>232</v>
      </c>
      <c r="R882" s="2" t="s">
        <v>233</v>
      </c>
      <c r="S882" s="2" t="s">
        <v>233</v>
      </c>
      <c r="T882" s="2" t="s">
        <v>233</v>
      </c>
      <c r="U882" s="2" t="s">
        <v>329</v>
      </c>
      <c r="V882" s="2" t="s">
        <v>609</v>
      </c>
      <c r="W882" s="2" t="s">
        <v>237</v>
      </c>
      <c r="X882" s="2" t="s">
        <v>233</v>
      </c>
      <c r="Y882" s="2" t="s">
        <v>4576</v>
      </c>
      <c r="Z882" s="4">
        <v>1227</v>
      </c>
      <c r="AA882" s="4">
        <f>=ROUNDDOWN(49.08,0)</f>
      </c>
      <c r="AB882" s="5">
        <v>25</v>
      </c>
      <c r="AC882" s="2" t="s">
        <v>233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233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233</v>
      </c>
      <c r="AW882" s="8" t="s">
        <v>233</v>
      </c>
      <c r="AX882" s="4" t="s">
        <v>233</v>
      </c>
      <c r="AY882" s="8" t="s">
        <v>233</v>
      </c>
      <c r="AZ882" s="7" t="s">
        <v>233</v>
      </c>
      <c r="BA882" s="7" t="s">
        <v>233</v>
      </c>
      <c r="BB882" s="7"/>
      <c r="BC882" s="4" t="s">
        <v>233</v>
      </c>
      <c r="BD882" s="8" t="s">
        <v>233</v>
      </c>
      <c r="BE882" s="4" t="s">
        <v>233</v>
      </c>
      <c r="BF882" s="8" t="s">
        <v>233</v>
      </c>
      <c r="BG882" s="7" t="s">
        <v>233</v>
      </c>
      <c r="BH882" s="7" t="s">
        <v>233</v>
      </c>
      <c r="BI882" s="7"/>
      <c r="BJ882" s="4">
        <v>2</v>
      </c>
      <c r="BK882" s="8">
        <v>31.02</v>
      </c>
      <c r="BL882" s="2" t="s">
        <v>1996</v>
      </c>
      <c r="BM882" s="7"/>
      <c r="BN882" s="7"/>
      <c r="BO882" s="4"/>
      <c r="BP882" s="8"/>
      <c r="BQ882" s="4"/>
      <c r="BR882" s="8"/>
      <c r="BS882" s="7"/>
      <c r="BT882" s="7"/>
      <c r="BU882" s="2" t="s">
        <v>4577</v>
      </c>
      <c r="BV882" s="2" t="s">
        <v>233</v>
      </c>
      <c r="BW882" s="2" t="s">
        <v>233</v>
      </c>
      <c r="BX882" s="2" t="s">
        <v>241</v>
      </c>
      <c r="BY882" s="2" t="s">
        <v>242</v>
      </c>
      <c r="BZ882" s="2" t="s">
        <v>230</v>
      </c>
      <c r="CA882" s="2" t="s">
        <v>3076</v>
      </c>
      <c r="CB882" s="2" t="s">
        <v>1474</v>
      </c>
      <c r="CC882" s="2" t="s">
        <v>245</v>
      </c>
      <c r="CD882" s="2" t="s">
        <v>233</v>
      </c>
      <c r="CE882" s="4"/>
      <c r="CF882" s="4">
        <v>2</v>
      </c>
      <c r="CG882" s="4"/>
      <c r="CH882" s="4">
        <v>1225</v>
      </c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>
        <v>1227</v>
      </c>
      <c r="GD882" s="4">
        <v>1062</v>
      </c>
      <c r="GE882" s="4">
        <v>1034</v>
      </c>
      <c r="GF882" s="4">
        <v>1004</v>
      </c>
      <c r="GG882" s="4">
        <v>974</v>
      </c>
      <c r="GH882" s="4">
        <v>944</v>
      </c>
      <c r="GI882" s="4">
        <v>914</v>
      </c>
      <c r="GJ882" s="4">
        <v>884</v>
      </c>
      <c r="GK882" s="4">
        <v>856</v>
      </c>
      <c r="GL882" s="4">
        <v>828</v>
      </c>
      <c r="GM882" s="4">
        <v>800</v>
      </c>
      <c r="GN882" s="4">
        <v>772</v>
      </c>
      <c r="GO882" s="4">
        <v>747</v>
      </c>
      <c r="GP882" s="4">
        <v>722</v>
      </c>
      <c r="GQ882" s="4">
        <v>697</v>
      </c>
      <c r="GR882" s="4">
        <v>672</v>
      </c>
      <c r="GS882" s="4">
        <v>647</v>
      </c>
      <c r="GT882" s="4">
        <v>622</v>
      </c>
      <c r="GU882" s="4">
        <v>597</v>
      </c>
      <c r="GV882" s="4">
        <v>572</v>
      </c>
      <c r="GW882" s="4">
        <v>547</v>
      </c>
      <c r="GX882" s="4">
        <v>522</v>
      </c>
      <c r="GY882" s="4">
        <v>497</v>
      </c>
      <c r="GZ882" s="4">
        <v>472</v>
      </c>
      <c r="HA882" s="4">
        <v>444</v>
      </c>
      <c r="HB882" s="4">
        <v>419</v>
      </c>
      <c r="HC882" s="19">
        <v>19.5</v>
      </c>
      <c r="HD882" s="19">
        <v>35.4</v>
      </c>
      <c r="HE882" s="19">
        <v>34.5</v>
      </c>
      <c r="HF882" s="19">
        <v>33.5</v>
      </c>
      <c r="HG882" s="19">
        <v>32.5</v>
      </c>
      <c r="HH882" s="19">
        <v>32.6</v>
      </c>
      <c r="HI882" s="19">
        <v>32.6</v>
      </c>
      <c r="HJ882" s="19">
        <v>31.6</v>
      </c>
      <c r="HK882" s="19">
        <v>31.7</v>
      </c>
      <c r="HL882" s="19">
        <v>31.8</v>
      </c>
      <c r="HM882" s="19">
        <v>30.8</v>
      </c>
      <c r="HN882" s="19">
        <v>30.9</v>
      </c>
      <c r="HO882" s="19">
        <v>29.9</v>
      </c>
      <c r="HP882" s="19">
        <v>28.9</v>
      </c>
      <c r="HQ882" s="19">
        <v>27.9</v>
      </c>
      <c r="HR882" s="19">
        <v>26.9</v>
      </c>
      <c r="HS882" s="19">
        <v>25.9</v>
      </c>
      <c r="HT882" s="19">
        <v>24.9</v>
      </c>
      <c r="HU882" s="19">
        <v>23.9</v>
      </c>
      <c r="HV882" s="19">
        <v>22.9</v>
      </c>
      <c r="HW882" s="19">
        <v>21</v>
      </c>
      <c r="HX882" s="19">
        <v>20.1</v>
      </c>
      <c r="HY882" s="19">
        <v>19.1</v>
      </c>
      <c r="HZ882" s="19">
        <v>18.2</v>
      </c>
      <c r="IA882" s="19">
        <v>17.8</v>
      </c>
      <c r="IB882" s="19">
        <v>16.1</v>
      </c>
    </row>
    <row r="883">
      <c r="A883" s="2" t="s">
        <v>4579</v>
      </c>
      <c r="B883" s="2" t="s">
        <v>847</v>
      </c>
      <c r="C883" s="2" t="s">
        <v>848</v>
      </c>
      <c r="D883" s="2" t="s">
        <v>849</v>
      </c>
      <c r="E883" s="2" t="s">
        <v>850</v>
      </c>
      <c r="F883" s="2" t="s">
        <v>1029</v>
      </c>
      <c r="G883" s="2" t="s">
        <v>1029</v>
      </c>
      <c r="H883" s="2" t="s">
        <v>1029</v>
      </c>
      <c r="I883" s="2" t="s">
        <v>4574</v>
      </c>
      <c r="J883" s="2" t="s">
        <v>867</v>
      </c>
      <c r="K883" s="2" t="s">
        <v>4575</v>
      </c>
      <c r="L883" s="3">
        <v>20.9</v>
      </c>
      <c r="M883" s="3">
        <v>21.95</v>
      </c>
      <c r="N883" s="3">
        <v>29.99</v>
      </c>
      <c r="O883" s="2" t="s">
        <v>230</v>
      </c>
      <c r="P883" s="2" t="s">
        <v>597</v>
      </c>
      <c r="Q883" s="2" t="s">
        <v>232</v>
      </c>
      <c r="R883" s="2" t="s">
        <v>233</v>
      </c>
      <c r="S883" s="2" t="s">
        <v>233</v>
      </c>
      <c r="T883" s="2" t="s">
        <v>233</v>
      </c>
      <c r="U883" s="2" t="s">
        <v>329</v>
      </c>
      <c r="V883" s="2" t="s">
        <v>609</v>
      </c>
      <c r="W883" s="2" t="s">
        <v>237</v>
      </c>
      <c r="X883" s="2" t="s">
        <v>233</v>
      </c>
      <c r="Y883" s="2" t="s">
        <v>4576</v>
      </c>
      <c r="Z883" s="4">
        <v>1314</v>
      </c>
      <c r="AA883" s="4">
        <f>=ROUNDDOWN(52.56,0)</f>
      </c>
      <c r="AB883" s="5">
        <v>25</v>
      </c>
      <c r="AC883" s="2" t="s">
        <v>233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233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233</v>
      </c>
      <c r="AW883" s="8" t="s">
        <v>233</v>
      </c>
      <c r="AX883" s="4" t="s">
        <v>233</v>
      </c>
      <c r="AY883" s="8" t="s">
        <v>233</v>
      </c>
      <c r="AZ883" s="7" t="s">
        <v>233</v>
      </c>
      <c r="BA883" s="7" t="s">
        <v>233</v>
      </c>
      <c r="BB883" s="7"/>
      <c r="BC883" s="4" t="s">
        <v>233</v>
      </c>
      <c r="BD883" s="8" t="s">
        <v>233</v>
      </c>
      <c r="BE883" s="4" t="s">
        <v>233</v>
      </c>
      <c r="BF883" s="8" t="s">
        <v>233</v>
      </c>
      <c r="BG883" s="7" t="s">
        <v>233</v>
      </c>
      <c r="BH883" s="7" t="s">
        <v>233</v>
      </c>
      <c r="BI883" s="7"/>
      <c r="BJ883" s="4"/>
      <c r="BK883" s="8"/>
      <c r="BL883" s="2" t="s">
        <v>233</v>
      </c>
      <c r="BM883" s="7"/>
      <c r="BN883" s="7"/>
      <c r="BO883" s="4"/>
      <c r="BP883" s="8"/>
      <c r="BQ883" s="4"/>
      <c r="BR883" s="8"/>
      <c r="BS883" s="7"/>
      <c r="BT883" s="7"/>
      <c r="BU883" s="2" t="s">
        <v>4577</v>
      </c>
      <c r="BV883" s="2" t="s">
        <v>233</v>
      </c>
      <c r="BW883" s="2" t="s">
        <v>233</v>
      </c>
      <c r="BX883" s="2" t="s">
        <v>241</v>
      </c>
      <c r="BY883" s="2" t="s">
        <v>242</v>
      </c>
      <c r="BZ883" s="2" t="s">
        <v>230</v>
      </c>
      <c r="CA883" s="2" t="s">
        <v>3076</v>
      </c>
      <c r="CB883" s="2" t="s">
        <v>4052</v>
      </c>
      <c r="CC883" s="2" t="s">
        <v>245</v>
      </c>
      <c r="CD883" s="2" t="s">
        <v>233</v>
      </c>
      <c r="CE883" s="4"/>
      <c r="CF883" s="4">
        <v>11</v>
      </c>
      <c r="CG883" s="4"/>
      <c r="CH883" s="4">
        <v>1303</v>
      </c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>
        <v>1314</v>
      </c>
      <c r="GD883" s="4">
        <v>1139</v>
      </c>
      <c r="GE883" s="4">
        <v>1111</v>
      </c>
      <c r="GF883" s="4">
        <v>1081</v>
      </c>
      <c r="GG883" s="4">
        <v>1051</v>
      </c>
      <c r="GH883" s="4">
        <v>1021</v>
      </c>
      <c r="GI883" s="4">
        <v>991</v>
      </c>
      <c r="GJ883" s="4">
        <v>961</v>
      </c>
      <c r="GK883" s="4">
        <v>933</v>
      </c>
      <c r="GL883" s="4">
        <v>905</v>
      </c>
      <c r="GM883" s="4">
        <v>877</v>
      </c>
      <c r="GN883" s="4">
        <v>849</v>
      </c>
      <c r="GO883" s="4">
        <v>824</v>
      </c>
      <c r="GP883" s="4">
        <v>799</v>
      </c>
      <c r="GQ883" s="4">
        <v>774</v>
      </c>
      <c r="GR883" s="4">
        <v>749</v>
      </c>
      <c r="GS883" s="4">
        <v>724</v>
      </c>
      <c r="GT883" s="4">
        <v>699</v>
      </c>
      <c r="GU883" s="4">
        <v>674</v>
      </c>
      <c r="GV883" s="4">
        <v>649</v>
      </c>
      <c r="GW883" s="4">
        <v>624</v>
      </c>
      <c r="GX883" s="4">
        <v>599</v>
      </c>
      <c r="GY883" s="4">
        <v>574</v>
      </c>
      <c r="GZ883" s="4">
        <v>549</v>
      </c>
      <c r="HA883" s="4">
        <v>521</v>
      </c>
      <c r="HB883" s="4">
        <v>496</v>
      </c>
      <c r="HC883" s="19">
        <v>19.9</v>
      </c>
      <c r="HD883" s="19">
        <v>38</v>
      </c>
      <c r="HE883" s="19">
        <v>37</v>
      </c>
      <c r="HF883" s="19">
        <v>36</v>
      </c>
      <c r="HG883" s="19">
        <v>35</v>
      </c>
      <c r="HH883" s="19">
        <v>35.2</v>
      </c>
      <c r="HI883" s="19">
        <v>35.4</v>
      </c>
      <c r="HJ883" s="19">
        <v>34.3</v>
      </c>
      <c r="HK883" s="19">
        <v>34.6</v>
      </c>
      <c r="HL883" s="19">
        <v>34.8</v>
      </c>
      <c r="HM883" s="19">
        <v>33.7</v>
      </c>
      <c r="HN883" s="19">
        <v>34</v>
      </c>
      <c r="HO883" s="19">
        <v>33</v>
      </c>
      <c r="HP883" s="19">
        <v>32</v>
      </c>
      <c r="HQ883" s="19">
        <v>31</v>
      </c>
      <c r="HR883" s="19">
        <v>30</v>
      </c>
      <c r="HS883" s="19">
        <v>29</v>
      </c>
      <c r="HT883" s="19">
        <v>28</v>
      </c>
      <c r="HU883" s="19">
        <v>27</v>
      </c>
      <c r="HV883" s="19">
        <v>26</v>
      </c>
      <c r="HW883" s="19">
        <v>24</v>
      </c>
      <c r="HX883" s="19">
        <v>23</v>
      </c>
      <c r="HY883" s="19">
        <v>22.1</v>
      </c>
      <c r="HZ883" s="19">
        <v>21.1</v>
      </c>
      <c r="IA883" s="19">
        <v>20.8</v>
      </c>
      <c r="IB883" s="19">
        <v>19.1</v>
      </c>
    </row>
    <row r="884">
      <c r="A884" s="2" t="s">
        <v>4580</v>
      </c>
      <c r="B884" s="2" t="s">
        <v>279</v>
      </c>
      <c r="C884" s="2" t="s">
        <v>1411</v>
      </c>
      <c r="D884" s="2" t="s">
        <v>281</v>
      </c>
      <c r="E884" s="2" t="s">
        <v>282</v>
      </c>
      <c r="F884" s="2" t="s">
        <v>2311</v>
      </c>
      <c r="G884" s="2" t="s">
        <v>2311</v>
      </c>
      <c r="H884" s="2" t="s">
        <v>2311</v>
      </c>
      <c r="I884" s="2" t="s">
        <v>4581</v>
      </c>
      <c r="J884" s="2" t="s">
        <v>228</v>
      </c>
      <c r="K884" s="2" t="s">
        <v>4582</v>
      </c>
      <c r="L884" s="3">
        <v>12.6</v>
      </c>
      <c r="M884" s="3">
        <v>13.23</v>
      </c>
      <c r="N884" s="3">
        <v>27.99</v>
      </c>
      <c r="O884" s="2" t="s">
        <v>230</v>
      </c>
      <c r="P884" s="2" t="s">
        <v>231</v>
      </c>
      <c r="Q884" s="2" t="s">
        <v>232</v>
      </c>
      <c r="R884" s="2" t="s">
        <v>233</v>
      </c>
      <c r="S884" s="2" t="s">
        <v>4583</v>
      </c>
      <c r="T884" s="2" t="s">
        <v>469</v>
      </c>
      <c r="U884" s="2" t="s">
        <v>233</v>
      </c>
      <c r="V884" s="2" t="s">
        <v>2311</v>
      </c>
      <c r="W884" s="2" t="s">
        <v>237</v>
      </c>
      <c r="X884" s="2" t="s">
        <v>233</v>
      </c>
      <c r="Y884" s="2" t="s">
        <v>4584</v>
      </c>
      <c r="Z884" s="4"/>
      <c r="AA884" s="4">
        <f>=ROUNDDOWN({0},0)</f>
      </c>
      <c r="AB884" s="5">
        <v>7.9</v>
      </c>
      <c r="AC884" s="2" t="s">
        <v>168</v>
      </c>
      <c r="AD884" s="4">
        <v>150</v>
      </c>
      <c r="AE884" s="4">
        <v>150</v>
      </c>
      <c r="AF884" s="6">
        <v>65</v>
      </c>
      <c r="AG884" s="6"/>
      <c r="AH884" s="7">
        <v>0.6452</v>
      </c>
      <c r="AI884" s="4"/>
      <c r="AJ884" s="4">
        <f>=ROUNDDOWN({0},0)</f>
      </c>
      <c r="AK884" s="5"/>
      <c r="AL884" s="2" t="s">
        <v>233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233</v>
      </c>
      <c r="AW884" s="8" t="s">
        <v>233</v>
      </c>
      <c r="AX884" s="4" t="s">
        <v>233</v>
      </c>
      <c r="AY884" s="8" t="s">
        <v>233</v>
      </c>
      <c r="AZ884" s="7" t="s">
        <v>233</v>
      </c>
      <c r="BA884" s="7" t="s">
        <v>233</v>
      </c>
      <c r="BB884" s="7"/>
      <c r="BC884" s="4" t="s">
        <v>233</v>
      </c>
      <c r="BD884" s="8" t="s">
        <v>233</v>
      </c>
      <c r="BE884" s="4" t="s">
        <v>233</v>
      </c>
      <c r="BF884" s="8" t="s">
        <v>233</v>
      </c>
      <c r="BG884" s="7" t="s">
        <v>233</v>
      </c>
      <c r="BH884" s="7" t="s">
        <v>233</v>
      </c>
      <c r="BI884" s="7"/>
      <c r="BJ884" s="4">
        <v>30</v>
      </c>
      <c r="BK884" s="8">
        <v>425.46</v>
      </c>
      <c r="BL884" s="2" t="s">
        <v>4377</v>
      </c>
      <c r="BM884" s="7"/>
      <c r="BN884" s="7"/>
      <c r="BO884" s="4"/>
      <c r="BP884" s="8"/>
      <c r="BQ884" s="4"/>
      <c r="BR884" s="8"/>
      <c r="BS884" s="7"/>
      <c r="BT884" s="7"/>
      <c r="BU884" s="2" t="s">
        <v>4585</v>
      </c>
      <c r="BV884" s="2" t="s">
        <v>233</v>
      </c>
      <c r="BW884" s="2" t="s">
        <v>233</v>
      </c>
      <c r="BX884" s="2" t="s">
        <v>241</v>
      </c>
      <c r="BY884" s="2" t="s">
        <v>242</v>
      </c>
      <c r="BZ884" s="2" t="s">
        <v>230</v>
      </c>
      <c r="CA884" s="2" t="s">
        <v>4178</v>
      </c>
      <c r="CB884" s="2" t="s">
        <v>4586</v>
      </c>
      <c r="CC884" s="2" t="s">
        <v>245</v>
      </c>
      <c r="CD884" s="2" t="s">
        <v>233</v>
      </c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>
        <v>150</v>
      </c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>
        <v>1</v>
      </c>
      <c r="GD884" s="4"/>
      <c r="GE884" s="4"/>
      <c r="GF884" s="4"/>
      <c r="GG884" s="4"/>
      <c r="GH884" s="4"/>
      <c r="GI884" s="4"/>
      <c r="GJ884" s="4">
        <v>150</v>
      </c>
      <c r="GK884" s="4">
        <v>140</v>
      </c>
      <c r="GL884" s="4">
        <v>135</v>
      </c>
      <c r="GM884" s="4">
        <v>127</v>
      </c>
      <c r="GN884" s="4">
        <v>119</v>
      </c>
      <c r="GO884" s="4">
        <v>111</v>
      </c>
      <c r="GP884" s="4">
        <v>103</v>
      </c>
      <c r="GQ884" s="4">
        <v>96</v>
      </c>
      <c r="GR884" s="4">
        <v>89</v>
      </c>
      <c r="GS884" s="4">
        <v>82</v>
      </c>
      <c r="GT884" s="4">
        <v>75</v>
      </c>
      <c r="GU884" s="4">
        <v>68</v>
      </c>
      <c r="GV884" s="4">
        <v>60</v>
      </c>
      <c r="GW884" s="4">
        <v>52</v>
      </c>
      <c r="GX884" s="4">
        <v>44</v>
      </c>
      <c r="GY884" s="4">
        <v>36</v>
      </c>
      <c r="GZ884" s="4">
        <v>28</v>
      </c>
      <c r="HA884" s="4">
        <v>20</v>
      </c>
      <c r="HB884" s="4">
        <v>94</v>
      </c>
      <c r="HC884" s="19">
        <v>0.1</v>
      </c>
      <c r="HD884" s="20">
        <v>0</v>
      </c>
      <c r="HE884" s="20">
        <v>0</v>
      </c>
      <c r="HF884" s="20">
        <v>0</v>
      </c>
      <c r="HG884" s="20">
        <v>0</v>
      </c>
      <c r="HH884" s="20">
        <v>0</v>
      </c>
      <c r="HI884" s="20">
        <v>0</v>
      </c>
      <c r="HJ884" s="19">
        <v>18.8</v>
      </c>
      <c r="HK884" s="19">
        <v>20</v>
      </c>
      <c r="HL884" s="19">
        <v>16.9</v>
      </c>
      <c r="HM884" s="19">
        <v>15.9</v>
      </c>
      <c r="HN884" s="19">
        <v>14.9</v>
      </c>
      <c r="HO884" s="19">
        <v>15.9</v>
      </c>
      <c r="HP884" s="19">
        <v>14.7</v>
      </c>
      <c r="HQ884" s="19">
        <v>13.7</v>
      </c>
      <c r="HR884" s="19">
        <v>12.7</v>
      </c>
      <c r="HS884" s="19">
        <v>10.3</v>
      </c>
      <c r="HT884" s="19">
        <v>9.4</v>
      </c>
      <c r="HU884" s="19">
        <v>8.5</v>
      </c>
      <c r="HV884" s="19">
        <v>7.5</v>
      </c>
      <c r="HW884" s="19">
        <v>6.5</v>
      </c>
      <c r="HX884" s="19">
        <v>5.5</v>
      </c>
      <c r="HY884" s="19">
        <v>4.5</v>
      </c>
      <c r="HZ884" s="19">
        <v>3.5</v>
      </c>
      <c r="IA884" s="19">
        <v>2.5</v>
      </c>
      <c r="IB884" s="19">
        <v>11.8</v>
      </c>
    </row>
    <row r="885">
      <c r="A885" s="2" t="s">
        <v>4587</v>
      </c>
      <c r="B885" s="2" t="s">
        <v>279</v>
      </c>
      <c r="C885" s="2" t="s">
        <v>1411</v>
      </c>
      <c r="D885" s="2" t="s">
        <v>281</v>
      </c>
      <c r="E885" s="2" t="s">
        <v>282</v>
      </c>
      <c r="F885" s="2" t="s">
        <v>2311</v>
      </c>
      <c r="G885" s="2" t="s">
        <v>2311</v>
      </c>
      <c r="H885" s="2" t="s">
        <v>2311</v>
      </c>
      <c r="I885" s="2" t="s">
        <v>4581</v>
      </c>
      <c r="J885" s="2" t="s">
        <v>4588</v>
      </c>
      <c r="K885" s="2" t="s">
        <v>4582</v>
      </c>
      <c r="L885" s="3">
        <v>12.6</v>
      </c>
      <c r="M885" s="3">
        <v>13.23</v>
      </c>
      <c r="N885" s="3">
        <v>27.99</v>
      </c>
      <c r="O885" s="2" t="s">
        <v>230</v>
      </c>
      <c r="P885" s="2" t="s">
        <v>231</v>
      </c>
      <c r="Q885" s="2" t="s">
        <v>232</v>
      </c>
      <c r="R885" s="2" t="s">
        <v>233</v>
      </c>
      <c r="S885" s="2" t="s">
        <v>4583</v>
      </c>
      <c r="T885" s="2" t="s">
        <v>469</v>
      </c>
      <c r="U885" s="2" t="s">
        <v>233</v>
      </c>
      <c r="V885" s="2" t="s">
        <v>2311</v>
      </c>
      <c r="W885" s="2" t="s">
        <v>237</v>
      </c>
      <c r="X885" s="2" t="s">
        <v>233</v>
      </c>
      <c r="Y885" s="2" t="s">
        <v>4584</v>
      </c>
      <c r="Z885" s="4">
        <v>26</v>
      </c>
      <c r="AA885" s="4">
        <f>=ROUNDDOWN(5.2,0)</f>
      </c>
      <c r="AB885" s="5">
        <v>5</v>
      </c>
      <c r="AC885" s="2" t="s">
        <v>168</v>
      </c>
      <c r="AD885" s="4">
        <v>150</v>
      </c>
      <c r="AE885" s="4">
        <v>150</v>
      </c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233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233</v>
      </c>
      <c r="AW885" s="8" t="s">
        <v>233</v>
      </c>
      <c r="AX885" s="4" t="s">
        <v>233</v>
      </c>
      <c r="AY885" s="8" t="s">
        <v>233</v>
      </c>
      <c r="AZ885" s="7" t="s">
        <v>233</v>
      </c>
      <c r="BA885" s="7" t="s">
        <v>233</v>
      </c>
      <c r="BB885" s="7"/>
      <c r="BC885" s="4" t="s">
        <v>233</v>
      </c>
      <c r="BD885" s="8" t="s">
        <v>233</v>
      </c>
      <c r="BE885" s="4" t="s">
        <v>233</v>
      </c>
      <c r="BF885" s="8" t="s">
        <v>233</v>
      </c>
      <c r="BG885" s="7" t="s">
        <v>233</v>
      </c>
      <c r="BH885" s="7" t="s">
        <v>233</v>
      </c>
      <c r="BI885" s="7"/>
      <c r="BJ885" s="4">
        <v>34</v>
      </c>
      <c r="BK885" s="8">
        <v>481.94</v>
      </c>
      <c r="BL885" s="2" t="s">
        <v>1060</v>
      </c>
      <c r="BM885" s="7"/>
      <c r="BN885" s="7"/>
      <c r="BO885" s="4"/>
      <c r="BP885" s="8"/>
      <c r="BQ885" s="4"/>
      <c r="BR885" s="8"/>
      <c r="BS885" s="7"/>
      <c r="BT885" s="7"/>
      <c r="BU885" s="2" t="s">
        <v>4585</v>
      </c>
      <c r="BV885" s="2" t="s">
        <v>233</v>
      </c>
      <c r="BW885" s="2" t="s">
        <v>233</v>
      </c>
      <c r="BX885" s="2" t="s">
        <v>241</v>
      </c>
      <c r="BY885" s="2" t="s">
        <v>242</v>
      </c>
      <c r="BZ885" s="2" t="s">
        <v>230</v>
      </c>
      <c r="CA885" s="2" t="s">
        <v>4178</v>
      </c>
      <c r="CB885" s="2" t="s">
        <v>3283</v>
      </c>
      <c r="CC885" s="2" t="s">
        <v>245</v>
      </c>
      <c r="CD885" s="2" t="s">
        <v>233</v>
      </c>
      <c r="CE885" s="4">
        <v>26</v>
      </c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>
        <v>150</v>
      </c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>
        <v>31</v>
      </c>
      <c r="GD885" s="4">
        <v>27</v>
      </c>
      <c r="GE885" s="4">
        <v>22</v>
      </c>
      <c r="GF885" s="4">
        <v>16</v>
      </c>
      <c r="GG885" s="4">
        <v>8</v>
      </c>
      <c r="GH885" s="4">
        <v>1</v>
      </c>
      <c r="GI885" s="4"/>
      <c r="GJ885" s="4">
        <v>150</v>
      </c>
      <c r="GK885" s="4">
        <v>140</v>
      </c>
      <c r="GL885" s="4">
        <v>136</v>
      </c>
      <c r="GM885" s="4">
        <v>132</v>
      </c>
      <c r="GN885" s="4">
        <v>128</v>
      </c>
      <c r="GO885" s="4">
        <v>124</v>
      </c>
      <c r="GP885" s="4">
        <v>120</v>
      </c>
      <c r="GQ885" s="4">
        <v>116</v>
      </c>
      <c r="GR885" s="4">
        <v>112</v>
      </c>
      <c r="GS885" s="4">
        <v>108</v>
      </c>
      <c r="GT885" s="4">
        <v>104</v>
      </c>
      <c r="GU885" s="4">
        <v>100</v>
      </c>
      <c r="GV885" s="4">
        <v>96</v>
      </c>
      <c r="GW885" s="4">
        <v>92</v>
      </c>
      <c r="GX885" s="4">
        <v>88</v>
      </c>
      <c r="GY885" s="4">
        <v>83</v>
      </c>
      <c r="GZ885" s="4">
        <v>78</v>
      </c>
      <c r="HA885" s="4">
        <v>73</v>
      </c>
      <c r="HB885" s="4">
        <v>68</v>
      </c>
      <c r="HC885" s="19">
        <v>5.2</v>
      </c>
      <c r="HD885" s="19">
        <v>4.5</v>
      </c>
      <c r="HE885" s="19">
        <v>3.7</v>
      </c>
      <c r="HF885" s="19">
        <v>2.7</v>
      </c>
      <c r="HG885" s="19">
        <v>1.1</v>
      </c>
      <c r="HH885" s="19">
        <v>0.2</v>
      </c>
      <c r="HI885" s="20">
        <v>0</v>
      </c>
      <c r="HJ885" s="19">
        <v>25</v>
      </c>
      <c r="HK885" s="19">
        <v>35</v>
      </c>
      <c r="HL885" s="19">
        <v>34</v>
      </c>
      <c r="HM885" s="19">
        <v>33</v>
      </c>
      <c r="HN885" s="19">
        <v>32</v>
      </c>
      <c r="HO885" s="19">
        <v>31</v>
      </c>
      <c r="HP885" s="19">
        <v>30</v>
      </c>
      <c r="HQ885" s="19">
        <v>29</v>
      </c>
      <c r="HR885" s="19">
        <v>28</v>
      </c>
      <c r="HS885" s="19">
        <v>27</v>
      </c>
      <c r="HT885" s="19">
        <v>26</v>
      </c>
      <c r="HU885" s="19">
        <v>25</v>
      </c>
      <c r="HV885" s="19">
        <v>24</v>
      </c>
      <c r="HW885" s="19">
        <v>18.4</v>
      </c>
      <c r="HX885" s="19">
        <v>17.6</v>
      </c>
      <c r="HY885" s="19">
        <v>16.6</v>
      </c>
      <c r="HZ885" s="19">
        <v>13</v>
      </c>
      <c r="IA885" s="19">
        <v>12.2</v>
      </c>
      <c r="IB885" s="19">
        <v>11.3</v>
      </c>
    </row>
    <row r="886">
      <c r="A886" s="2" t="s">
        <v>4589</v>
      </c>
      <c r="B886" s="2" t="s">
        <v>279</v>
      </c>
      <c r="C886" s="2" t="s">
        <v>1411</v>
      </c>
      <c r="D886" s="2" t="s">
        <v>281</v>
      </c>
      <c r="E886" s="2" t="s">
        <v>282</v>
      </c>
      <c r="F886" s="2" t="s">
        <v>2311</v>
      </c>
      <c r="G886" s="2" t="s">
        <v>2311</v>
      </c>
      <c r="H886" s="2" t="s">
        <v>2311</v>
      </c>
      <c r="I886" s="2" t="s">
        <v>4581</v>
      </c>
      <c r="J886" s="2" t="s">
        <v>252</v>
      </c>
      <c r="K886" s="2" t="s">
        <v>4582</v>
      </c>
      <c r="L886" s="3">
        <v>13.95</v>
      </c>
      <c r="M886" s="3">
        <v>14.65</v>
      </c>
      <c r="N886" s="3">
        <v>30.99</v>
      </c>
      <c r="O886" s="2" t="s">
        <v>230</v>
      </c>
      <c r="P886" s="2" t="s">
        <v>231</v>
      </c>
      <c r="Q886" s="2" t="s">
        <v>232</v>
      </c>
      <c r="R886" s="2" t="s">
        <v>233</v>
      </c>
      <c r="S886" s="2" t="s">
        <v>4583</v>
      </c>
      <c r="T886" s="2" t="s">
        <v>469</v>
      </c>
      <c r="U886" s="2" t="s">
        <v>233</v>
      </c>
      <c r="V886" s="2" t="s">
        <v>2311</v>
      </c>
      <c r="W886" s="2" t="s">
        <v>237</v>
      </c>
      <c r="X886" s="2" t="s">
        <v>233</v>
      </c>
      <c r="Y886" s="2" t="s">
        <v>4584</v>
      </c>
      <c r="Z886" s="4">
        <v>181</v>
      </c>
      <c r="AA886" s="4">
        <f>=ROUNDDOWN(20.1111111111111,0)</f>
      </c>
      <c r="AB886" s="5">
        <v>9</v>
      </c>
      <c r="AC886" s="2" t="s">
        <v>168</v>
      </c>
      <c r="AD886" s="4">
        <v>70</v>
      </c>
      <c r="AE886" s="4">
        <v>70</v>
      </c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233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233</v>
      </c>
      <c r="AW886" s="8" t="s">
        <v>233</v>
      </c>
      <c r="AX886" s="4" t="s">
        <v>233</v>
      </c>
      <c r="AY886" s="8" t="s">
        <v>233</v>
      </c>
      <c r="AZ886" s="7" t="s">
        <v>233</v>
      </c>
      <c r="BA886" s="7" t="s">
        <v>233</v>
      </c>
      <c r="BB886" s="7"/>
      <c r="BC886" s="4" t="s">
        <v>233</v>
      </c>
      <c r="BD886" s="8" t="s">
        <v>233</v>
      </c>
      <c r="BE886" s="4" t="s">
        <v>233</v>
      </c>
      <c r="BF886" s="8" t="s">
        <v>233</v>
      </c>
      <c r="BG886" s="7" t="s">
        <v>233</v>
      </c>
      <c r="BH886" s="7" t="s">
        <v>233</v>
      </c>
      <c r="BI886" s="7"/>
      <c r="BJ886" s="4">
        <v>46</v>
      </c>
      <c r="BK886" s="8">
        <v>764.12</v>
      </c>
      <c r="BL886" s="2" t="s">
        <v>4590</v>
      </c>
      <c r="BM886" s="7"/>
      <c r="BN886" s="7"/>
      <c r="BO886" s="4"/>
      <c r="BP886" s="8"/>
      <c r="BQ886" s="4"/>
      <c r="BR886" s="8"/>
      <c r="BS886" s="7"/>
      <c r="BT886" s="7"/>
      <c r="BU886" s="2" t="s">
        <v>4585</v>
      </c>
      <c r="BV886" s="2" t="s">
        <v>233</v>
      </c>
      <c r="BW886" s="2" t="s">
        <v>233</v>
      </c>
      <c r="BX886" s="2" t="s">
        <v>241</v>
      </c>
      <c r="BY886" s="2" t="s">
        <v>242</v>
      </c>
      <c r="BZ886" s="2" t="s">
        <v>230</v>
      </c>
      <c r="CA886" s="2" t="s">
        <v>4178</v>
      </c>
      <c r="CB886" s="2" t="s">
        <v>4591</v>
      </c>
      <c r="CC886" s="2" t="s">
        <v>245</v>
      </c>
      <c r="CD886" s="2" t="s">
        <v>233</v>
      </c>
      <c r="CE886" s="4">
        <v>181</v>
      </c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>
        <v>70</v>
      </c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>
        <v>189</v>
      </c>
      <c r="GD886" s="4">
        <v>174</v>
      </c>
      <c r="GE886" s="4">
        <v>163</v>
      </c>
      <c r="GF886" s="4">
        <v>148</v>
      </c>
      <c r="GG886" s="4">
        <v>126</v>
      </c>
      <c r="GH886" s="4">
        <v>105</v>
      </c>
      <c r="GI886" s="4">
        <v>85</v>
      </c>
      <c r="GJ886" s="4">
        <v>144</v>
      </c>
      <c r="GK886" s="4">
        <v>136</v>
      </c>
      <c r="GL886" s="4">
        <v>128</v>
      </c>
      <c r="GM886" s="4">
        <v>120</v>
      </c>
      <c r="GN886" s="4">
        <v>112</v>
      </c>
      <c r="GO886" s="4">
        <v>104</v>
      </c>
      <c r="GP886" s="4">
        <v>96</v>
      </c>
      <c r="GQ886" s="4">
        <v>88</v>
      </c>
      <c r="GR886" s="4">
        <v>80</v>
      </c>
      <c r="GS886" s="4">
        <v>72</v>
      </c>
      <c r="GT886" s="4">
        <v>64</v>
      </c>
      <c r="GU886" s="4">
        <v>56</v>
      </c>
      <c r="GV886" s="4">
        <v>47</v>
      </c>
      <c r="GW886" s="4">
        <v>38</v>
      </c>
      <c r="GX886" s="4">
        <v>29</v>
      </c>
      <c r="GY886" s="4">
        <v>20</v>
      </c>
      <c r="GZ886" s="4">
        <v>11</v>
      </c>
      <c r="HA886" s="4">
        <v>2</v>
      </c>
      <c r="HB886" s="4">
        <v>115</v>
      </c>
      <c r="HC886" s="19">
        <v>11.8</v>
      </c>
      <c r="HD886" s="19">
        <v>10.2</v>
      </c>
      <c r="HE886" s="19">
        <v>8.2</v>
      </c>
      <c r="HF886" s="19">
        <v>8.2</v>
      </c>
      <c r="HG886" s="19">
        <v>8.4</v>
      </c>
      <c r="HH886" s="19">
        <v>8.8</v>
      </c>
      <c r="HI886" s="19">
        <v>9.4</v>
      </c>
      <c r="HJ886" s="19">
        <v>18</v>
      </c>
      <c r="HK886" s="19">
        <v>17</v>
      </c>
      <c r="HL886" s="19">
        <v>16</v>
      </c>
      <c r="HM886" s="19">
        <v>15</v>
      </c>
      <c r="HN886" s="19">
        <v>14</v>
      </c>
      <c r="HO886" s="19">
        <v>13</v>
      </c>
      <c r="HP886" s="19">
        <v>12</v>
      </c>
      <c r="HQ886" s="19">
        <v>11</v>
      </c>
      <c r="HR886" s="19">
        <v>10</v>
      </c>
      <c r="HS886" s="19">
        <v>9</v>
      </c>
      <c r="HT886" s="19">
        <v>7.1</v>
      </c>
      <c r="HU886" s="19">
        <v>6.2</v>
      </c>
      <c r="HV886" s="19">
        <v>5.2</v>
      </c>
      <c r="HW886" s="19">
        <v>4.2</v>
      </c>
      <c r="HX886" s="19">
        <v>3.2</v>
      </c>
      <c r="HY886" s="19">
        <v>2.2</v>
      </c>
      <c r="HZ886" s="19">
        <v>1.2</v>
      </c>
      <c r="IA886" s="19">
        <v>0.2</v>
      </c>
      <c r="IB886" s="19">
        <v>11.5</v>
      </c>
    </row>
    <row r="887">
      <c r="A887" s="2" t="s">
        <v>4592</v>
      </c>
      <c r="B887" s="2" t="s">
        <v>279</v>
      </c>
      <c r="C887" s="2" t="s">
        <v>1411</v>
      </c>
      <c r="D887" s="2" t="s">
        <v>281</v>
      </c>
      <c r="E887" s="2" t="s">
        <v>282</v>
      </c>
      <c r="F887" s="2" t="s">
        <v>2311</v>
      </c>
      <c r="G887" s="2" t="s">
        <v>2311</v>
      </c>
      <c r="H887" s="2" t="s">
        <v>2311</v>
      </c>
      <c r="I887" s="2" t="s">
        <v>4581</v>
      </c>
      <c r="J887" s="2" t="s">
        <v>252</v>
      </c>
      <c r="K887" s="2" t="s">
        <v>4593</v>
      </c>
      <c r="L887" s="3">
        <v>13.95</v>
      </c>
      <c r="M887" s="3">
        <v>14.65</v>
      </c>
      <c r="N887" s="3">
        <v>30.99</v>
      </c>
      <c r="O887" s="2" t="s">
        <v>230</v>
      </c>
      <c r="P887" s="2" t="s">
        <v>231</v>
      </c>
      <c r="Q887" s="2" t="s">
        <v>232</v>
      </c>
      <c r="R887" s="2" t="s">
        <v>233</v>
      </c>
      <c r="S887" s="2" t="s">
        <v>4594</v>
      </c>
      <c r="T887" s="2" t="s">
        <v>469</v>
      </c>
      <c r="U887" s="2" t="s">
        <v>287</v>
      </c>
      <c r="V887" s="2" t="s">
        <v>2311</v>
      </c>
      <c r="W887" s="2" t="s">
        <v>237</v>
      </c>
      <c r="X887" s="2" t="s">
        <v>233</v>
      </c>
      <c r="Y887" s="2" t="s">
        <v>4584</v>
      </c>
      <c r="Z887" s="4">
        <v>196</v>
      </c>
      <c r="AA887" s="4">
        <f>=ROUNDDOWN(26.8493150684932,0)</f>
      </c>
      <c r="AB887" s="5">
        <v>7.3</v>
      </c>
      <c r="AC887" s="2" t="s">
        <v>233</v>
      </c>
      <c r="AD887" s="4"/>
      <c r="AE887" s="4"/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233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233</v>
      </c>
      <c r="AW887" s="8" t="s">
        <v>233</v>
      </c>
      <c r="AX887" s="4" t="s">
        <v>233</v>
      </c>
      <c r="AY887" s="8" t="s">
        <v>233</v>
      </c>
      <c r="AZ887" s="7" t="s">
        <v>233</v>
      </c>
      <c r="BA887" s="7" t="s">
        <v>233</v>
      </c>
      <c r="BB887" s="7"/>
      <c r="BC887" s="4" t="s">
        <v>233</v>
      </c>
      <c r="BD887" s="8" t="s">
        <v>233</v>
      </c>
      <c r="BE887" s="4" t="s">
        <v>233</v>
      </c>
      <c r="BF887" s="8" t="s">
        <v>233</v>
      </c>
      <c r="BG887" s="7" t="s">
        <v>233</v>
      </c>
      <c r="BH887" s="7" t="s">
        <v>233</v>
      </c>
      <c r="BI887" s="7"/>
      <c r="BJ887" s="4">
        <v>39</v>
      </c>
      <c r="BK887" s="8">
        <v>622.4</v>
      </c>
      <c r="BL887" s="2" t="s">
        <v>1640</v>
      </c>
      <c r="BM887" s="7"/>
      <c r="BN887" s="7"/>
      <c r="BO887" s="4"/>
      <c r="BP887" s="8"/>
      <c r="BQ887" s="4"/>
      <c r="BR887" s="8"/>
      <c r="BS887" s="7"/>
      <c r="BT887" s="7"/>
      <c r="BU887" s="2" t="s">
        <v>4585</v>
      </c>
      <c r="BV887" s="2" t="s">
        <v>233</v>
      </c>
      <c r="BW887" s="2" t="s">
        <v>233</v>
      </c>
      <c r="BX887" s="2" t="s">
        <v>241</v>
      </c>
      <c r="BY887" s="2" t="s">
        <v>242</v>
      </c>
      <c r="BZ887" s="2" t="s">
        <v>230</v>
      </c>
      <c r="CA887" s="2" t="s">
        <v>4178</v>
      </c>
      <c r="CB887" s="2" t="s">
        <v>2295</v>
      </c>
      <c r="CC887" s="2" t="s">
        <v>245</v>
      </c>
      <c r="CD887" s="2" t="s">
        <v>233</v>
      </c>
      <c r="CE887" s="4">
        <v>196</v>
      </c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>
        <v>196</v>
      </c>
      <c r="GD887" s="4">
        <v>190</v>
      </c>
      <c r="GE887" s="4">
        <v>184</v>
      </c>
      <c r="GF887" s="4">
        <v>177</v>
      </c>
      <c r="GG887" s="4">
        <v>168</v>
      </c>
      <c r="GH887" s="4">
        <v>159</v>
      </c>
      <c r="GI887" s="4">
        <v>150</v>
      </c>
      <c r="GJ887" s="4">
        <v>134</v>
      </c>
      <c r="GK887" s="4">
        <v>130</v>
      </c>
      <c r="GL887" s="4">
        <v>125</v>
      </c>
      <c r="GM887" s="4">
        <v>119</v>
      </c>
      <c r="GN887" s="4">
        <v>111</v>
      </c>
      <c r="GO887" s="4">
        <v>104</v>
      </c>
      <c r="GP887" s="4">
        <v>95</v>
      </c>
      <c r="GQ887" s="4">
        <v>86</v>
      </c>
      <c r="GR887" s="4">
        <v>77</v>
      </c>
      <c r="GS887" s="4">
        <v>68</v>
      </c>
      <c r="GT887" s="4">
        <v>59</v>
      </c>
      <c r="GU887" s="4">
        <v>49</v>
      </c>
      <c r="GV887" s="4">
        <v>297</v>
      </c>
      <c r="GW887" s="4">
        <v>286</v>
      </c>
      <c r="GX887" s="4">
        <v>275</v>
      </c>
      <c r="GY887" s="4">
        <v>265</v>
      </c>
      <c r="GZ887" s="4">
        <v>255</v>
      </c>
      <c r="HA887" s="4">
        <v>245</v>
      </c>
      <c r="HB887" s="4">
        <v>232</v>
      </c>
      <c r="HC887" s="19">
        <v>28</v>
      </c>
      <c r="HD887" s="19">
        <v>23.8</v>
      </c>
      <c r="HE887" s="19">
        <v>23</v>
      </c>
      <c r="HF887" s="19">
        <v>16.1</v>
      </c>
      <c r="HG887" s="19">
        <v>16.8</v>
      </c>
      <c r="HH887" s="19">
        <v>19.9</v>
      </c>
      <c r="HI887" s="19">
        <v>18.8</v>
      </c>
      <c r="HJ887" s="19">
        <v>22.3</v>
      </c>
      <c r="HK887" s="19">
        <v>21.7</v>
      </c>
      <c r="HL887" s="19">
        <v>15.6</v>
      </c>
      <c r="HM887" s="19">
        <v>14.9</v>
      </c>
      <c r="HN887" s="19">
        <v>13.9</v>
      </c>
      <c r="HO887" s="19">
        <v>11.6</v>
      </c>
      <c r="HP887" s="19">
        <v>10.6</v>
      </c>
      <c r="HQ887" s="19">
        <v>9.6</v>
      </c>
      <c r="HR887" s="19">
        <v>8.6</v>
      </c>
      <c r="HS887" s="19">
        <v>6.8</v>
      </c>
      <c r="HT887" s="19">
        <v>5.9</v>
      </c>
      <c r="HU887" s="19">
        <v>4.9</v>
      </c>
      <c r="HV887" s="19">
        <v>29.7</v>
      </c>
      <c r="HW887" s="19">
        <v>28.6</v>
      </c>
      <c r="HX887" s="19">
        <v>25</v>
      </c>
      <c r="HY887" s="19">
        <v>22.1</v>
      </c>
      <c r="HZ887" s="19">
        <v>21.3</v>
      </c>
      <c r="IA887" s="19">
        <v>20.4</v>
      </c>
      <c r="IB887" s="19">
        <v>19.3</v>
      </c>
    </row>
    <row r="888">
      <c r="A888" s="2" t="s">
        <v>4595</v>
      </c>
      <c r="B888" s="2" t="s">
        <v>279</v>
      </c>
      <c r="C888" s="2" t="s">
        <v>1411</v>
      </c>
      <c r="D888" s="2" t="s">
        <v>281</v>
      </c>
      <c r="E888" s="2" t="s">
        <v>282</v>
      </c>
      <c r="F888" s="2" t="s">
        <v>2311</v>
      </c>
      <c r="G888" s="2" t="s">
        <v>2311</v>
      </c>
      <c r="H888" s="2" t="s">
        <v>2311</v>
      </c>
      <c r="I888" s="2" t="s">
        <v>4581</v>
      </c>
      <c r="J888" s="2" t="s">
        <v>336</v>
      </c>
      <c r="K888" s="2" t="s">
        <v>4593</v>
      </c>
      <c r="L888" s="3">
        <v>14.85</v>
      </c>
      <c r="M888" s="3">
        <v>15.59</v>
      </c>
      <c r="N888" s="3">
        <v>32.99</v>
      </c>
      <c r="O888" s="2" t="s">
        <v>230</v>
      </c>
      <c r="P888" s="2" t="s">
        <v>231</v>
      </c>
      <c r="Q888" s="2" t="s">
        <v>232</v>
      </c>
      <c r="R888" s="2" t="s">
        <v>233</v>
      </c>
      <c r="S888" s="2" t="s">
        <v>4594</v>
      </c>
      <c r="T888" s="2" t="s">
        <v>469</v>
      </c>
      <c r="U888" s="2" t="s">
        <v>287</v>
      </c>
      <c r="V888" s="2" t="s">
        <v>2311</v>
      </c>
      <c r="W888" s="2" t="s">
        <v>237</v>
      </c>
      <c r="X888" s="2" t="s">
        <v>233</v>
      </c>
      <c r="Y888" s="2" t="s">
        <v>4584</v>
      </c>
      <c r="Z888" s="4">
        <v>481</v>
      </c>
      <c r="AA888" s="4">
        <f>=ROUNDDOWN(48.1,0)</f>
      </c>
      <c r="AB888" s="5">
        <v>10</v>
      </c>
      <c r="AC888" s="2" t="s">
        <v>4596</v>
      </c>
      <c r="AD888" s="4">
        <v>350</v>
      </c>
      <c r="AE888" s="4">
        <v>350</v>
      </c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233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233</v>
      </c>
      <c r="AW888" s="8" t="s">
        <v>233</v>
      </c>
      <c r="AX888" s="4" t="s">
        <v>233</v>
      </c>
      <c r="AY888" s="8" t="s">
        <v>233</v>
      </c>
      <c r="AZ888" s="7" t="s">
        <v>233</v>
      </c>
      <c r="BA888" s="7" t="s">
        <v>233</v>
      </c>
      <c r="BB888" s="7"/>
      <c r="BC888" s="4" t="s">
        <v>233</v>
      </c>
      <c r="BD888" s="8" t="s">
        <v>233</v>
      </c>
      <c r="BE888" s="4" t="s">
        <v>233</v>
      </c>
      <c r="BF888" s="8" t="s">
        <v>233</v>
      </c>
      <c r="BG888" s="7" t="s">
        <v>233</v>
      </c>
      <c r="BH888" s="7" t="s">
        <v>233</v>
      </c>
      <c r="BI888" s="7"/>
      <c r="BJ888" s="4">
        <v>48</v>
      </c>
      <c r="BK888" s="8">
        <v>813.16</v>
      </c>
      <c r="BL888" s="2" t="s">
        <v>1640</v>
      </c>
      <c r="BM888" s="7"/>
      <c r="BN888" s="7"/>
      <c r="BO888" s="4"/>
      <c r="BP888" s="8"/>
      <c r="BQ888" s="4"/>
      <c r="BR888" s="8"/>
      <c r="BS888" s="7"/>
      <c r="BT888" s="7"/>
      <c r="BU888" s="2" t="s">
        <v>4585</v>
      </c>
      <c r="BV888" s="2" t="s">
        <v>233</v>
      </c>
      <c r="BW888" s="2" t="s">
        <v>233</v>
      </c>
      <c r="BX888" s="2" t="s">
        <v>241</v>
      </c>
      <c r="BY888" s="2" t="s">
        <v>242</v>
      </c>
      <c r="BZ888" s="2" t="s">
        <v>230</v>
      </c>
      <c r="CA888" s="2" t="s">
        <v>4178</v>
      </c>
      <c r="CB888" s="2" t="s">
        <v>4597</v>
      </c>
      <c r="CC888" s="2" t="s">
        <v>245</v>
      </c>
      <c r="CD888" s="2" t="s">
        <v>233</v>
      </c>
      <c r="CE888" s="4">
        <v>481</v>
      </c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>
        <v>350</v>
      </c>
      <c r="FU888" s="4"/>
      <c r="FV888" s="4"/>
      <c r="FW888" s="4"/>
      <c r="FX888" s="4"/>
      <c r="FY888" s="4"/>
      <c r="FZ888" s="4"/>
      <c r="GA888" s="4"/>
      <c r="GB888" s="4"/>
      <c r="GC888" s="4">
        <v>492</v>
      </c>
      <c r="GD888" s="4">
        <v>477</v>
      </c>
      <c r="GE888" s="4">
        <v>472</v>
      </c>
      <c r="GF888" s="4">
        <v>467</v>
      </c>
      <c r="GG888" s="4">
        <v>459</v>
      </c>
      <c r="GH888" s="4">
        <v>450</v>
      </c>
      <c r="GI888" s="4">
        <v>439</v>
      </c>
      <c r="GJ888" s="4">
        <v>405</v>
      </c>
      <c r="GK888" s="4">
        <v>402</v>
      </c>
      <c r="GL888" s="4">
        <v>397</v>
      </c>
      <c r="GM888" s="4">
        <v>392</v>
      </c>
      <c r="GN888" s="4">
        <v>387</v>
      </c>
      <c r="GO888" s="4">
        <v>379</v>
      </c>
      <c r="GP888" s="4">
        <v>368</v>
      </c>
      <c r="GQ888" s="4">
        <v>356</v>
      </c>
      <c r="GR888" s="4">
        <v>341</v>
      </c>
      <c r="GS888" s="4">
        <v>330</v>
      </c>
      <c r="GT888" s="4">
        <v>665</v>
      </c>
      <c r="GU888" s="4">
        <v>651</v>
      </c>
      <c r="GV888" s="4">
        <v>639</v>
      </c>
      <c r="GW888" s="4">
        <v>627</v>
      </c>
      <c r="GX888" s="4">
        <v>614</v>
      </c>
      <c r="GY888" s="4">
        <v>597</v>
      </c>
      <c r="GZ888" s="4">
        <v>586</v>
      </c>
      <c r="HA888" s="4">
        <v>570</v>
      </c>
      <c r="HB888" s="4">
        <v>555</v>
      </c>
      <c r="HC888" s="19">
        <v>61.5</v>
      </c>
      <c r="HD888" s="19">
        <v>68.1</v>
      </c>
      <c r="HE888" s="19">
        <v>59</v>
      </c>
      <c r="HF888" s="19">
        <v>29.2</v>
      </c>
      <c r="HG888" s="19">
        <v>32.8</v>
      </c>
      <c r="HH888" s="19">
        <v>34.6</v>
      </c>
      <c r="HI888" s="19">
        <v>36.6</v>
      </c>
      <c r="HJ888" s="19">
        <v>101.3</v>
      </c>
      <c r="HK888" s="19">
        <v>67</v>
      </c>
      <c r="HL888" s="19">
        <v>56.7</v>
      </c>
      <c r="HM888" s="19">
        <v>43.6</v>
      </c>
      <c r="HN888" s="19">
        <v>32.3</v>
      </c>
      <c r="HO888" s="19">
        <v>31.6</v>
      </c>
      <c r="HP888" s="19">
        <v>28.3</v>
      </c>
      <c r="HQ888" s="19">
        <v>25.4</v>
      </c>
      <c r="HR888" s="19">
        <v>26.2</v>
      </c>
      <c r="HS888" s="19">
        <v>25.4</v>
      </c>
      <c r="HT888" s="19">
        <v>51.2</v>
      </c>
      <c r="HU888" s="19">
        <v>46.5</v>
      </c>
      <c r="HV888" s="19">
        <v>49.2</v>
      </c>
      <c r="HW888" s="19">
        <v>44.8</v>
      </c>
      <c r="HX888" s="19">
        <v>40.9</v>
      </c>
      <c r="HY888" s="19">
        <v>45.9</v>
      </c>
      <c r="HZ888" s="19">
        <v>45.1</v>
      </c>
      <c r="IA888" s="19">
        <v>47.5</v>
      </c>
      <c r="IB888" s="19">
        <v>46.3</v>
      </c>
    </row>
    <row r="889">
      <c r="A889" s="2" t="s">
        <v>4598</v>
      </c>
      <c r="B889" s="2" t="s">
        <v>279</v>
      </c>
      <c r="C889" s="2" t="s">
        <v>1411</v>
      </c>
      <c r="D889" s="2" t="s">
        <v>281</v>
      </c>
      <c r="E889" s="2" t="s">
        <v>282</v>
      </c>
      <c r="F889" s="2" t="s">
        <v>2311</v>
      </c>
      <c r="G889" s="2" t="s">
        <v>2311</v>
      </c>
      <c r="H889" s="2" t="s">
        <v>2311</v>
      </c>
      <c r="I889" s="2" t="s">
        <v>4581</v>
      </c>
      <c r="J889" s="2" t="s">
        <v>228</v>
      </c>
      <c r="K889" s="2" t="s">
        <v>4599</v>
      </c>
      <c r="L889" s="3">
        <v>12.6</v>
      </c>
      <c r="M889" s="3">
        <v>13.23</v>
      </c>
      <c r="N889" s="3">
        <v>27.99</v>
      </c>
      <c r="O889" s="2" t="s">
        <v>230</v>
      </c>
      <c r="P889" s="2" t="s">
        <v>231</v>
      </c>
      <c r="Q889" s="2" t="s">
        <v>232</v>
      </c>
      <c r="R889" s="2" t="s">
        <v>233</v>
      </c>
      <c r="S889" s="2" t="s">
        <v>4600</v>
      </c>
      <c r="T889" s="2" t="s">
        <v>469</v>
      </c>
      <c r="U889" s="2" t="s">
        <v>233</v>
      </c>
      <c r="V889" s="2" t="s">
        <v>2311</v>
      </c>
      <c r="W889" s="2" t="s">
        <v>237</v>
      </c>
      <c r="X889" s="2" t="s">
        <v>233</v>
      </c>
      <c r="Y889" s="2" t="s">
        <v>4584</v>
      </c>
      <c r="Z889" s="4">
        <v>44</v>
      </c>
      <c r="AA889" s="4">
        <f>=ROUNDDOWN(5.5,0)</f>
      </c>
      <c r="AB889" s="5">
        <v>8</v>
      </c>
      <c r="AC889" s="2" t="s">
        <v>168</v>
      </c>
      <c r="AD889" s="4">
        <v>180</v>
      </c>
      <c r="AE889" s="4">
        <v>180</v>
      </c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233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233</v>
      </c>
      <c r="AW889" s="8" t="s">
        <v>233</v>
      </c>
      <c r="AX889" s="4" t="s">
        <v>233</v>
      </c>
      <c r="AY889" s="8" t="s">
        <v>233</v>
      </c>
      <c r="AZ889" s="7" t="s">
        <v>233</v>
      </c>
      <c r="BA889" s="7" t="s">
        <v>233</v>
      </c>
      <c r="BB889" s="7"/>
      <c r="BC889" s="4" t="s">
        <v>233</v>
      </c>
      <c r="BD889" s="8" t="s">
        <v>233</v>
      </c>
      <c r="BE889" s="4" t="s">
        <v>233</v>
      </c>
      <c r="BF889" s="8" t="s">
        <v>233</v>
      </c>
      <c r="BG889" s="7" t="s">
        <v>233</v>
      </c>
      <c r="BH889" s="7" t="s">
        <v>233</v>
      </c>
      <c r="BI889" s="7"/>
      <c r="BJ889" s="4">
        <v>44</v>
      </c>
      <c r="BK889" s="8">
        <v>618.6</v>
      </c>
      <c r="BL889" s="2" t="s">
        <v>1060</v>
      </c>
      <c r="BM889" s="7"/>
      <c r="BN889" s="7"/>
      <c r="BO889" s="4"/>
      <c r="BP889" s="8"/>
      <c r="BQ889" s="4"/>
      <c r="BR889" s="8"/>
      <c r="BS889" s="7"/>
      <c r="BT889" s="7"/>
      <c r="BU889" s="2" t="s">
        <v>4585</v>
      </c>
      <c r="BV889" s="2" t="s">
        <v>233</v>
      </c>
      <c r="BW889" s="2" t="s">
        <v>233</v>
      </c>
      <c r="BX889" s="2" t="s">
        <v>241</v>
      </c>
      <c r="BY889" s="2" t="s">
        <v>242</v>
      </c>
      <c r="BZ889" s="2" t="s">
        <v>230</v>
      </c>
      <c r="CA889" s="2" t="s">
        <v>4178</v>
      </c>
      <c r="CB889" s="2" t="s">
        <v>4601</v>
      </c>
      <c r="CC889" s="2" t="s">
        <v>245</v>
      </c>
      <c r="CD889" s="2" t="s">
        <v>233</v>
      </c>
      <c r="CE889" s="4">
        <v>44</v>
      </c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>
        <v>180</v>
      </c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>
        <v>50</v>
      </c>
      <c r="GD889" s="4">
        <v>34</v>
      </c>
      <c r="GE889" s="4">
        <v>18</v>
      </c>
      <c r="GF889" s="4">
        <v>3</v>
      </c>
      <c r="GG889" s="4"/>
      <c r="GH889" s="4"/>
      <c r="GI889" s="4"/>
      <c r="GJ889" s="4">
        <v>180</v>
      </c>
      <c r="GK889" s="4">
        <v>171</v>
      </c>
      <c r="GL889" s="4">
        <v>164</v>
      </c>
      <c r="GM889" s="4">
        <v>157</v>
      </c>
      <c r="GN889" s="4">
        <v>150</v>
      </c>
      <c r="GO889" s="4">
        <v>143</v>
      </c>
      <c r="GP889" s="4">
        <v>136</v>
      </c>
      <c r="GQ889" s="4">
        <v>129</v>
      </c>
      <c r="GR889" s="4">
        <v>122</v>
      </c>
      <c r="GS889" s="4">
        <v>115</v>
      </c>
      <c r="GT889" s="4">
        <v>108</v>
      </c>
      <c r="GU889" s="4">
        <v>101</v>
      </c>
      <c r="GV889" s="4">
        <v>191</v>
      </c>
      <c r="GW889" s="4">
        <v>183</v>
      </c>
      <c r="GX889" s="4">
        <v>175</v>
      </c>
      <c r="GY889" s="4">
        <v>167</v>
      </c>
      <c r="GZ889" s="4">
        <v>159</v>
      </c>
      <c r="HA889" s="4">
        <v>151</v>
      </c>
      <c r="HB889" s="4">
        <v>143</v>
      </c>
      <c r="HC889" s="19">
        <v>2.6</v>
      </c>
      <c r="HD889" s="19">
        <v>1.6</v>
      </c>
      <c r="HE889" s="19">
        <v>0.8</v>
      </c>
      <c r="HF889" s="19">
        <v>0.2</v>
      </c>
      <c r="HG889" s="20">
        <v>0</v>
      </c>
      <c r="HH889" s="20">
        <v>0</v>
      </c>
      <c r="HI889" s="20">
        <v>0</v>
      </c>
      <c r="HJ889" s="19">
        <v>22.5</v>
      </c>
      <c r="HK889" s="19">
        <v>24.4</v>
      </c>
      <c r="HL889" s="19">
        <v>23.4</v>
      </c>
      <c r="HM889" s="19">
        <v>22.4</v>
      </c>
      <c r="HN889" s="19">
        <v>21.4</v>
      </c>
      <c r="HO889" s="19">
        <v>20.4</v>
      </c>
      <c r="HP889" s="19">
        <v>19.4</v>
      </c>
      <c r="HQ889" s="19">
        <v>18.4</v>
      </c>
      <c r="HR889" s="19">
        <v>17.4</v>
      </c>
      <c r="HS889" s="19">
        <v>14.4</v>
      </c>
      <c r="HT889" s="19">
        <v>13.5</v>
      </c>
      <c r="HU889" s="19">
        <v>12.6</v>
      </c>
      <c r="HV889" s="19">
        <v>23.9</v>
      </c>
      <c r="HW889" s="19">
        <v>22.9</v>
      </c>
      <c r="HX889" s="19">
        <v>21.9</v>
      </c>
      <c r="HY889" s="19">
        <v>20.9</v>
      </c>
      <c r="HZ889" s="19">
        <v>19.9</v>
      </c>
      <c r="IA889" s="19">
        <v>18.9</v>
      </c>
      <c r="IB889" s="19">
        <v>17.9</v>
      </c>
    </row>
    <row r="890">
      <c r="A890" s="2" t="s">
        <v>4602</v>
      </c>
      <c r="B890" s="2" t="s">
        <v>279</v>
      </c>
      <c r="C890" s="2" t="s">
        <v>1411</v>
      </c>
      <c r="D890" s="2" t="s">
        <v>281</v>
      </c>
      <c r="E890" s="2" t="s">
        <v>282</v>
      </c>
      <c r="F890" s="2" t="s">
        <v>2311</v>
      </c>
      <c r="G890" s="2" t="s">
        <v>2311</v>
      </c>
      <c r="H890" s="2" t="s">
        <v>2311</v>
      </c>
      <c r="I890" s="2" t="s">
        <v>4581</v>
      </c>
      <c r="J890" s="2" t="s">
        <v>252</v>
      </c>
      <c r="K890" s="2" t="s">
        <v>4599</v>
      </c>
      <c r="L890" s="3">
        <v>13.95</v>
      </c>
      <c r="M890" s="3">
        <v>14.65</v>
      </c>
      <c r="N890" s="3">
        <v>30.99</v>
      </c>
      <c r="O890" s="2" t="s">
        <v>230</v>
      </c>
      <c r="P890" s="2" t="s">
        <v>231</v>
      </c>
      <c r="Q890" s="2" t="s">
        <v>232</v>
      </c>
      <c r="R890" s="2" t="s">
        <v>233</v>
      </c>
      <c r="S890" s="2" t="s">
        <v>4600</v>
      </c>
      <c r="T890" s="2" t="s">
        <v>469</v>
      </c>
      <c r="U890" s="2" t="s">
        <v>233</v>
      </c>
      <c r="V890" s="2" t="s">
        <v>2311</v>
      </c>
      <c r="W890" s="2" t="s">
        <v>237</v>
      </c>
      <c r="X890" s="2" t="s">
        <v>233</v>
      </c>
      <c r="Y890" s="2" t="s">
        <v>4584</v>
      </c>
      <c r="Z890" s="4">
        <v>115</v>
      </c>
      <c r="AA890" s="4">
        <f>=ROUNDDOWN(13.6904761904762,0)</f>
      </c>
      <c r="AB890" s="5">
        <v>8.4</v>
      </c>
      <c r="AC890" s="2" t="s">
        <v>168</v>
      </c>
      <c r="AD890" s="4">
        <v>130</v>
      </c>
      <c r="AE890" s="4">
        <v>130</v>
      </c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233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233</v>
      </c>
      <c r="AW890" s="8" t="s">
        <v>233</v>
      </c>
      <c r="AX890" s="4" t="s">
        <v>233</v>
      </c>
      <c r="AY890" s="8" t="s">
        <v>233</v>
      </c>
      <c r="AZ890" s="7" t="s">
        <v>233</v>
      </c>
      <c r="BA890" s="7" t="s">
        <v>233</v>
      </c>
      <c r="BB890" s="7"/>
      <c r="BC890" s="4" t="s">
        <v>233</v>
      </c>
      <c r="BD890" s="8" t="s">
        <v>233</v>
      </c>
      <c r="BE890" s="4" t="s">
        <v>233</v>
      </c>
      <c r="BF890" s="8" t="s">
        <v>233</v>
      </c>
      <c r="BG890" s="7" t="s">
        <v>233</v>
      </c>
      <c r="BH890" s="7" t="s">
        <v>233</v>
      </c>
      <c r="BI890" s="7"/>
      <c r="BJ890" s="4">
        <v>39</v>
      </c>
      <c r="BK890" s="8">
        <v>614.08</v>
      </c>
      <c r="BL890" s="2" t="s">
        <v>2699</v>
      </c>
      <c r="BM890" s="7"/>
      <c r="BN890" s="7"/>
      <c r="BO890" s="4"/>
      <c r="BP890" s="8"/>
      <c r="BQ890" s="4"/>
      <c r="BR890" s="8"/>
      <c r="BS890" s="7"/>
      <c r="BT890" s="7"/>
      <c r="BU890" s="2" t="s">
        <v>4585</v>
      </c>
      <c r="BV890" s="2" t="s">
        <v>233</v>
      </c>
      <c r="BW890" s="2" t="s">
        <v>233</v>
      </c>
      <c r="BX890" s="2" t="s">
        <v>241</v>
      </c>
      <c r="BY890" s="2" t="s">
        <v>242</v>
      </c>
      <c r="BZ890" s="2" t="s">
        <v>230</v>
      </c>
      <c r="CA890" s="2" t="s">
        <v>4178</v>
      </c>
      <c r="CB890" s="2" t="s">
        <v>4603</v>
      </c>
      <c r="CC890" s="2" t="s">
        <v>245</v>
      </c>
      <c r="CD890" s="2" t="s">
        <v>233</v>
      </c>
      <c r="CE890" s="4">
        <v>115</v>
      </c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>
        <v>130</v>
      </c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>
        <v>118</v>
      </c>
      <c r="GD890" s="4">
        <v>107</v>
      </c>
      <c r="GE890" s="4">
        <v>91</v>
      </c>
      <c r="GF890" s="4">
        <v>77</v>
      </c>
      <c r="GG890" s="4">
        <v>60</v>
      </c>
      <c r="GH890" s="4">
        <v>35</v>
      </c>
      <c r="GI890" s="4">
        <v>21</v>
      </c>
      <c r="GJ890" s="4">
        <v>143</v>
      </c>
      <c r="GK890" s="4">
        <v>136</v>
      </c>
      <c r="GL890" s="4">
        <v>128</v>
      </c>
      <c r="GM890" s="4">
        <v>120</v>
      </c>
      <c r="GN890" s="4">
        <v>112</v>
      </c>
      <c r="GO890" s="4">
        <v>104</v>
      </c>
      <c r="GP890" s="4">
        <v>96</v>
      </c>
      <c r="GQ890" s="4">
        <v>88</v>
      </c>
      <c r="GR890" s="4">
        <v>80</v>
      </c>
      <c r="GS890" s="4">
        <v>72</v>
      </c>
      <c r="GT890" s="4">
        <v>64</v>
      </c>
      <c r="GU890" s="4">
        <v>56</v>
      </c>
      <c r="GV890" s="4">
        <v>217</v>
      </c>
      <c r="GW890" s="4">
        <v>208</v>
      </c>
      <c r="GX890" s="4">
        <v>199</v>
      </c>
      <c r="GY890" s="4">
        <v>190</v>
      </c>
      <c r="GZ890" s="4">
        <v>181</v>
      </c>
      <c r="HA890" s="4">
        <v>172</v>
      </c>
      <c r="HB890" s="4">
        <v>163</v>
      </c>
      <c r="HC890" s="19">
        <v>8.4</v>
      </c>
      <c r="HD890" s="19">
        <v>5.9</v>
      </c>
      <c r="HE890" s="19">
        <v>5.1</v>
      </c>
      <c r="HF890" s="19">
        <v>4.8</v>
      </c>
      <c r="HG890" s="19">
        <v>4.3</v>
      </c>
      <c r="HH890" s="19">
        <v>3.9</v>
      </c>
      <c r="HI890" s="19">
        <v>2.6</v>
      </c>
      <c r="HJ890" s="19">
        <v>17.9</v>
      </c>
      <c r="HK890" s="19">
        <v>17</v>
      </c>
      <c r="HL890" s="19">
        <v>16</v>
      </c>
      <c r="HM890" s="19">
        <v>15</v>
      </c>
      <c r="HN890" s="19">
        <v>14</v>
      </c>
      <c r="HO890" s="19">
        <v>13</v>
      </c>
      <c r="HP890" s="19">
        <v>12</v>
      </c>
      <c r="HQ890" s="19">
        <v>11</v>
      </c>
      <c r="HR890" s="19">
        <v>10</v>
      </c>
      <c r="HS890" s="19">
        <v>9</v>
      </c>
      <c r="HT890" s="19">
        <v>7.1</v>
      </c>
      <c r="HU890" s="19">
        <v>6.2</v>
      </c>
      <c r="HV890" s="19">
        <v>24.1</v>
      </c>
      <c r="HW890" s="19">
        <v>23.1</v>
      </c>
      <c r="HX890" s="19">
        <v>22.1</v>
      </c>
      <c r="HY890" s="19">
        <v>21.1</v>
      </c>
      <c r="HZ890" s="19">
        <v>20.1</v>
      </c>
      <c r="IA890" s="19">
        <v>19.1</v>
      </c>
      <c r="IB890" s="19">
        <v>18.1</v>
      </c>
    </row>
    <row r="891">
      <c r="A891" s="2" t="s">
        <v>4604</v>
      </c>
      <c r="B891" s="2" t="s">
        <v>279</v>
      </c>
      <c r="C891" s="2" t="s">
        <v>1411</v>
      </c>
      <c r="D891" s="2" t="s">
        <v>281</v>
      </c>
      <c r="E891" s="2" t="s">
        <v>282</v>
      </c>
      <c r="F891" s="2" t="s">
        <v>2311</v>
      </c>
      <c r="G891" s="2" t="s">
        <v>2311</v>
      </c>
      <c r="H891" s="2" t="s">
        <v>2311</v>
      </c>
      <c r="I891" s="2" t="s">
        <v>4581</v>
      </c>
      <c r="J891" s="2" t="s">
        <v>336</v>
      </c>
      <c r="K891" s="2" t="s">
        <v>4599</v>
      </c>
      <c r="L891" s="3">
        <v>14.85</v>
      </c>
      <c r="M891" s="3">
        <v>15.59</v>
      </c>
      <c r="N891" s="3">
        <v>32.99</v>
      </c>
      <c r="O891" s="2" t="s">
        <v>230</v>
      </c>
      <c r="P891" s="2" t="s">
        <v>231</v>
      </c>
      <c r="Q891" s="2" t="s">
        <v>232</v>
      </c>
      <c r="R891" s="2" t="s">
        <v>233</v>
      </c>
      <c r="S891" s="2" t="s">
        <v>4600</v>
      </c>
      <c r="T891" s="2" t="s">
        <v>469</v>
      </c>
      <c r="U891" s="2" t="s">
        <v>233</v>
      </c>
      <c r="V891" s="2" t="s">
        <v>2311</v>
      </c>
      <c r="W891" s="2" t="s">
        <v>237</v>
      </c>
      <c r="X891" s="2" t="s">
        <v>233</v>
      </c>
      <c r="Y891" s="2" t="s">
        <v>4584</v>
      </c>
      <c r="Z891" s="4">
        <v>161</v>
      </c>
      <c r="AA891" s="4">
        <f>=ROUNDDOWN(14.7706422018349,0)</f>
      </c>
      <c r="AB891" s="5">
        <v>10.9</v>
      </c>
      <c r="AC891" s="2" t="s">
        <v>168</v>
      </c>
      <c r="AD891" s="4">
        <v>100</v>
      </c>
      <c r="AE891" s="4">
        <v>100</v>
      </c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233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233</v>
      </c>
      <c r="AW891" s="8" t="s">
        <v>233</v>
      </c>
      <c r="AX891" s="4" t="s">
        <v>233</v>
      </c>
      <c r="AY891" s="8" t="s">
        <v>233</v>
      </c>
      <c r="AZ891" s="7" t="s">
        <v>233</v>
      </c>
      <c r="BA891" s="7" t="s">
        <v>233</v>
      </c>
      <c r="BB891" s="7"/>
      <c r="BC891" s="4" t="s">
        <v>233</v>
      </c>
      <c r="BD891" s="8" t="s">
        <v>233</v>
      </c>
      <c r="BE891" s="4" t="s">
        <v>233</v>
      </c>
      <c r="BF891" s="8" t="s">
        <v>233</v>
      </c>
      <c r="BG891" s="7" t="s">
        <v>233</v>
      </c>
      <c r="BH891" s="7" t="s">
        <v>233</v>
      </c>
      <c r="BI891" s="7"/>
      <c r="BJ891" s="4">
        <v>73</v>
      </c>
      <c r="BK891" s="8">
        <v>1230.06</v>
      </c>
      <c r="BL891" s="2" t="s">
        <v>4605</v>
      </c>
      <c r="BM891" s="7"/>
      <c r="BN891" s="7"/>
      <c r="BO891" s="4"/>
      <c r="BP891" s="8"/>
      <c r="BQ891" s="4"/>
      <c r="BR891" s="8"/>
      <c r="BS891" s="7"/>
      <c r="BT891" s="7"/>
      <c r="BU891" s="2" t="s">
        <v>4585</v>
      </c>
      <c r="BV891" s="2" t="s">
        <v>233</v>
      </c>
      <c r="BW891" s="2" t="s">
        <v>233</v>
      </c>
      <c r="BX891" s="2" t="s">
        <v>241</v>
      </c>
      <c r="BY891" s="2" t="s">
        <v>242</v>
      </c>
      <c r="BZ891" s="2" t="s">
        <v>230</v>
      </c>
      <c r="CA891" s="2" t="s">
        <v>4178</v>
      </c>
      <c r="CB891" s="2" t="s">
        <v>4325</v>
      </c>
      <c r="CC891" s="2" t="s">
        <v>245</v>
      </c>
      <c r="CD891" s="2" t="s">
        <v>233</v>
      </c>
      <c r="CE891" s="4">
        <v>161</v>
      </c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>
        <v>100</v>
      </c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>
        <v>168</v>
      </c>
      <c r="GD891" s="4">
        <v>154</v>
      </c>
      <c r="GE891" s="4">
        <v>143</v>
      </c>
      <c r="GF891" s="4">
        <v>125</v>
      </c>
      <c r="GG891" s="4">
        <v>93</v>
      </c>
      <c r="GH891" s="4">
        <v>69</v>
      </c>
      <c r="GI891" s="4">
        <v>47</v>
      </c>
      <c r="GJ891" s="4">
        <v>129</v>
      </c>
      <c r="GK891" s="4">
        <v>122</v>
      </c>
      <c r="GL891" s="4">
        <v>112</v>
      </c>
      <c r="GM891" s="4">
        <v>102</v>
      </c>
      <c r="GN891" s="4">
        <v>92</v>
      </c>
      <c r="GO891" s="4">
        <v>82</v>
      </c>
      <c r="GP891" s="4">
        <v>72</v>
      </c>
      <c r="GQ891" s="4">
        <v>62</v>
      </c>
      <c r="GR891" s="4">
        <v>52</v>
      </c>
      <c r="GS891" s="4">
        <v>42</v>
      </c>
      <c r="GT891" s="4">
        <v>32</v>
      </c>
      <c r="GU891" s="4">
        <v>22</v>
      </c>
      <c r="GV891" s="4">
        <v>294</v>
      </c>
      <c r="GW891" s="4">
        <v>283</v>
      </c>
      <c r="GX891" s="4">
        <v>272</v>
      </c>
      <c r="GY891" s="4">
        <v>261</v>
      </c>
      <c r="GZ891" s="4">
        <v>250</v>
      </c>
      <c r="HA891" s="4">
        <v>239</v>
      </c>
      <c r="HB891" s="4">
        <v>228</v>
      </c>
      <c r="HC891" s="19">
        <v>8.8</v>
      </c>
      <c r="HD891" s="19">
        <v>7.3</v>
      </c>
      <c r="HE891" s="19">
        <v>6</v>
      </c>
      <c r="HF891" s="19">
        <v>5.2</v>
      </c>
      <c r="HG891" s="19">
        <v>5.2</v>
      </c>
      <c r="HH891" s="19">
        <v>4.9</v>
      </c>
      <c r="HI891" s="19">
        <v>4.3</v>
      </c>
      <c r="HJ891" s="19">
        <v>14.3</v>
      </c>
      <c r="HK891" s="19">
        <v>12.2</v>
      </c>
      <c r="HL891" s="19">
        <v>11.2</v>
      </c>
      <c r="HM891" s="19">
        <v>10.2</v>
      </c>
      <c r="HN891" s="19">
        <v>9.2</v>
      </c>
      <c r="HO891" s="19">
        <v>8.2</v>
      </c>
      <c r="HP891" s="19">
        <v>7.2</v>
      </c>
      <c r="HQ891" s="19">
        <v>6.2</v>
      </c>
      <c r="HR891" s="19">
        <v>5.2</v>
      </c>
      <c r="HS891" s="19">
        <v>4.2</v>
      </c>
      <c r="HT891" s="19">
        <v>2.9</v>
      </c>
      <c r="HU891" s="19">
        <v>2</v>
      </c>
      <c r="HV891" s="19">
        <v>26.7</v>
      </c>
      <c r="HW891" s="19">
        <v>25.7</v>
      </c>
      <c r="HX891" s="19">
        <v>24.7</v>
      </c>
      <c r="HY891" s="19">
        <v>23.7</v>
      </c>
      <c r="HZ891" s="19">
        <v>22.7</v>
      </c>
      <c r="IA891" s="19">
        <v>21.7</v>
      </c>
      <c r="IB891" s="19">
        <v>20.7</v>
      </c>
    </row>
    <row r="892">
      <c r="A892" s="2" t="s">
        <v>4606</v>
      </c>
      <c r="B892" s="2" t="s">
        <v>704</v>
      </c>
      <c r="C892" s="2" t="s">
        <v>616</v>
      </c>
      <c r="D892" s="2" t="s">
        <v>705</v>
      </c>
      <c r="E892" s="2" t="s">
        <v>706</v>
      </c>
      <c r="F892" s="2" t="s">
        <v>4607</v>
      </c>
      <c r="G892" s="2" t="s">
        <v>4607</v>
      </c>
      <c r="H892" s="2" t="s">
        <v>4607</v>
      </c>
      <c r="I892" s="2" t="s">
        <v>4608</v>
      </c>
      <c r="J892" s="2" t="s">
        <v>792</v>
      </c>
      <c r="K892" s="2" t="s">
        <v>229</v>
      </c>
      <c r="L892" s="3">
        <v>36.5</v>
      </c>
      <c r="M892" s="3">
        <v>38.33</v>
      </c>
      <c r="N892" s="3">
        <v>79.99</v>
      </c>
      <c r="O892" s="2" t="s">
        <v>230</v>
      </c>
      <c r="P892" s="2" t="s">
        <v>721</v>
      </c>
      <c r="Q892" s="2" t="s">
        <v>232</v>
      </c>
      <c r="R892" s="2" t="s">
        <v>233</v>
      </c>
      <c r="S892" s="2" t="s">
        <v>4609</v>
      </c>
      <c r="T892" s="2" t="s">
        <v>348</v>
      </c>
      <c r="U892" s="2" t="s">
        <v>665</v>
      </c>
      <c r="V892" s="2" t="s">
        <v>236</v>
      </c>
      <c r="W892" s="2" t="s">
        <v>288</v>
      </c>
      <c r="X892" s="2" t="s">
        <v>233</v>
      </c>
      <c r="Y892" s="2" t="s">
        <v>841</v>
      </c>
      <c r="Z892" s="4">
        <v>367</v>
      </c>
      <c r="AA892" s="4">
        <f>=ROUNDDOWN(52.4285714285714,0)</f>
      </c>
      <c r="AB892" s="5">
        <v>7</v>
      </c>
      <c r="AC892" s="2" t="s">
        <v>4610</v>
      </c>
      <c r="AD892" s="4">
        <v>190</v>
      </c>
      <c r="AE892" s="4">
        <v>190</v>
      </c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233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/>
      <c r="AW892" s="8"/>
      <c r="AX892" s="4"/>
      <c r="AY892" s="8"/>
      <c r="AZ892" s="7"/>
      <c r="BA892" s="7"/>
      <c r="BB892" s="7"/>
      <c r="BC892" s="4" t="s">
        <v>233</v>
      </c>
      <c r="BD892" s="8" t="s">
        <v>233</v>
      </c>
      <c r="BE892" s="4" t="s">
        <v>233</v>
      </c>
      <c r="BF892" s="8" t="s">
        <v>233</v>
      </c>
      <c r="BG892" s="7" t="s">
        <v>233</v>
      </c>
      <c r="BH892" s="7" t="s">
        <v>233</v>
      </c>
      <c r="BI892" s="7"/>
      <c r="BJ892" s="4">
        <v>16</v>
      </c>
      <c r="BK892" s="8">
        <v>656.43</v>
      </c>
      <c r="BL892" s="2" t="s">
        <v>4611</v>
      </c>
      <c r="BM892" s="7"/>
      <c r="BN892" s="7"/>
      <c r="BO892" s="4"/>
      <c r="BP892" s="8"/>
      <c r="BQ892" s="4"/>
      <c r="BR892" s="8"/>
      <c r="BS892" s="7"/>
      <c r="BT892" s="7"/>
      <c r="BU892" s="2" t="s">
        <v>4612</v>
      </c>
      <c r="BV892" s="2" t="s">
        <v>233</v>
      </c>
      <c r="BW892" s="2" t="s">
        <v>233</v>
      </c>
      <c r="BX892" s="2" t="s">
        <v>241</v>
      </c>
      <c r="BY892" s="2" t="s">
        <v>242</v>
      </c>
      <c r="BZ892" s="2" t="s">
        <v>230</v>
      </c>
      <c r="CA892" s="2" t="s">
        <v>844</v>
      </c>
      <c r="CB892" s="2" t="s">
        <v>354</v>
      </c>
      <c r="CC892" s="2" t="s">
        <v>245</v>
      </c>
      <c r="CD892" s="2" t="s">
        <v>233</v>
      </c>
      <c r="CE892" s="4">
        <v>367</v>
      </c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>
        <v>190</v>
      </c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>
        <v>369</v>
      </c>
      <c r="GD892" s="4">
        <v>346</v>
      </c>
      <c r="GE892" s="4">
        <v>333</v>
      </c>
      <c r="GF892" s="4">
        <v>319</v>
      </c>
      <c r="GG892" s="4">
        <v>297</v>
      </c>
      <c r="GH892" s="4">
        <v>282</v>
      </c>
      <c r="GI892" s="4">
        <v>262</v>
      </c>
      <c r="GJ892" s="4">
        <v>253</v>
      </c>
      <c r="GK892" s="4">
        <v>247</v>
      </c>
      <c r="GL892" s="4">
        <v>239</v>
      </c>
      <c r="GM892" s="4">
        <v>232</v>
      </c>
      <c r="GN892" s="4">
        <v>225</v>
      </c>
      <c r="GO892" s="4">
        <v>218</v>
      </c>
      <c r="GP892" s="4">
        <v>401</v>
      </c>
      <c r="GQ892" s="4">
        <v>394</v>
      </c>
      <c r="GR892" s="4">
        <v>387</v>
      </c>
      <c r="GS892" s="4">
        <v>380</v>
      </c>
      <c r="GT892" s="4">
        <v>372</v>
      </c>
      <c r="GU892" s="4">
        <v>365</v>
      </c>
      <c r="GV892" s="4">
        <v>358</v>
      </c>
      <c r="GW892" s="4">
        <v>351</v>
      </c>
      <c r="GX892" s="4">
        <v>344</v>
      </c>
      <c r="GY892" s="4">
        <v>337</v>
      </c>
      <c r="GZ892" s="4">
        <v>330</v>
      </c>
      <c r="HA892" s="4">
        <v>323</v>
      </c>
      <c r="HB892" s="4">
        <v>316</v>
      </c>
      <c r="HC892" s="19">
        <v>20.5</v>
      </c>
      <c r="HD892" s="19">
        <v>21.6</v>
      </c>
      <c r="HE892" s="19">
        <v>18.5</v>
      </c>
      <c r="HF892" s="19">
        <v>19.9</v>
      </c>
      <c r="HG892" s="19">
        <v>24.8</v>
      </c>
      <c r="HH892" s="19">
        <v>25.6</v>
      </c>
      <c r="HI892" s="19">
        <v>32.8</v>
      </c>
      <c r="HJ892" s="19">
        <v>36.1</v>
      </c>
      <c r="HK892" s="19">
        <v>35.3</v>
      </c>
      <c r="HL892" s="19">
        <v>34.1</v>
      </c>
      <c r="HM892" s="19">
        <v>33.1</v>
      </c>
      <c r="HN892" s="19">
        <v>32.1</v>
      </c>
      <c r="HO892" s="19">
        <v>31.1</v>
      </c>
      <c r="HP892" s="19">
        <v>57.3</v>
      </c>
      <c r="HQ892" s="19">
        <v>56.3</v>
      </c>
      <c r="HR892" s="19">
        <v>55.3</v>
      </c>
      <c r="HS892" s="19">
        <v>54.3</v>
      </c>
      <c r="HT892" s="19">
        <v>53.1</v>
      </c>
      <c r="HU892" s="19">
        <v>52.1</v>
      </c>
      <c r="HV892" s="19">
        <v>51.1</v>
      </c>
      <c r="HW892" s="19">
        <v>50.1</v>
      </c>
      <c r="HX892" s="19">
        <v>49.1</v>
      </c>
      <c r="HY892" s="19">
        <v>48.1</v>
      </c>
      <c r="HZ892" s="19">
        <v>47.1</v>
      </c>
      <c r="IA892" s="19">
        <v>46.1</v>
      </c>
      <c r="IB892" s="19">
        <v>45.1</v>
      </c>
    </row>
    <row r="893">
      <c r="A893" s="2" t="s">
        <v>4613</v>
      </c>
      <c r="B893" s="2" t="s">
        <v>704</v>
      </c>
      <c r="C893" s="2" t="s">
        <v>616</v>
      </c>
      <c r="D893" s="2" t="s">
        <v>705</v>
      </c>
      <c r="E893" s="2" t="s">
        <v>706</v>
      </c>
      <c r="F893" s="2" t="s">
        <v>4607</v>
      </c>
      <c r="G893" s="2" t="s">
        <v>4607</v>
      </c>
      <c r="H893" s="2" t="s">
        <v>4607</v>
      </c>
      <c r="I893" s="2" t="s">
        <v>4608</v>
      </c>
      <c r="J893" s="2" t="s">
        <v>792</v>
      </c>
      <c r="K893" s="2" t="s">
        <v>300</v>
      </c>
      <c r="L893" s="3">
        <v>36.5</v>
      </c>
      <c r="M893" s="3">
        <v>38.33</v>
      </c>
      <c r="N893" s="3">
        <v>79.99</v>
      </c>
      <c r="O893" s="2" t="s">
        <v>230</v>
      </c>
      <c r="P893" s="2" t="s">
        <v>721</v>
      </c>
      <c r="Q893" s="2" t="s">
        <v>232</v>
      </c>
      <c r="R893" s="2" t="s">
        <v>233</v>
      </c>
      <c r="S893" s="2" t="s">
        <v>4614</v>
      </c>
      <c r="T893" s="2" t="s">
        <v>348</v>
      </c>
      <c r="U893" s="2" t="s">
        <v>665</v>
      </c>
      <c r="V893" s="2" t="s">
        <v>236</v>
      </c>
      <c r="W893" s="2" t="s">
        <v>288</v>
      </c>
      <c r="X893" s="2" t="s">
        <v>233</v>
      </c>
      <c r="Y893" s="2" t="s">
        <v>841</v>
      </c>
      <c r="Z893" s="4">
        <v>452</v>
      </c>
      <c r="AA893" s="4">
        <f>=ROUNDDOWN(64.5714285714286,0)</f>
      </c>
      <c r="AB893" s="5">
        <v>7</v>
      </c>
      <c r="AC893" s="2" t="s">
        <v>4610</v>
      </c>
      <c r="AD893" s="4">
        <v>180</v>
      </c>
      <c r="AE893" s="4">
        <v>180</v>
      </c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233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/>
      <c r="AW893" s="8"/>
      <c r="AX893" s="4"/>
      <c r="AY893" s="8"/>
      <c r="AZ893" s="7"/>
      <c r="BA893" s="7"/>
      <c r="BB893" s="7"/>
      <c r="BC893" s="4" t="s">
        <v>233</v>
      </c>
      <c r="BD893" s="8" t="s">
        <v>233</v>
      </c>
      <c r="BE893" s="4" t="s">
        <v>233</v>
      </c>
      <c r="BF893" s="8" t="s">
        <v>233</v>
      </c>
      <c r="BG893" s="7" t="s">
        <v>233</v>
      </c>
      <c r="BH893" s="7" t="s">
        <v>233</v>
      </c>
      <c r="BI893" s="7"/>
      <c r="BJ893" s="4">
        <v>16</v>
      </c>
      <c r="BK893" s="8">
        <v>657.21</v>
      </c>
      <c r="BL893" s="2" t="s">
        <v>4615</v>
      </c>
      <c r="BM893" s="7"/>
      <c r="BN893" s="7"/>
      <c r="BO893" s="4"/>
      <c r="BP893" s="8"/>
      <c r="BQ893" s="4"/>
      <c r="BR893" s="8"/>
      <c r="BS893" s="7"/>
      <c r="BT893" s="7"/>
      <c r="BU893" s="2" t="s">
        <v>4612</v>
      </c>
      <c r="BV893" s="2" t="s">
        <v>233</v>
      </c>
      <c r="BW893" s="2" t="s">
        <v>233</v>
      </c>
      <c r="BX893" s="2" t="s">
        <v>241</v>
      </c>
      <c r="BY893" s="2" t="s">
        <v>242</v>
      </c>
      <c r="BZ893" s="2" t="s">
        <v>230</v>
      </c>
      <c r="CA893" s="2" t="s">
        <v>844</v>
      </c>
      <c r="CB893" s="2" t="s">
        <v>4616</v>
      </c>
      <c r="CC893" s="2" t="s">
        <v>245</v>
      </c>
      <c r="CD893" s="2" t="s">
        <v>233</v>
      </c>
      <c r="CE893" s="4">
        <v>452</v>
      </c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>
        <v>180</v>
      </c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>
        <v>454</v>
      </c>
      <c r="GD893" s="4">
        <v>430</v>
      </c>
      <c r="GE893" s="4">
        <v>418</v>
      </c>
      <c r="GF893" s="4">
        <v>404</v>
      </c>
      <c r="GG893" s="4">
        <v>382</v>
      </c>
      <c r="GH893" s="4">
        <v>367</v>
      </c>
      <c r="GI893" s="4">
        <v>347</v>
      </c>
      <c r="GJ893" s="4">
        <v>338</v>
      </c>
      <c r="GK893" s="4">
        <v>332</v>
      </c>
      <c r="GL893" s="4">
        <v>324</v>
      </c>
      <c r="GM893" s="4">
        <v>317</v>
      </c>
      <c r="GN893" s="4">
        <v>310</v>
      </c>
      <c r="GO893" s="4">
        <v>303</v>
      </c>
      <c r="GP893" s="4">
        <v>476</v>
      </c>
      <c r="GQ893" s="4">
        <v>469</v>
      </c>
      <c r="GR893" s="4">
        <v>462</v>
      </c>
      <c r="GS893" s="4">
        <v>455</v>
      </c>
      <c r="GT893" s="4">
        <v>447</v>
      </c>
      <c r="GU893" s="4">
        <v>440</v>
      </c>
      <c r="GV893" s="4">
        <v>433</v>
      </c>
      <c r="GW893" s="4">
        <v>426</v>
      </c>
      <c r="GX893" s="4">
        <v>419</v>
      </c>
      <c r="GY893" s="4">
        <v>412</v>
      </c>
      <c r="GZ893" s="4">
        <v>405</v>
      </c>
      <c r="HA893" s="4">
        <v>398</v>
      </c>
      <c r="HB893" s="4">
        <v>391</v>
      </c>
      <c r="HC893" s="19">
        <v>25.2</v>
      </c>
      <c r="HD893" s="19">
        <v>26.9</v>
      </c>
      <c r="HE893" s="19">
        <v>23.2</v>
      </c>
      <c r="HF893" s="19">
        <v>25.3</v>
      </c>
      <c r="HG893" s="19">
        <v>31.8</v>
      </c>
      <c r="HH893" s="19">
        <v>33.4</v>
      </c>
      <c r="HI893" s="19">
        <v>43.4</v>
      </c>
      <c r="HJ893" s="19">
        <v>48.3</v>
      </c>
      <c r="HK893" s="19">
        <v>47.4</v>
      </c>
      <c r="HL893" s="19">
        <v>46.3</v>
      </c>
      <c r="HM893" s="19">
        <v>45.3</v>
      </c>
      <c r="HN893" s="19">
        <v>44.3</v>
      </c>
      <c r="HO893" s="19">
        <v>43.3</v>
      </c>
      <c r="HP893" s="19">
        <v>68</v>
      </c>
      <c r="HQ893" s="19">
        <v>67</v>
      </c>
      <c r="HR893" s="19">
        <v>66</v>
      </c>
      <c r="HS893" s="19">
        <v>65</v>
      </c>
      <c r="HT893" s="19">
        <v>63.9</v>
      </c>
      <c r="HU893" s="19">
        <v>62.9</v>
      </c>
      <c r="HV893" s="19">
        <v>61.9</v>
      </c>
      <c r="HW893" s="19">
        <v>60.9</v>
      </c>
      <c r="HX893" s="19">
        <v>59.9</v>
      </c>
      <c r="HY893" s="19">
        <v>58.9</v>
      </c>
      <c r="HZ893" s="19">
        <v>57.9</v>
      </c>
      <c r="IA893" s="19">
        <v>56.9</v>
      </c>
      <c r="IB893" s="19">
        <v>55.9</v>
      </c>
    </row>
    <row r="894">
      <c r="A894" s="2" t="s">
        <v>4617</v>
      </c>
      <c r="B894" s="2" t="s">
        <v>704</v>
      </c>
      <c r="C894" s="2" t="s">
        <v>616</v>
      </c>
      <c r="D894" s="2" t="s">
        <v>705</v>
      </c>
      <c r="E894" s="2" t="s">
        <v>706</v>
      </c>
      <c r="F894" s="2" t="s">
        <v>4607</v>
      </c>
      <c r="G894" s="2" t="s">
        <v>4607</v>
      </c>
      <c r="H894" s="2" t="s">
        <v>4607</v>
      </c>
      <c r="I894" s="2" t="s">
        <v>4608</v>
      </c>
      <c r="J894" s="2" t="s">
        <v>792</v>
      </c>
      <c r="K894" s="2" t="s">
        <v>266</v>
      </c>
      <c r="L894" s="3">
        <v>36.5</v>
      </c>
      <c r="M894" s="3">
        <v>38.33</v>
      </c>
      <c r="N894" s="3">
        <v>79.99</v>
      </c>
      <c r="O894" s="2" t="s">
        <v>230</v>
      </c>
      <c r="P894" s="2" t="s">
        <v>721</v>
      </c>
      <c r="Q894" s="2" t="s">
        <v>232</v>
      </c>
      <c r="R894" s="2" t="s">
        <v>233</v>
      </c>
      <c r="S894" s="2" t="s">
        <v>4618</v>
      </c>
      <c r="T894" s="2" t="s">
        <v>348</v>
      </c>
      <c r="U894" s="2" t="s">
        <v>665</v>
      </c>
      <c r="V894" s="2" t="s">
        <v>236</v>
      </c>
      <c r="W894" s="2" t="s">
        <v>288</v>
      </c>
      <c r="X894" s="2" t="s">
        <v>233</v>
      </c>
      <c r="Y894" s="2" t="s">
        <v>841</v>
      </c>
      <c r="Z894" s="4">
        <v>418</v>
      </c>
      <c r="AA894" s="4">
        <f>=ROUNDDOWN(83.6,0)</f>
      </c>
      <c r="AB894" s="5">
        <v>5</v>
      </c>
      <c r="AC894" s="2" t="s">
        <v>4610</v>
      </c>
      <c r="AD894" s="4">
        <v>180</v>
      </c>
      <c r="AE894" s="4">
        <v>180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233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/>
      <c r="AW894" s="8"/>
      <c r="AX894" s="4"/>
      <c r="AY894" s="8"/>
      <c r="AZ894" s="7"/>
      <c r="BA894" s="7"/>
      <c r="BB894" s="7"/>
      <c r="BC894" s="4" t="s">
        <v>233</v>
      </c>
      <c r="BD894" s="8" t="s">
        <v>233</v>
      </c>
      <c r="BE894" s="4" t="s">
        <v>233</v>
      </c>
      <c r="BF894" s="8" t="s">
        <v>233</v>
      </c>
      <c r="BG894" s="7" t="s">
        <v>233</v>
      </c>
      <c r="BH894" s="7" t="s">
        <v>233</v>
      </c>
      <c r="BI894" s="7"/>
      <c r="BJ894" s="4">
        <v>10</v>
      </c>
      <c r="BK894" s="8">
        <v>405.86</v>
      </c>
      <c r="BL894" s="2" t="s">
        <v>4619</v>
      </c>
      <c r="BM894" s="7"/>
      <c r="BN894" s="7"/>
      <c r="BO894" s="4"/>
      <c r="BP894" s="8"/>
      <c r="BQ894" s="4"/>
      <c r="BR894" s="8"/>
      <c r="BS894" s="7"/>
      <c r="BT894" s="7"/>
      <c r="BU894" s="2" t="s">
        <v>4612</v>
      </c>
      <c r="BV894" s="2" t="s">
        <v>233</v>
      </c>
      <c r="BW894" s="2" t="s">
        <v>233</v>
      </c>
      <c r="BX894" s="2" t="s">
        <v>241</v>
      </c>
      <c r="BY894" s="2" t="s">
        <v>242</v>
      </c>
      <c r="BZ894" s="2" t="s">
        <v>230</v>
      </c>
      <c r="CA894" s="2" t="s">
        <v>844</v>
      </c>
      <c r="CB894" s="2" t="s">
        <v>4402</v>
      </c>
      <c r="CC894" s="2" t="s">
        <v>245</v>
      </c>
      <c r="CD894" s="2" t="s">
        <v>233</v>
      </c>
      <c r="CE894" s="4">
        <v>418</v>
      </c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>
        <v>180</v>
      </c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>
        <v>420</v>
      </c>
      <c r="GD894" s="4">
        <v>399</v>
      </c>
      <c r="GE894" s="4">
        <v>391</v>
      </c>
      <c r="GF894" s="4">
        <v>382</v>
      </c>
      <c r="GG894" s="4">
        <v>367</v>
      </c>
      <c r="GH894" s="4">
        <v>357</v>
      </c>
      <c r="GI894" s="4">
        <v>343</v>
      </c>
      <c r="GJ894" s="4">
        <v>336</v>
      </c>
      <c r="GK894" s="4">
        <v>331</v>
      </c>
      <c r="GL894" s="4">
        <v>326</v>
      </c>
      <c r="GM894" s="4">
        <v>321</v>
      </c>
      <c r="GN894" s="4">
        <v>316</v>
      </c>
      <c r="GO894" s="4">
        <v>311</v>
      </c>
      <c r="GP894" s="4">
        <v>486</v>
      </c>
      <c r="GQ894" s="4">
        <v>481</v>
      </c>
      <c r="GR894" s="4">
        <v>476</v>
      </c>
      <c r="GS894" s="4">
        <v>471</v>
      </c>
      <c r="GT894" s="4">
        <v>466</v>
      </c>
      <c r="GU894" s="4">
        <v>461</v>
      </c>
      <c r="GV894" s="4">
        <v>456</v>
      </c>
      <c r="GW894" s="4">
        <v>451</v>
      </c>
      <c r="GX894" s="4">
        <v>446</v>
      </c>
      <c r="GY894" s="4">
        <v>441</v>
      </c>
      <c r="GZ894" s="4">
        <v>436</v>
      </c>
      <c r="HA894" s="4">
        <v>431</v>
      </c>
      <c r="HB894" s="4">
        <v>426</v>
      </c>
      <c r="HC894" s="19">
        <v>32.3</v>
      </c>
      <c r="HD894" s="19">
        <v>39.9</v>
      </c>
      <c r="HE894" s="19">
        <v>32.6</v>
      </c>
      <c r="HF894" s="19">
        <v>31.8</v>
      </c>
      <c r="HG894" s="19">
        <v>40.8</v>
      </c>
      <c r="HH894" s="19">
        <v>44.6</v>
      </c>
      <c r="HI894" s="19">
        <v>57.2</v>
      </c>
      <c r="HJ894" s="19">
        <v>67.2</v>
      </c>
      <c r="HK894" s="19">
        <v>66.2</v>
      </c>
      <c r="HL894" s="19">
        <v>65.2</v>
      </c>
      <c r="HM894" s="19">
        <v>64.2</v>
      </c>
      <c r="HN894" s="19">
        <v>63.2</v>
      </c>
      <c r="HO894" s="19">
        <v>62.2</v>
      </c>
      <c r="HP894" s="19">
        <v>97.2</v>
      </c>
      <c r="HQ894" s="19">
        <v>96.2</v>
      </c>
      <c r="HR894" s="19">
        <v>95.2</v>
      </c>
      <c r="HS894" s="19">
        <v>94.2</v>
      </c>
      <c r="HT894" s="19">
        <v>93.2</v>
      </c>
      <c r="HU894" s="19">
        <v>92.2</v>
      </c>
      <c r="HV894" s="19">
        <v>91.2</v>
      </c>
      <c r="HW894" s="19">
        <v>90.2</v>
      </c>
      <c r="HX894" s="19">
        <v>89.2</v>
      </c>
      <c r="HY894" s="19">
        <v>88.2</v>
      </c>
      <c r="HZ894" s="19">
        <v>87.2</v>
      </c>
      <c r="IA894" s="19">
        <v>86.2</v>
      </c>
      <c r="IB894" s="19">
        <v>85.2</v>
      </c>
    </row>
    <row r="895">
      <c r="A895" s="2" t="s">
        <v>4620</v>
      </c>
      <c r="B895" s="2" t="s">
        <v>704</v>
      </c>
      <c r="C895" s="2" t="s">
        <v>3056</v>
      </c>
      <c r="D895" s="2" t="s">
        <v>705</v>
      </c>
      <c r="E895" s="2" t="s">
        <v>706</v>
      </c>
      <c r="F895" s="2" t="s">
        <v>4621</v>
      </c>
      <c r="G895" s="2" t="s">
        <v>4621</v>
      </c>
      <c r="H895" s="2" t="s">
        <v>4621</v>
      </c>
      <c r="I895" s="2" t="s">
        <v>4622</v>
      </c>
      <c r="J895" s="2" t="s">
        <v>792</v>
      </c>
      <c r="K895" s="2" t="s">
        <v>1500</v>
      </c>
      <c r="L895" s="3">
        <v>23.09</v>
      </c>
      <c r="M895" s="3">
        <v>24.24</v>
      </c>
      <c r="N895" s="3">
        <v>54.99</v>
      </c>
      <c r="O895" s="2" t="s">
        <v>230</v>
      </c>
      <c r="P895" s="2" t="s">
        <v>231</v>
      </c>
      <c r="Q895" s="2" t="s">
        <v>232</v>
      </c>
      <c r="R895" s="2" t="s">
        <v>233</v>
      </c>
      <c r="S895" s="2" t="s">
        <v>4623</v>
      </c>
      <c r="T895" s="2" t="s">
        <v>348</v>
      </c>
      <c r="U895" s="2" t="s">
        <v>665</v>
      </c>
      <c r="V895" s="2" t="s">
        <v>236</v>
      </c>
      <c r="W895" s="2" t="s">
        <v>237</v>
      </c>
      <c r="X895" s="2" t="s">
        <v>620</v>
      </c>
      <c r="Y895" s="2" t="s">
        <v>4514</v>
      </c>
      <c r="Z895" s="4">
        <v>724</v>
      </c>
      <c r="AA895" s="4">
        <f>=ROUNDDOWN(34.4761904761905,0)</f>
      </c>
      <c r="AB895" s="5">
        <v>21</v>
      </c>
      <c r="AC895" s="2" t="s">
        <v>637</v>
      </c>
      <c r="AD895" s="4">
        <v>380</v>
      </c>
      <c r="AE895" s="4">
        <v>380</v>
      </c>
      <c r="AF895" s="6">
        <v>73</v>
      </c>
      <c r="AG895" s="6"/>
      <c r="AH895" s="7">
        <v>1</v>
      </c>
      <c r="AI895" s="4"/>
      <c r="AJ895" s="4">
        <f>=ROUNDDOWN({0},0)</f>
      </c>
      <c r="AK895" s="5"/>
      <c r="AL895" s="2" t="s">
        <v>233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/>
      <c r="AW895" s="8"/>
      <c r="AX895" s="4"/>
      <c r="AY895" s="8"/>
      <c r="AZ895" s="7"/>
      <c r="BA895" s="7"/>
      <c r="BB895" s="7"/>
      <c r="BC895" s="4" t="s">
        <v>233</v>
      </c>
      <c r="BD895" s="8" t="s">
        <v>233</v>
      </c>
      <c r="BE895" s="4" t="s">
        <v>233</v>
      </c>
      <c r="BF895" s="8" t="s">
        <v>233</v>
      </c>
      <c r="BG895" s="7" t="s">
        <v>233</v>
      </c>
      <c r="BH895" s="7" t="s">
        <v>233</v>
      </c>
      <c r="BI895" s="7"/>
      <c r="BJ895" s="4">
        <v>86</v>
      </c>
      <c r="BK895" s="8">
        <v>2244.08</v>
      </c>
      <c r="BL895" s="2" t="s">
        <v>4624</v>
      </c>
      <c r="BM895" s="7"/>
      <c r="BN895" s="7"/>
      <c r="BO895" s="4"/>
      <c r="BP895" s="8"/>
      <c r="BQ895" s="4"/>
      <c r="BR895" s="8"/>
      <c r="BS895" s="7"/>
      <c r="BT895" s="7"/>
      <c r="BU895" s="2" t="s">
        <v>4625</v>
      </c>
      <c r="BV895" s="2" t="s">
        <v>233</v>
      </c>
      <c r="BW895" s="2" t="s">
        <v>233</v>
      </c>
      <c r="BX895" s="2" t="s">
        <v>241</v>
      </c>
      <c r="BY895" s="2" t="s">
        <v>242</v>
      </c>
      <c r="BZ895" s="2" t="s">
        <v>230</v>
      </c>
      <c r="CA895" s="2" t="s">
        <v>3194</v>
      </c>
      <c r="CB895" s="2" t="s">
        <v>1290</v>
      </c>
      <c r="CC895" s="2" t="s">
        <v>245</v>
      </c>
      <c r="CD895" s="2" t="s">
        <v>233</v>
      </c>
      <c r="CE895" s="4">
        <v>724</v>
      </c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>
        <v>380</v>
      </c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>
        <v>728</v>
      </c>
      <c r="GD895" s="4">
        <v>709</v>
      </c>
      <c r="GE895" s="4">
        <v>680</v>
      </c>
      <c r="GF895" s="4">
        <v>646</v>
      </c>
      <c r="GG895" s="4">
        <v>589</v>
      </c>
      <c r="GH895" s="4">
        <v>942</v>
      </c>
      <c r="GI895" s="4">
        <v>904</v>
      </c>
      <c r="GJ895" s="4">
        <v>887</v>
      </c>
      <c r="GK895" s="4">
        <v>876</v>
      </c>
      <c r="GL895" s="4">
        <v>853</v>
      </c>
      <c r="GM895" s="4">
        <v>832</v>
      </c>
      <c r="GN895" s="4">
        <v>811</v>
      </c>
      <c r="GO895" s="4">
        <v>790</v>
      </c>
      <c r="GP895" s="4">
        <v>769</v>
      </c>
      <c r="GQ895" s="4">
        <v>748</v>
      </c>
      <c r="GR895" s="4">
        <v>727</v>
      </c>
      <c r="GS895" s="4">
        <v>706</v>
      </c>
      <c r="GT895" s="4">
        <v>683</v>
      </c>
      <c r="GU895" s="4">
        <v>662</v>
      </c>
      <c r="GV895" s="4">
        <v>641</v>
      </c>
      <c r="GW895" s="4">
        <v>620</v>
      </c>
      <c r="GX895" s="4">
        <v>599</v>
      </c>
      <c r="GY895" s="4">
        <v>578</v>
      </c>
      <c r="GZ895" s="4">
        <v>557</v>
      </c>
      <c r="HA895" s="4">
        <v>536</v>
      </c>
      <c r="HB895" s="4">
        <v>515</v>
      </c>
      <c r="HC895" s="19">
        <v>20.8</v>
      </c>
      <c r="HD895" s="19">
        <v>19.2</v>
      </c>
      <c r="HE895" s="19">
        <v>17.4</v>
      </c>
      <c r="HF895" s="19">
        <v>18.5</v>
      </c>
      <c r="HG895" s="19">
        <v>25.6</v>
      </c>
      <c r="HH895" s="19">
        <v>42.8</v>
      </c>
      <c r="HI895" s="19">
        <v>50.2</v>
      </c>
      <c r="HJ895" s="19">
        <v>46.7</v>
      </c>
      <c r="HK895" s="19">
        <v>39.8</v>
      </c>
      <c r="HL895" s="19">
        <v>40.6</v>
      </c>
      <c r="HM895" s="19">
        <v>39.6</v>
      </c>
      <c r="HN895" s="19">
        <v>38.6</v>
      </c>
      <c r="HO895" s="19">
        <v>37.6</v>
      </c>
      <c r="HP895" s="19">
        <v>35</v>
      </c>
      <c r="HQ895" s="19">
        <v>34</v>
      </c>
      <c r="HR895" s="19">
        <v>33</v>
      </c>
      <c r="HS895" s="19">
        <v>32.1</v>
      </c>
      <c r="HT895" s="19">
        <v>32.5</v>
      </c>
      <c r="HU895" s="19">
        <v>31.5</v>
      </c>
      <c r="HV895" s="19">
        <v>30.5</v>
      </c>
      <c r="HW895" s="19">
        <v>29.5</v>
      </c>
      <c r="HX895" s="19">
        <v>28.5</v>
      </c>
      <c r="HY895" s="19">
        <v>27.5</v>
      </c>
      <c r="HZ895" s="19">
        <v>26.5</v>
      </c>
      <c r="IA895" s="19">
        <v>25.5</v>
      </c>
      <c r="IB895" s="19">
        <v>24.5</v>
      </c>
    </row>
    <row r="896">
      <c r="A896" s="2" t="s">
        <v>4626</v>
      </c>
      <c r="B896" s="2" t="s">
        <v>704</v>
      </c>
      <c r="C896" s="2" t="s">
        <v>3056</v>
      </c>
      <c r="D896" s="2" t="s">
        <v>705</v>
      </c>
      <c r="E896" s="2" t="s">
        <v>706</v>
      </c>
      <c r="F896" s="2" t="s">
        <v>4621</v>
      </c>
      <c r="G896" s="2" t="s">
        <v>4621</v>
      </c>
      <c r="H896" s="2" t="s">
        <v>4621</v>
      </c>
      <c r="I896" s="2" t="s">
        <v>4622</v>
      </c>
      <c r="J896" s="2" t="s">
        <v>792</v>
      </c>
      <c r="K896" s="2" t="s">
        <v>300</v>
      </c>
      <c r="L896" s="3">
        <v>23.09</v>
      </c>
      <c r="M896" s="3">
        <v>24.24</v>
      </c>
      <c r="N896" s="3">
        <v>54.99</v>
      </c>
      <c r="O896" s="2" t="s">
        <v>230</v>
      </c>
      <c r="P896" s="2" t="s">
        <v>231</v>
      </c>
      <c r="Q896" s="2" t="s">
        <v>232</v>
      </c>
      <c r="R896" s="2" t="s">
        <v>233</v>
      </c>
      <c r="S896" s="2" t="s">
        <v>4627</v>
      </c>
      <c r="T896" s="2" t="s">
        <v>348</v>
      </c>
      <c r="U896" s="2" t="s">
        <v>665</v>
      </c>
      <c r="V896" s="2" t="s">
        <v>236</v>
      </c>
      <c r="W896" s="2" t="s">
        <v>237</v>
      </c>
      <c r="X896" s="2" t="s">
        <v>620</v>
      </c>
      <c r="Y896" s="2" t="s">
        <v>4514</v>
      </c>
      <c r="Z896" s="4">
        <v>321</v>
      </c>
      <c r="AA896" s="4">
        <f>=ROUNDDOWN(22.9285714285714,0)</f>
      </c>
      <c r="AB896" s="5">
        <v>14</v>
      </c>
      <c r="AC896" s="2" t="s">
        <v>637</v>
      </c>
      <c r="AD896" s="4">
        <v>570</v>
      </c>
      <c r="AE896" s="4">
        <v>570</v>
      </c>
      <c r="AF896" s="6">
        <v>73</v>
      </c>
      <c r="AG896" s="6"/>
      <c r="AH896" s="7">
        <v>1</v>
      </c>
      <c r="AI896" s="4"/>
      <c r="AJ896" s="4">
        <f>=ROUNDDOWN({0},0)</f>
      </c>
      <c r="AK896" s="5"/>
      <c r="AL896" s="2" t="s">
        <v>233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 t="s">
        <v>233</v>
      </c>
      <c r="BD896" s="8" t="s">
        <v>233</v>
      </c>
      <c r="BE896" s="4" t="s">
        <v>233</v>
      </c>
      <c r="BF896" s="8" t="s">
        <v>233</v>
      </c>
      <c r="BG896" s="7" t="s">
        <v>233</v>
      </c>
      <c r="BH896" s="7" t="s">
        <v>233</v>
      </c>
      <c r="BI896" s="7"/>
      <c r="BJ896" s="4">
        <v>43</v>
      </c>
      <c r="BK896" s="8">
        <v>1113.1</v>
      </c>
      <c r="BL896" s="2" t="s">
        <v>4628</v>
      </c>
      <c r="BM896" s="7"/>
      <c r="BN896" s="7"/>
      <c r="BO896" s="4"/>
      <c r="BP896" s="8"/>
      <c r="BQ896" s="4"/>
      <c r="BR896" s="8"/>
      <c r="BS896" s="7"/>
      <c r="BT896" s="7"/>
      <c r="BU896" s="2" t="s">
        <v>4625</v>
      </c>
      <c r="BV896" s="2" t="s">
        <v>233</v>
      </c>
      <c r="BW896" s="2" t="s">
        <v>233</v>
      </c>
      <c r="BX896" s="2" t="s">
        <v>241</v>
      </c>
      <c r="BY896" s="2" t="s">
        <v>242</v>
      </c>
      <c r="BZ896" s="2" t="s">
        <v>230</v>
      </c>
      <c r="CA896" s="2" t="s">
        <v>3194</v>
      </c>
      <c r="CB896" s="2" t="s">
        <v>4629</v>
      </c>
      <c r="CC896" s="2" t="s">
        <v>245</v>
      </c>
      <c r="CD896" s="2" t="s">
        <v>233</v>
      </c>
      <c r="CE896" s="4">
        <v>321</v>
      </c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>
        <v>570</v>
      </c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>
        <v>327</v>
      </c>
      <c r="GD896" s="4">
        <v>311</v>
      </c>
      <c r="GE896" s="4">
        <v>291</v>
      </c>
      <c r="GF896" s="4">
        <v>269</v>
      </c>
      <c r="GG896" s="4">
        <v>231</v>
      </c>
      <c r="GH896" s="4">
        <v>783</v>
      </c>
      <c r="GI896" s="4">
        <v>758</v>
      </c>
      <c r="GJ896" s="4">
        <v>747</v>
      </c>
      <c r="GK896" s="4">
        <v>740</v>
      </c>
      <c r="GL896" s="4">
        <v>725</v>
      </c>
      <c r="GM896" s="4">
        <v>711</v>
      </c>
      <c r="GN896" s="4">
        <v>697</v>
      </c>
      <c r="GO896" s="4">
        <v>683</v>
      </c>
      <c r="GP896" s="4">
        <v>669</v>
      </c>
      <c r="GQ896" s="4">
        <v>655</v>
      </c>
      <c r="GR896" s="4">
        <v>641</v>
      </c>
      <c r="GS896" s="4">
        <v>627</v>
      </c>
      <c r="GT896" s="4">
        <v>612</v>
      </c>
      <c r="GU896" s="4">
        <v>598</v>
      </c>
      <c r="GV896" s="4">
        <v>584</v>
      </c>
      <c r="GW896" s="4">
        <v>570</v>
      </c>
      <c r="GX896" s="4">
        <v>556</v>
      </c>
      <c r="GY896" s="4">
        <v>542</v>
      </c>
      <c r="GZ896" s="4">
        <v>528</v>
      </c>
      <c r="HA896" s="4">
        <v>514</v>
      </c>
      <c r="HB896" s="4">
        <v>500</v>
      </c>
      <c r="HC896" s="19">
        <v>13.6</v>
      </c>
      <c r="HD896" s="19">
        <v>13</v>
      </c>
      <c r="HE896" s="19">
        <v>11.2</v>
      </c>
      <c r="HF896" s="19">
        <v>11.7</v>
      </c>
      <c r="HG896" s="19">
        <v>15.4</v>
      </c>
      <c r="HH896" s="19">
        <v>55.9</v>
      </c>
      <c r="HI896" s="19">
        <v>63.2</v>
      </c>
      <c r="HJ896" s="19">
        <v>62.3</v>
      </c>
      <c r="HK896" s="19">
        <v>52.9</v>
      </c>
      <c r="HL896" s="19">
        <v>51.8</v>
      </c>
      <c r="HM896" s="19">
        <v>50.8</v>
      </c>
      <c r="HN896" s="19">
        <v>49.8</v>
      </c>
      <c r="HO896" s="19">
        <v>48.8</v>
      </c>
      <c r="HP896" s="19">
        <v>47.8</v>
      </c>
      <c r="HQ896" s="19">
        <v>46.8</v>
      </c>
      <c r="HR896" s="19">
        <v>45.8</v>
      </c>
      <c r="HS896" s="19">
        <v>44.8</v>
      </c>
      <c r="HT896" s="19">
        <v>43.7</v>
      </c>
      <c r="HU896" s="19">
        <v>42.7</v>
      </c>
      <c r="HV896" s="19">
        <v>41.7</v>
      </c>
      <c r="HW896" s="19">
        <v>40.7</v>
      </c>
      <c r="HX896" s="19">
        <v>39.7</v>
      </c>
      <c r="HY896" s="19">
        <v>38.7</v>
      </c>
      <c r="HZ896" s="19">
        <v>37.7</v>
      </c>
      <c r="IA896" s="19">
        <v>36.7</v>
      </c>
      <c r="IB896" s="19">
        <v>35.7</v>
      </c>
    </row>
    <row r="897">
      <c r="A897" s="2" t="s">
        <v>4630</v>
      </c>
      <c r="B897" s="2" t="s">
        <v>704</v>
      </c>
      <c r="C897" s="2" t="s">
        <v>3056</v>
      </c>
      <c r="D897" s="2" t="s">
        <v>705</v>
      </c>
      <c r="E897" s="2" t="s">
        <v>706</v>
      </c>
      <c r="F897" s="2" t="s">
        <v>4621</v>
      </c>
      <c r="G897" s="2" t="s">
        <v>4621</v>
      </c>
      <c r="H897" s="2" t="s">
        <v>4621</v>
      </c>
      <c r="I897" s="2" t="s">
        <v>4622</v>
      </c>
      <c r="J897" s="2" t="s">
        <v>792</v>
      </c>
      <c r="K897" s="2" t="s">
        <v>955</v>
      </c>
      <c r="L897" s="3">
        <v>23.09</v>
      </c>
      <c r="M897" s="3">
        <v>24.24</v>
      </c>
      <c r="N897" s="3">
        <v>54.99</v>
      </c>
      <c r="O897" s="2" t="s">
        <v>230</v>
      </c>
      <c r="P897" s="2" t="s">
        <v>231</v>
      </c>
      <c r="Q897" s="2" t="s">
        <v>232</v>
      </c>
      <c r="R897" s="2" t="s">
        <v>233</v>
      </c>
      <c r="S897" s="2" t="s">
        <v>4631</v>
      </c>
      <c r="T897" s="2" t="s">
        <v>348</v>
      </c>
      <c r="U897" s="2" t="s">
        <v>665</v>
      </c>
      <c r="V897" s="2" t="s">
        <v>236</v>
      </c>
      <c r="W897" s="2" t="s">
        <v>237</v>
      </c>
      <c r="X897" s="2" t="s">
        <v>620</v>
      </c>
      <c r="Y897" s="2" t="s">
        <v>4514</v>
      </c>
      <c r="Z897" s="4">
        <v>574</v>
      </c>
      <c r="AA897" s="4">
        <f>=ROUNDDOWN(52.1818181818182,0)</f>
      </c>
      <c r="AB897" s="5">
        <v>11</v>
      </c>
      <c r="AC897" s="2" t="s">
        <v>233</v>
      </c>
      <c r="AD897" s="4"/>
      <c r="AE897" s="4"/>
      <c r="AF897" s="6">
        <v>73</v>
      </c>
      <c r="AG897" s="6"/>
      <c r="AH897" s="7">
        <v>1</v>
      </c>
      <c r="AI897" s="4"/>
      <c r="AJ897" s="4">
        <f>=ROUNDDOWN({0},0)</f>
      </c>
      <c r="AK897" s="5"/>
      <c r="AL897" s="2" t="s">
        <v>233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 t="s">
        <v>233</v>
      </c>
      <c r="BD897" s="8" t="s">
        <v>233</v>
      </c>
      <c r="BE897" s="4" t="s">
        <v>233</v>
      </c>
      <c r="BF897" s="8" t="s">
        <v>233</v>
      </c>
      <c r="BG897" s="7" t="s">
        <v>233</v>
      </c>
      <c r="BH897" s="7" t="s">
        <v>233</v>
      </c>
      <c r="BI897" s="7"/>
      <c r="BJ897" s="4">
        <v>40</v>
      </c>
      <c r="BK897" s="8">
        <v>1036.4</v>
      </c>
      <c r="BL897" s="2" t="s">
        <v>4632</v>
      </c>
      <c r="BM897" s="7"/>
      <c r="BN897" s="7"/>
      <c r="BO897" s="4"/>
      <c r="BP897" s="8"/>
      <c r="BQ897" s="4"/>
      <c r="BR897" s="8"/>
      <c r="BS897" s="7"/>
      <c r="BT897" s="7"/>
      <c r="BU897" s="2" t="s">
        <v>4625</v>
      </c>
      <c r="BV897" s="2" t="s">
        <v>233</v>
      </c>
      <c r="BW897" s="2" t="s">
        <v>233</v>
      </c>
      <c r="BX897" s="2" t="s">
        <v>241</v>
      </c>
      <c r="BY897" s="2" t="s">
        <v>242</v>
      </c>
      <c r="BZ897" s="2" t="s">
        <v>230</v>
      </c>
      <c r="CA897" s="2" t="s">
        <v>3194</v>
      </c>
      <c r="CB897" s="2" t="s">
        <v>4633</v>
      </c>
      <c r="CC897" s="2" t="s">
        <v>245</v>
      </c>
      <c r="CD897" s="2" t="s">
        <v>233</v>
      </c>
      <c r="CE897" s="4">
        <v>574</v>
      </c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>
        <v>575</v>
      </c>
      <c r="GD897" s="4">
        <v>565</v>
      </c>
      <c r="GE897" s="4">
        <v>550</v>
      </c>
      <c r="GF897" s="4">
        <v>532</v>
      </c>
      <c r="GG897" s="4">
        <v>502</v>
      </c>
      <c r="GH897" s="4">
        <v>488</v>
      </c>
      <c r="GI897" s="4">
        <v>468</v>
      </c>
      <c r="GJ897" s="4">
        <v>459</v>
      </c>
      <c r="GK897" s="4">
        <v>453</v>
      </c>
      <c r="GL897" s="4">
        <v>441</v>
      </c>
      <c r="GM897" s="4">
        <v>430</v>
      </c>
      <c r="GN897" s="4">
        <v>419</v>
      </c>
      <c r="GO897" s="4">
        <v>408</v>
      </c>
      <c r="GP897" s="4">
        <v>397</v>
      </c>
      <c r="GQ897" s="4">
        <v>386</v>
      </c>
      <c r="GR897" s="4">
        <v>375</v>
      </c>
      <c r="GS897" s="4">
        <v>364</v>
      </c>
      <c r="GT897" s="4">
        <v>352</v>
      </c>
      <c r="GU897" s="4">
        <v>341</v>
      </c>
      <c r="GV897" s="4">
        <v>330</v>
      </c>
      <c r="GW897" s="4">
        <v>319</v>
      </c>
      <c r="GX897" s="4">
        <v>308</v>
      </c>
      <c r="GY897" s="4">
        <v>297</v>
      </c>
      <c r="GZ897" s="4">
        <v>286</v>
      </c>
      <c r="HA897" s="4">
        <v>275</v>
      </c>
      <c r="HB897" s="4">
        <v>264</v>
      </c>
      <c r="HC897" s="19">
        <v>31.9</v>
      </c>
      <c r="HD897" s="19">
        <v>29.7</v>
      </c>
      <c r="HE897" s="19">
        <v>27.5</v>
      </c>
      <c r="HF897" s="19">
        <v>29.6</v>
      </c>
      <c r="HG897" s="19">
        <v>41.8</v>
      </c>
      <c r="HH897" s="19">
        <v>40.7</v>
      </c>
      <c r="HI897" s="19">
        <v>46.8</v>
      </c>
      <c r="HJ897" s="19">
        <v>45.9</v>
      </c>
      <c r="HK897" s="19">
        <v>41.2</v>
      </c>
      <c r="HL897" s="19">
        <v>40.1</v>
      </c>
      <c r="HM897" s="19">
        <v>39.1</v>
      </c>
      <c r="HN897" s="19">
        <v>38.1</v>
      </c>
      <c r="HO897" s="19">
        <v>37.1</v>
      </c>
      <c r="HP897" s="19">
        <v>36.1</v>
      </c>
      <c r="HQ897" s="19">
        <v>35.1</v>
      </c>
      <c r="HR897" s="19">
        <v>34.1</v>
      </c>
      <c r="HS897" s="19">
        <v>33.1</v>
      </c>
      <c r="HT897" s="19">
        <v>32</v>
      </c>
      <c r="HU897" s="19">
        <v>31</v>
      </c>
      <c r="HV897" s="19">
        <v>30</v>
      </c>
      <c r="HW897" s="19">
        <v>29</v>
      </c>
      <c r="HX897" s="19">
        <v>28</v>
      </c>
      <c r="HY897" s="19">
        <v>27</v>
      </c>
      <c r="HZ897" s="19">
        <v>26</v>
      </c>
      <c r="IA897" s="19">
        <v>25</v>
      </c>
      <c r="IB897" s="19">
        <v>24</v>
      </c>
    </row>
    <row r="898">
      <c r="A898" s="2" t="s">
        <v>4634</v>
      </c>
      <c r="B898" s="2" t="s">
        <v>704</v>
      </c>
      <c r="C898" s="2" t="s">
        <v>3056</v>
      </c>
      <c r="D898" s="2" t="s">
        <v>705</v>
      </c>
      <c r="E898" s="2" t="s">
        <v>706</v>
      </c>
      <c r="F898" s="2" t="s">
        <v>4621</v>
      </c>
      <c r="G898" s="2" t="s">
        <v>4621</v>
      </c>
      <c r="H898" s="2" t="s">
        <v>4621</v>
      </c>
      <c r="I898" s="2" t="s">
        <v>4622</v>
      </c>
      <c r="J898" s="2" t="s">
        <v>792</v>
      </c>
      <c r="K898" s="2" t="s">
        <v>266</v>
      </c>
      <c r="L898" s="3">
        <v>23.09</v>
      </c>
      <c r="M898" s="3">
        <v>24.24</v>
      </c>
      <c r="N898" s="3">
        <v>54.99</v>
      </c>
      <c r="O898" s="2" t="s">
        <v>230</v>
      </c>
      <c r="P898" s="2" t="s">
        <v>231</v>
      </c>
      <c r="Q898" s="2" t="s">
        <v>232</v>
      </c>
      <c r="R898" s="2" t="s">
        <v>233</v>
      </c>
      <c r="S898" s="2" t="s">
        <v>4635</v>
      </c>
      <c r="T898" s="2" t="s">
        <v>348</v>
      </c>
      <c r="U898" s="2" t="s">
        <v>665</v>
      </c>
      <c r="V898" s="2" t="s">
        <v>236</v>
      </c>
      <c r="W898" s="2" t="s">
        <v>237</v>
      </c>
      <c r="X898" s="2" t="s">
        <v>620</v>
      </c>
      <c r="Y898" s="2" t="s">
        <v>4514</v>
      </c>
      <c r="Z898" s="4">
        <v>356</v>
      </c>
      <c r="AA898" s="4">
        <f>=ROUNDDOWN(29.6666666666667,0)</f>
      </c>
      <c r="AB898" s="5">
        <v>12</v>
      </c>
      <c r="AC898" s="2" t="s">
        <v>637</v>
      </c>
      <c r="AD898" s="4">
        <v>190</v>
      </c>
      <c r="AE898" s="4">
        <v>190</v>
      </c>
      <c r="AF898" s="6">
        <v>73</v>
      </c>
      <c r="AG898" s="6"/>
      <c r="AH898" s="7">
        <v>0.2581</v>
      </c>
      <c r="AI898" s="4"/>
      <c r="AJ898" s="4">
        <f>=ROUNDDOWN({0},0)</f>
      </c>
      <c r="AK898" s="5"/>
      <c r="AL898" s="2" t="s">
        <v>233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/>
      <c r="AW898" s="8"/>
      <c r="AX898" s="4"/>
      <c r="AY898" s="8"/>
      <c r="AZ898" s="7"/>
      <c r="BA898" s="7"/>
      <c r="BB898" s="7"/>
      <c r="BC898" s="4" t="s">
        <v>233</v>
      </c>
      <c r="BD898" s="8" t="s">
        <v>233</v>
      </c>
      <c r="BE898" s="4" t="s">
        <v>233</v>
      </c>
      <c r="BF898" s="8" t="s">
        <v>233</v>
      </c>
      <c r="BG898" s="7" t="s">
        <v>233</v>
      </c>
      <c r="BH898" s="7" t="s">
        <v>233</v>
      </c>
      <c r="BI898" s="7"/>
      <c r="BJ898" s="4">
        <v>12</v>
      </c>
      <c r="BK898" s="8">
        <v>306.4</v>
      </c>
      <c r="BL898" s="2" t="s">
        <v>4636</v>
      </c>
      <c r="BM898" s="7"/>
      <c r="BN898" s="7"/>
      <c r="BO898" s="4"/>
      <c r="BP898" s="8"/>
      <c r="BQ898" s="4"/>
      <c r="BR898" s="8"/>
      <c r="BS898" s="7"/>
      <c r="BT898" s="7"/>
      <c r="BU898" s="2" t="s">
        <v>4625</v>
      </c>
      <c r="BV898" s="2" t="s">
        <v>233</v>
      </c>
      <c r="BW898" s="2" t="s">
        <v>233</v>
      </c>
      <c r="BX898" s="2" t="s">
        <v>241</v>
      </c>
      <c r="BY898" s="2" t="s">
        <v>242</v>
      </c>
      <c r="BZ898" s="2" t="s">
        <v>230</v>
      </c>
      <c r="CA898" s="2" t="s">
        <v>3194</v>
      </c>
      <c r="CB898" s="2" t="s">
        <v>4637</v>
      </c>
      <c r="CC898" s="2" t="s">
        <v>245</v>
      </c>
      <c r="CD898" s="2" t="s">
        <v>233</v>
      </c>
      <c r="CE898" s="4">
        <v>356</v>
      </c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>
        <v>190</v>
      </c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>
        <v>378</v>
      </c>
      <c r="GD898" s="4">
        <v>368</v>
      </c>
      <c r="GE898" s="4">
        <v>351</v>
      </c>
      <c r="GF898" s="4">
        <v>332</v>
      </c>
      <c r="GG898" s="4">
        <v>300</v>
      </c>
      <c r="GH898" s="4">
        <v>474</v>
      </c>
      <c r="GI898" s="4">
        <v>452</v>
      </c>
      <c r="GJ898" s="4">
        <v>442</v>
      </c>
      <c r="GK898" s="4">
        <v>436</v>
      </c>
      <c r="GL898" s="4">
        <v>423</v>
      </c>
      <c r="GM898" s="4">
        <v>411</v>
      </c>
      <c r="GN898" s="4">
        <v>399</v>
      </c>
      <c r="GO898" s="4">
        <v>387</v>
      </c>
      <c r="GP898" s="4">
        <v>375</v>
      </c>
      <c r="GQ898" s="4">
        <v>363</v>
      </c>
      <c r="GR898" s="4">
        <v>351</v>
      </c>
      <c r="GS898" s="4">
        <v>339</v>
      </c>
      <c r="GT898" s="4">
        <v>326</v>
      </c>
      <c r="GU898" s="4">
        <v>314</v>
      </c>
      <c r="GV898" s="4">
        <v>302</v>
      </c>
      <c r="GW898" s="4">
        <v>290</v>
      </c>
      <c r="GX898" s="4">
        <v>278</v>
      </c>
      <c r="GY898" s="4">
        <v>266</v>
      </c>
      <c r="GZ898" s="4">
        <v>254</v>
      </c>
      <c r="HA898" s="4">
        <v>242</v>
      </c>
      <c r="HB898" s="4">
        <v>230</v>
      </c>
      <c r="HC898" s="19">
        <v>18.9</v>
      </c>
      <c r="HD898" s="19">
        <v>17.5</v>
      </c>
      <c r="HE898" s="19">
        <v>16</v>
      </c>
      <c r="HF898" s="19">
        <v>16.6</v>
      </c>
      <c r="HG898" s="19">
        <v>21.4</v>
      </c>
      <c r="HH898" s="19">
        <v>36.5</v>
      </c>
      <c r="HI898" s="19">
        <v>45.2</v>
      </c>
      <c r="HJ898" s="19">
        <v>40.2</v>
      </c>
      <c r="HK898" s="19">
        <v>36.3</v>
      </c>
      <c r="HL898" s="19">
        <v>35.3</v>
      </c>
      <c r="HM898" s="19">
        <v>34.3</v>
      </c>
      <c r="HN898" s="19">
        <v>33.3</v>
      </c>
      <c r="HO898" s="19">
        <v>32.3</v>
      </c>
      <c r="HP898" s="19">
        <v>31.3</v>
      </c>
      <c r="HQ898" s="19">
        <v>30.3</v>
      </c>
      <c r="HR898" s="19">
        <v>29.3</v>
      </c>
      <c r="HS898" s="19">
        <v>28.3</v>
      </c>
      <c r="HT898" s="19">
        <v>27.2</v>
      </c>
      <c r="HU898" s="19">
        <v>26.2</v>
      </c>
      <c r="HV898" s="19">
        <v>25.2</v>
      </c>
      <c r="HW898" s="19">
        <v>24.2</v>
      </c>
      <c r="HX898" s="19">
        <v>23.2</v>
      </c>
      <c r="HY898" s="19">
        <v>22.2</v>
      </c>
      <c r="HZ898" s="19">
        <v>21.2</v>
      </c>
      <c r="IA898" s="19">
        <v>20.2</v>
      </c>
      <c r="IB898" s="19">
        <v>19.2</v>
      </c>
    </row>
    <row r="899">
      <c r="A899" s="2" t="s">
        <v>4638</v>
      </c>
      <c r="B899" s="2" t="s">
        <v>736</v>
      </c>
      <c r="C899" s="2" t="s">
        <v>280</v>
      </c>
      <c r="D899" s="2" t="s">
        <v>1197</v>
      </c>
      <c r="E899" s="2" t="s">
        <v>738</v>
      </c>
      <c r="F899" s="2" t="s">
        <v>4639</v>
      </c>
      <c r="G899" s="2" t="s">
        <v>233</v>
      </c>
      <c r="H899" s="2" t="s">
        <v>233</v>
      </c>
      <c r="I899" s="2" t="s">
        <v>4640</v>
      </c>
      <c r="J899" s="2" t="s">
        <v>741</v>
      </c>
      <c r="K899" s="2" t="s">
        <v>229</v>
      </c>
      <c r="L899" s="3">
        <v>24.5</v>
      </c>
      <c r="M899" s="3">
        <v>25.72</v>
      </c>
      <c r="N899" s="3">
        <v>50.99</v>
      </c>
      <c r="O899" s="2" t="s">
        <v>230</v>
      </c>
      <c r="P899" s="2" t="s">
        <v>231</v>
      </c>
      <c r="Q899" s="2" t="s">
        <v>232</v>
      </c>
      <c r="R899" s="2" t="s">
        <v>233</v>
      </c>
      <c r="S899" s="2" t="s">
        <v>4641</v>
      </c>
      <c r="T899" s="2" t="s">
        <v>233</v>
      </c>
      <c r="U899" s="2" t="s">
        <v>287</v>
      </c>
      <c r="V899" s="2" t="s">
        <v>1190</v>
      </c>
      <c r="W899" s="2" t="s">
        <v>1190</v>
      </c>
      <c r="X899" s="2" t="s">
        <v>233</v>
      </c>
      <c r="Y899" s="2" t="s">
        <v>1673</v>
      </c>
      <c r="Z899" s="4">
        <v>142</v>
      </c>
      <c r="AA899" s="4">
        <f>=ROUNDDOWN(25.8181818181818,0)</f>
      </c>
      <c r="AB899" s="5">
        <v>5.5</v>
      </c>
      <c r="AC899" s="2" t="s">
        <v>233</v>
      </c>
      <c r="AD899" s="4"/>
      <c r="AE899" s="4"/>
      <c r="AF899" s="6">
        <v>63</v>
      </c>
      <c r="AG899" s="6"/>
      <c r="AH899" s="7">
        <v>1</v>
      </c>
      <c r="AI899" s="4"/>
      <c r="AJ899" s="4">
        <f>=ROUNDDOWN({0},0)</f>
      </c>
      <c r="AK899" s="5"/>
      <c r="AL899" s="2" t="s">
        <v>233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/>
      <c r="AW899" s="8"/>
      <c r="AX899" s="4"/>
      <c r="AY899" s="8"/>
      <c r="AZ899" s="7"/>
      <c r="BA899" s="7"/>
      <c r="BB899" s="7"/>
      <c r="BC899" s="4"/>
      <c r="BD899" s="8"/>
      <c r="BE899" s="4"/>
      <c r="BF899" s="8"/>
      <c r="BG899" s="7"/>
      <c r="BH899" s="7"/>
      <c r="BI899" s="7"/>
      <c r="BJ899" s="4">
        <v>27</v>
      </c>
      <c r="BK899" s="8">
        <v>785.28</v>
      </c>
      <c r="BL899" s="2" t="s">
        <v>4642</v>
      </c>
      <c r="BM899" s="7"/>
      <c r="BN899" s="7"/>
      <c r="BO899" s="4"/>
      <c r="BP899" s="8"/>
      <c r="BQ899" s="4"/>
      <c r="BR899" s="8"/>
      <c r="BS899" s="7"/>
      <c r="BT899" s="7"/>
      <c r="BU899" s="2" t="s">
        <v>4643</v>
      </c>
      <c r="BV899" s="2" t="s">
        <v>233</v>
      </c>
      <c r="BW899" s="2" t="s">
        <v>233</v>
      </c>
      <c r="BX899" s="2" t="s">
        <v>241</v>
      </c>
      <c r="BY899" s="2" t="s">
        <v>242</v>
      </c>
      <c r="BZ899" s="2" t="s">
        <v>230</v>
      </c>
      <c r="CA899" s="2" t="s">
        <v>4644</v>
      </c>
      <c r="CB899" s="2" t="s">
        <v>2581</v>
      </c>
      <c r="CC899" s="2" t="s">
        <v>245</v>
      </c>
      <c r="CD899" s="2" t="s">
        <v>233</v>
      </c>
      <c r="CE899" s="4"/>
      <c r="CF899" s="4">
        <v>142</v>
      </c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>
        <v>147</v>
      </c>
      <c r="GD899" s="4">
        <v>142</v>
      </c>
      <c r="GE899" s="4">
        <v>136</v>
      </c>
      <c r="GF899" s="4">
        <v>129</v>
      </c>
      <c r="GG899" s="4">
        <v>122</v>
      </c>
      <c r="GH899" s="4">
        <v>115</v>
      </c>
      <c r="GI899" s="4">
        <v>108</v>
      </c>
      <c r="GJ899" s="4">
        <v>102</v>
      </c>
      <c r="GK899" s="4">
        <v>96</v>
      </c>
      <c r="GL899" s="4">
        <v>90</v>
      </c>
      <c r="GM899" s="4">
        <v>83</v>
      </c>
      <c r="GN899" s="4">
        <v>77</v>
      </c>
      <c r="GO899" s="4">
        <v>71</v>
      </c>
      <c r="GP899" s="4">
        <v>65</v>
      </c>
      <c r="GQ899" s="4">
        <v>59</v>
      </c>
      <c r="GR899" s="4">
        <v>53</v>
      </c>
      <c r="GS899" s="4">
        <v>47</v>
      </c>
      <c r="GT899" s="4">
        <v>40</v>
      </c>
      <c r="GU899" s="4">
        <v>34</v>
      </c>
      <c r="GV899" s="4">
        <v>28</v>
      </c>
      <c r="GW899" s="4">
        <v>22</v>
      </c>
      <c r="GX899" s="4">
        <v>67</v>
      </c>
      <c r="GY899" s="4">
        <v>61</v>
      </c>
      <c r="GZ899" s="4">
        <v>55</v>
      </c>
      <c r="HA899" s="4">
        <v>48</v>
      </c>
      <c r="HB899" s="4">
        <v>42</v>
      </c>
      <c r="HC899" s="19">
        <v>24.5</v>
      </c>
      <c r="HD899" s="19">
        <v>20.3</v>
      </c>
      <c r="HE899" s="19">
        <v>19.4</v>
      </c>
      <c r="HF899" s="19">
        <v>18.4</v>
      </c>
      <c r="HG899" s="19">
        <v>20.3</v>
      </c>
      <c r="HH899" s="19">
        <v>19.2</v>
      </c>
      <c r="HI899" s="19">
        <v>18</v>
      </c>
      <c r="HJ899" s="19">
        <v>17</v>
      </c>
      <c r="HK899" s="19">
        <v>16</v>
      </c>
      <c r="HL899" s="19">
        <v>15</v>
      </c>
      <c r="HM899" s="19">
        <v>13.8</v>
      </c>
      <c r="HN899" s="19">
        <v>12.8</v>
      </c>
      <c r="HO899" s="19">
        <v>11.8</v>
      </c>
      <c r="HP899" s="19">
        <v>10.8</v>
      </c>
      <c r="HQ899" s="19">
        <v>9.8</v>
      </c>
      <c r="HR899" s="19">
        <v>8.8</v>
      </c>
      <c r="HS899" s="19">
        <v>7.8</v>
      </c>
      <c r="HT899" s="19">
        <v>6.7</v>
      </c>
      <c r="HU899" s="19">
        <v>5.7</v>
      </c>
      <c r="HV899" s="19">
        <v>4.7</v>
      </c>
      <c r="HW899" s="19">
        <v>3.7</v>
      </c>
      <c r="HX899" s="19">
        <v>11.2</v>
      </c>
      <c r="HY899" s="19">
        <v>10.2</v>
      </c>
      <c r="HZ899" s="19">
        <v>9.2</v>
      </c>
      <c r="IA899" s="19">
        <v>8</v>
      </c>
      <c r="IB899" s="19">
        <v>7</v>
      </c>
    </row>
    <row r="900">
      <c r="A900" s="2" t="s">
        <v>4645</v>
      </c>
      <c r="B900" s="2" t="s">
        <v>923</v>
      </c>
      <c r="C900" s="2" t="s">
        <v>280</v>
      </c>
      <c r="D900" s="2" t="s">
        <v>951</v>
      </c>
      <c r="E900" s="2" t="s">
        <v>952</v>
      </c>
      <c r="F900" s="2" t="s">
        <v>4646</v>
      </c>
      <c r="G900" s="2" t="s">
        <v>4647</v>
      </c>
      <c r="H900" s="2" t="s">
        <v>4648</v>
      </c>
      <c r="I900" s="2" t="s">
        <v>4649</v>
      </c>
      <c r="J900" s="2" t="s">
        <v>954</v>
      </c>
      <c r="K900" s="2" t="s">
        <v>4650</v>
      </c>
      <c r="L900" s="3">
        <v>23</v>
      </c>
      <c r="M900" s="3">
        <v>24.15</v>
      </c>
      <c r="N900" s="3">
        <v>49.99</v>
      </c>
      <c r="O900" s="2" t="s">
        <v>230</v>
      </c>
      <c r="P900" s="2" t="s">
        <v>231</v>
      </c>
      <c r="Q900" s="2" t="s">
        <v>232</v>
      </c>
      <c r="R900" s="2" t="s">
        <v>233</v>
      </c>
      <c r="S900" s="2" t="s">
        <v>4651</v>
      </c>
      <c r="T900" s="2" t="s">
        <v>233</v>
      </c>
      <c r="U900" s="2" t="s">
        <v>329</v>
      </c>
      <c r="V900" s="2" t="s">
        <v>1251</v>
      </c>
      <c r="W900" s="2" t="s">
        <v>818</v>
      </c>
      <c r="X900" s="2" t="s">
        <v>233</v>
      </c>
      <c r="Y900" s="2" t="s">
        <v>4652</v>
      </c>
      <c r="Z900" s="4">
        <v>374</v>
      </c>
      <c r="AA900" s="4">
        <f>=ROUNDDOWN(31.1666666666667,0)</f>
      </c>
      <c r="AB900" s="5">
        <v>12</v>
      </c>
      <c r="AC900" s="2" t="s">
        <v>233</v>
      </c>
      <c r="AD900" s="4"/>
      <c r="AE900" s="4"/>
      <c r="AF900" s="6">
        <v>64</v>
      </c>
      <c r="AG900" s="6"/>
      <c r="AH900" s="7">
        <v>1</v>
      </c>
      <c r="AI900" s="4"/>
      <c r="AJ900" s="4">
        <f>=ROUNDDOWN({0},0)</f>
      </c>
      <c r="AK900" s="5"/>
      <c r="AL900" s="2" t="s">
        <v>233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/>
      <c r="AW900" s="8"/>
      <c r="AX900" s="4"/>
      <c r="AY900" s="8"/>
      <c r="AZ900" s="7"/>
      <c r="BA900" s="7"/>
      <c r="BB900" s="7"/>
      <c r="BC900" s="4"/>
      <c r="BD900" s="8"/>
      <c r="BE900" s="4"/>
      <c r="BF900" s="8"/>
      <c r="BG900" s="7"/>
      <c r="BH900" s="7"/>
      <c r="BI900" s="7"/>
      <c r="BJ900" s="4">
        <v>64</v>
      </c>
      <c r="BK900" s="8">
        <v>1675.37</v>
      </c>
      <c r="BL900" s="2" t="s">
        <v>2313</v>
      </c>
      <c r="BM900" s="7"/>
      <c r="BN900" s="7"/>
      <c r="BO900" s="4"/>
      <c r="BP900" s="8"/>
      <c r="BQ900" s="4"/>
      <c r="BR900" s="8"/>
      <c r="BS900" s="7"/>
      <c r="BT900" s="7"/>
      <c r="BU900" s="2" t="s">
        <v>4653</v>
      </c>
      <c r="BV900" s="2" t="s">
        <v>233</v>
      </c>
      <c r="BW900" s="2" t="s">
        <v>233</v>
      </c>
      <c r="BX900" s="2" t="s">
        <v>293</v>
      </c>
      <c r="BY900" s="2" t="s">
        <v>242</v>
      </c>
      <c r="BZ900" s="2" t="s">
        <v>230</v>
      </c>
      <c r="CA900" s="2" t="s">
        <v>4654</v>
      </c>
      <c r="CB900" s="2" t="s">
        <v>2645</v>
      </c>
      <c r="CC900" s="2" t="s">
        <v>245</v>
      </c>
      <c r="CD900" s="2" t="s">
        <v>233</v>
      </c>
      <c r="CE900" s="4">
        <v>374</v>
      </c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>
        <v>382</v>
      </c>
      <c r="GD900" s="4">
        <v>370</v>
      </c>
      <c r="GE900" s="4">
        <v>356</v>
      </c>
      <c r="GF900" s="4">
        <v>340</v>
      </c>
      <c r="GG900" s="4">
        <v>317</v>
      </c>
      <c r="GH900" s="4">
        <v>299</v>
      </c>
      <c r="GI900" s="4">
        <v>281</v>
      </c>
      <c r="GJ900" s="4">
        <v>270</v>
      </c>
      <c r="GK900" s="4">
        <v>261</v>
      </c>
      <c r="GL900" s="4">
        <v>248</v>
      </c>
      <c r="GM900" s="4">
        <v>235</v>
      </c>
      <c r="GN900" s="4">
        <v>223</v>
      </c>
      <c r="GO900" s="4">
        <v>211</v>
      </c>
      <c r="GP900" s="4">
        <v>199</v>
      </c>
      <c r="GQ900" s="4">
        <v>187</v>
      </c>
      <c r="GR900" s="4">
        <v>175</v>
      </c>
      <c r="GS900" s="4">
        <v>163</v>
      </c>
      <c r="GT900" s="4">
        <v>150</v>
      </c>
      <c r="GU900" s="4">
        <v>138</v>
      </c>
      <c r="GV900" s="4">
        <v>126</v>
      </c>
      <c r="GW900" s="4">
        <v>114</v>
      </c>
      <c r="GX900" s="4">
        <v>102</v>
      </c>
      <c r="GY900" s="4">
        <v>90</v>
      </c>
      <c r="GZ900" s="4">
        <v>78</v>
      </c>
      <c r="HA900" s="4">
        <v>65</v>
      </c>
      <c r="HB900" s="4">
        <v>108</v>
      </c>
      <c r="HC900" s="19">
        <v>23.9</v>
      </c>
      <c r="HD900" s="19">
        <v>20.6</v>
      </c>
      <c r="HE900" s="19">
        <v>18.7</v>
      </c>
      <c r="HF900" s="19">
        <v>18.9</v>
      </c>
      <c r="HG900" s="19">
        <v>22.6</v>
      </c>
      <c r="HH900" s="19">
        <v>23</v>
      </c>
      <c r="HI900" s="19">
        <v>23.4</v>
      </c>
      <c r="HJ900" s="19">
        <v>22.5</v>
      </c>
      <c r="HK900" s="19">
        <v>21.8</v>
      </c>
      <c r="HL900" s="19">
        <v>20.7</v>
      </c>
      <c r="HM900" s="19">
        <v>19.6</v>
      </c>
      <c r="HN900" s="19">
        <v>18.6</v>
      </c>
      <c r="HO900" s="19">
        <v>17.6</v>
      </c>
      <c r="HP900" s="19">
        <v>16.6</v>
      </c>
      <c r="HQ900" s="19">
        <v>15.6</v>
      </c>
      <c r="HR900" s="19">
        <v>14.6</v>
      </c>
      <c r="HS900" s="19">
        <v>13.6</v>
      </c>
      <c r="HT900" s="19">
        <v>12.5</v>
      </c>
      <c r="HU900" s="19">
        <v>11.5</v>
      </c>
      <c r="HV900" s="19">
        <v>10.5</v>
      </c>
      <c r="HW900" s="19">
        <v>9.5</v>
      </c>
      <c r="HX900" s="19">
        <v>8.5</v>
      </c>
      <c r="HY900" s="19">
        <v>7.5</v>
      </c>
      <c r="HZ900" s="19">
        <v>6.5</v>
      </c>
      <c r="IA900" s="19">
        <v>5.4</v>
      </c>
      <c r="IB900" s="19">
        <v>9</v>
      </c>
    </row>
    <row r="901">
      <c r="A901" s="2" t="s">
        <v>4655</v>
      </c>
      <c r="B901" s="2" t="s">
        <v>773</v>
      </c>
      <c r="C901" s="2" t="s">
        <v>280</v>
      </c>
      <c r="D901" s="2" t="s">
        <v>1442</v>
      </c>
      <c r="E901" s="2" t="s">
        <v>1443</v>
      </c>
      <c r="F901" s="2" t="s">
        <v>4656</v>
      </c>
      <c r="G901" s="2" t="s">
        <v>4656</v>
      </c>
      <c r="H901" s="2" t="s">
        <v>4656</v>
      </c>
      <c r="I901" s="2" t="s">
        <v>4657</v>
      </c>
      <c r="J901" s="2" t="s">
        <v>989</v>
      </c>
      <c r="K901" s="2" t="s">
        <v>434</v>
      </c>
      <c r="L901" s="3">
        <v>11.64</v>
      </c>
      <c r="M901" s="3">
        <v>12.22</v>
      </c>
      <c r="N901" s="3">
        <v>25.99</v>
      </c>
      <c r="O901" s="2" t="s">
        <v>230</v>
      </c>
      <c r="P901" s="2" t="s">
        <v>231</v>
      </c>
      <c r="Q901" s="2" t="s">
        <v>232</v>
      </c>
      <c r="R901" s="2" t="s">
        <v>233</v>
      </c>
      <c r="S901" s="2" t="s">
        <v>4658</v>
      </c>
      <c r="T901" s="2" t="s">
        <v>1859</v>
      </c>
      <c r="U901" s="2" t="s">
        <v>233</v>
      </c>
      <c r="V901" s="2" t="s">
        <v>782</v>
      </c>
      <c r="W901" s="2" t="s">
        <v>237</v>
      </c>
      <c r="X901" s="2" t="s">
        <v>712</v>
      </c>
      <c r="Y901" s="2" t="s">
        <v>238</v>
      </c>
      <c r="Z901" s="4">
        <v>967</v>
      </c>
      <c r="AA901" s="4">
        <f>=ROUNDDOWN(42.0434782608696,0)</f>
      </c>
      <c r="AB901" s="5">
        <v>23</v>
      </c>
      <c r="AC901" s="2" t="s">
        <v>172</v>
      </c>
      <c r="AD901" s="4">
        <v>300</v>
      </c>
      <c r="AE901" s="4">
        <v>600</v>
      </c>
      <c r="AF901" s="6">
        <v>64</v>
      </c>
      <c r="AG901" s="6"/>
      <c r="AH901" s="7">
        <v>1</v>
      </c>
      <c r="AI901" s="4"/>
      <c r="AJ901" s="4">
        <f>=ROUNDDOWN({0},0)</f>
      </c>
      <c r="AK901" s="5"/>
      <c r="AL901" s="2" t="s">
        <v>233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/>
      <c r="AW901" s="8"/>
      <c r="AX901" s="4"/>
      <c r="AY901" s="8"/>
      <c r="AZ901" s="7"/>
      <c r="BA901" s="7"/>
      <c r="BB901" s="7"/>
      <c r="BC901" s="4" t="s">
        <v>233</v>
      </c>
      <c r="BD901" s="8" t="s">
        <v>233</v>
      </c>
      <c r="BE901" s="4" t="s">
        <v>233</v>
      </c>
      <c r="BF901" s="8" t="s">
        <v>233</v>
      </c>
      <c r="BG901" s="7" t="s">
        <v>233</v>
      </c>
      <c r="BH901" s="7" t="s">
        <v>233</v>
      </c>
      <c r="BI901" s="7"/>
      <c r="BJ901" s="4">
        <v>73</v>
      </c>
      <c r="BK901" s="8">
        <v>837.23</v>
      </c>
      <c r="BL901" s="2" t="s">
        <v>4659</v>
      </c>
      <c r="BM901" s="7"/>
      <c r="BN901" s="7"/>
      <c r="BO901" s="4"/>
      <c r="BP901" s="8"/>
      <c r="BQ901" s="4"/>
      <c r="BR901" s="8"/>
      <c r="BS901" s="7"/>
      <c r="BT901" s="7"/>
      <c r="BU901" s="2" t="s">
        <v>4660</v>
      </c>
      <c r="BV901" s="2" t="s">
        <v>233</v>
      </c>
      <c r="BW901" s="2" t="s">
        <v>233</v>
      </c>
      <c r="BX901" s="2" t="s">
        <v>241</v>
      </c>
      <c r="BY901" s="2" t="s">
        <v>242</v>
      </c>
      <c r="BZ901" s="2" t="s">
        <v>230</v>
      </c>
      <c r="CA901" s="2" t="s">
        <v>243</v>
      </c>
      <c r="CB901" s="2" t="s">
        <v>4661</v>
      </c>
      <c r="CC901" s="2" t="s">
        <v>245</v>
      </c>
      <c r="CD901" s="2" t="s">
        <v>233</v>
      </c>
      <c r="CE901" s="4">
        <v>967</v>
      </c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>
        <v>300</v>
      </c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>
        <v>300</v>
      </c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>
        <v>1795</v>
      </c>
      <c r="GD901" s="4">
        <v>1654</v>
      </c>
      <c r="GE901" s="4">
        <v>1467</v>
      </c>
      <c r="GF901" s="4">
        <v>1394</v>
      </c>
      <c r="GG901" s="4">
        <v>1241</v>
      </c>
      <c r="GH901" s="4">
        <v>1114</v>
      </c>
      <c r="GI901" s="4">
        <v>885</v>
      </c>
      <c r="GJ901" s="4">
        <v>749</v>
      </c>
      <c r="GK901" s="4">
        <v>709</v>
      </c>
      <c r="GL901" s="4">
        <v>679</v>
      </c>
      <c r="GM901" s="4">
        <v>652</v>
      </c>
      <c r="GN901" s="4">
        <v>625</v>
      </c>
      <c r="GO901" s="4">
        <v>596</v>
      </c>
      <c r="GP901" s="4">
        <v>862</v>
      </c>
      <c r="GQ901" s="4">
        <v>828</v>
      </c>
      <c r="GR901" s="4">
        <v>805</v>
      </c>
      <c r="GS901" s="4">
        <v>782</v>
      </c>
      <c r="GT901" s="4">
        <v>757</v>
      </c>
      <c r="GU901" s="4">
        <v>734</v>
      </c>
      <c r="GV901" s="4">
        <v>711</v>
      </c>
      <c r="GW901" s="4">
        <v>688</v>
      </c>
      <c r="GX901" s="4">
        <v>665</v>
      </c>
      <c r="GY901" s="4">
        <v>642</v>
      </c>
      <c r="GZ901" s="4">
        <v>619</v>
      </c>
      <c r="HA901" s="4">
        <v>596</v>
      </c>
      <c r="HB901" s="4">
        <v>573</v>
      </c>
      <c r="HC901" s="19">
        <v>13</v>
      </c>
      <c r="HD901" s="19">
        <v>12.3</v>
      </c>
      <c r="HE901" s="19">
        <v>10</v>
      </c>
      <c r="HF901" s="19">
        <v>8.7</v>
      </c>
      <c r="HG901" s="19">
        <v>9.3</v>
      </c>
      <c r="HH901" s="19">
        <v>10.2</v>
      </c>
      <c r="HI901" s="19">
        <v>15.3</v>
      </c>
      <c r="HJ901" s="19">
        <v>24.2</v>
      </c>
      <c r="HK901" s="19">
        <v>25.3</v>
      </c>
      <c r="HL901" s="19">
        <v>23.4</v>
      </c>
      <c r="HM901" s="19">
        <v>21</v>
      </c>
      <c r="HN901" s="19">
        <v>20.8</v>
      </c>
      <c r="HO901" s="19">
        <v>21.3</v>
      </c>
      <c r="HP901" s="19">
        <v>33.2</v>
      </c>
      <c r="HQ901" s="19">
        <v>34.5</v>
      </c>
      <c r="HR901" s="19">
        <v>33.5</v>
      </c>
      <c r="HS901" s="19">
        <v>32.6</v>
      </c>
      <c r="HT901" s="19">
        <v>32.9</v>
      </c>
      <c r="HU901" s="19">
        <v>31.9</v>
      </c>
      <c r="HV901" s="19">
        <v>30.9</v>
      </c>
      <c r="HW901" s="19">
        <v>29.9</v>
      </c>
      <c r="HX901" s="19">
        <v>28.9</v>
      </c>
      <c r="HY901" s="19">
        <v>27.9</v>
      </c>
      <c r="HZ901" s="19">
        <v>26.9</v>
      </c>
      <c r="IA901" s="19">
        <v>25.9</v>
      </c>
      <c r="IB901" s="19">
        <v>24.9</v>
      </c>
    </row>
    <row r="902">
      <c r="A902" s="2" t="s">
        <v>4662</v>
      </c>
      <c r="B902" s="2" t="s">
        <v>773</v>
      </c>
      <c r="C902" s="2" t="s">
        <v>280</v>
      </c>
      <c r="D902" s="2" t="s">
        <v>1442</v>
      </c>
      <c r="E902" s="2" t="s">
        <v>1443</v>
      </c>
      <c r="F902" s="2" t="s">
        <v>4656</v>
      </c>
      <c r="G902" s="2" t="s">
        <v>4656</v>
      </c>
      <c r="H902" s="2" t="s">
        <v>4656</v>
      </c>
      <c r="I902" s="2" t="s">
        <v>4657</v>
      </c>
      <c r="J902" s="2" t="s">
        <v>989</v>
      </c>
      <c r="K902" s="2" t="s">
        <v>1511</v>
      </c>
      <c r="L902" s="3">
        <v>11.64</v>
      </c>
      <c r="M902" s="3">
        <v>12.22</v>
      </c>
      <c r="N902" s="3">
        <v>25.99</v>
      </c>
      <c r="O902" s="2" t="s">
        <v>230</v>
      </c>
      <c r="P902" s="2" t="s">
        <v>231</v>
      </c>
      <c r="Q902" s="2" t="s">
        <v>232</v>
      </c>
      <c r="R902" s="2" t="s">
        <v>233</v>
      </c>
      <c r="S902" s="2" t="s">
        <v>4663</v>
      </c>
      <c r="T902" s="2" t="s">
        <v>1859</v>
      </c>
      <c r="U902" s="2" t="s">
        <v>233</v>
      </c>
      <c r="V902" s="2" t="s">
        <v>782</v>
      </c>
      <c r="W902" s="2" t="s">
        <v>237</v>
      </c>
      <c r="X902" s="2" t="s">
        <v>712</v>
      </c>
      <c r="Y902" s="2" t="s">
        <v>238</v>
      </c>
      <c r="Z902" s="4">
        <v>366</v>
      </c>
      <c r="AA902" s="4">
        <f>=ROUNDDOWN(30.5,0)</f>
      </c>
      <c r="AB902" s="5">
        <v>12</v>
      </c>
      <c r="AC902" s="2" t="s">
        <v>172</v>
      </c>
      <c r="AD902" s="4">
        <v>200</v>
      </c>
      <c r="AE902" s="4">
        <v>400</v>
      </c>
      <c r="AF902" s="6">
        <v>64</v>
      </c>
      <c r="AG902" s="6"/>
      <c r="AH902" s="7">
        <v>1</v>
      </c>
      <c r="AI902" s="4"/>
      <c r="AJ902" s="4">
        <f>=ROUNDDOWN({0},0)</f>
      </c>
      <c r="AK902" s="5"/>
      <c r="AL902" s="2" t="s">
        <v>233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/>
      <c r="AW902" s="8"/>
      <c r="AX902" s="4"/>
      <c r="AY902" s="8"/>
      <c r="AZ902" s="7"/>
      <c r="BA902" s="7"/>
      <c r="BB902" s="7"/>
      <c r="BC902" s="4" t="s">
        <v>233</v>
      </c>
      <c r="BD902" s="8" t="s">
        <v>233</v>
      </c>
      <c r="BE902" s="4" t="s">
        <v>233</v>
      </c>
      <c r="BF902" s="8" t="s">
        <v>233</v>
      </c>
      <c r="BG902" s="7" t="s">
        <v>233</v>
      </c>
      <c r="BH902" s="7" t="s">
        <v>233</v>
      </c>
      <c r="BI902" s="7"/>
      <c r="BJ902" s="4">
        <v>65</v>
      </c>
      <c r="BK902" s="8">
        <v>731.74</v>
      </c>
      <c r="BL902" s="2" t="s">
        <v>4664</v>
      </c>
      <c r="BM902" s="7"/>
      <c r="BN902" s="7"/>
      <c r="BO902" s="4"/>
      <c r="BP902" s="8"/>
      <c r="BQ902" s="4"/>
      <c r="BR902" s="8"/>
      <c r="BS902" s="7"/>
      <c r="BT902" s="7"/>
      <c r="BU902" s="2" t="s">
        <v>4660</v>
      </c>
      <c r="BV902" s="2" t="s">
        <v>233</v>
      </c>
      <c r="BW902" s="2" t="s">
        <v>233</v>
      </c>
      <c r="BX902" s="2" t="s">
        <v>241</v>
      </c>
      <c r="BY902" s="2" t="s">
        <v>242</v>
      </c>
      <c r="BZ902" s="2" t="s">
        <v>230</v>
      </c>
      <c r="CA902" s="2" t="s">
        <v>2512</v>
      </c>
      <c r="CB902" s="2" t="s">
        <v>2781</v>
      </c>
      <c r="CC902" s="2" t="s">
        <v>245</v>
      </c>
      <c r="CD902" s="2" t="s">
        <v>233</v>
      </c>
      <c r="CE902" s="4">
        <v>366</v>
      </c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>
        <v>200</v>
      </c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>
        <v>200</v>
      </c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>
        <v>876</v>
      </c>
      <c r="GD902" s="4">
        <v>802</v>
      </c>
      <c r="GE902" s="4">
        <v>716</v>
      </c>
      <c r="GF902" s="4">
        <v>676</v>
      </c>
      <c r="GG902" s="4">
        <v>591</v>
      </c>
      <c r="GH902" s="4">
        <v>520</v>
      </c>
      <c r="GI902" s="4">
        <v>392</v>
      </c>
      <c r="GJ902" s="4">
        <v>335</v>
      </c>
      <c r="GK902" s="4">
        <v>309</v>
      </c>
      <c r="GL902" s="4">
        <v>289</v>
      </c>
      <c r="GM902" s="4">
        <v>271</v>
      </c>
      <c r="GN902" s="4">
        <v>253</v>
      </c>
      <c r="GO902" s="4">
        <v>235</v>
      </c>
      <c r="GP902" s="4">
        <v>417</v>
      </c>
      <c r="GQ902" s="4">
        <v>399</v>
      </c>
      <c r="GR902" s="4">
        <v>387</v>
      </c>
      <c r="GS902" s="4">
        <v>375</v>
      </c>
      <c r="GT902" s="4">
        <v>362</v>
      </c>
      <c r="GU902" s="4">
        <v>350</v>
      </c>
      <c r="GV902" s="4">
        <v>338</v>
      </c>
      <c r="GW902" s="4">
        <v>326</v>
      </c>
      <c r="GX902" s="4">
        <v>314</v>
      </c>
      <c r="GY902" s="4">
        <v>302</v>
      </c>
      <c r="GZ902" s="4">
        <v>290</v>
      </c>
      <c r="HA902" s="4">
        <v>278</v>
      </c>
      <c r="HB902" s="4">
        <v>266</v>
      </c>
      <c r="HC902" s="19">
        <v>12.3</v>
      </c>
      <c r="HD902" s="19">
        <v>11.5</v>
      </c>
      <c r="HE902" s="19">
        <v>8.8</v>
      </c>
      <c r="HF902" s="19">
        <v>8</v>
      </c>
      <c r="HG902" s="19">
        <v>8.4</v>
      </c>
      <c r="HH902" s="19">
        <v>9</v>
      </c>
      <c r="HI902" s="19">
        <v>13.1</v>
      </c>
      <c r="HJ902" s="19">
        <v>16.8</v>
      </c>
      <c r="HK902" s="19">
        <v>17.2</v>
      </c>
      <c r="HL902" s="19">
        <v>16.1</v>
      </c>
      <c r="HM902" s="19">
        <v>15.1</v>
      </c>
      <c r="HN902" s="19">
        <v>15.8</v>
      </c>
      <c r="HO902" s="19">
        <v>15.7</v>
      </c>
      <c r="HP902" s="19">
        <v>29.8</v>
      </c>
      <c r="HQ902" s="19">
        <v>33.3</v>
      </c>
      <c r="HR902" s="19">
        <v>32.3</v>
      </c>
      <c r="HS902" s="19">
        <v>31.3</v>
      </c>
      <c r="HT902" s="19">
        <v>30.2</v>
      </c>
      <c r="HU902" s="19">
        <v>29.2</v>
      </c>
      <c r="HV902" s="19">
        <v>28.2</v>
      </c>
      <c r="HW902" s="19">
        <v>27.2</v>
      </c>
      <c r="HX902" s="19">
        <v>26.2</v>
      </c>
      <c r="HY902" s="19">
        <v>25.2</v>
      </c>
      <c r="HZ902" s="19">
        <v>24.2</v>
      </c>
      <c r="IA902" s="19">
        <v>23.2</v>
      </c>
      <c r="IB902" s="19">
        <v>22.2</v>
      </c>
    </row>
    <row r="903">
      <c r="A903" s="2" t="s">
        <v>4665</v>
      </c>
      <c r="B903" s="2" t="s">
        <v>773</v>
      </c>
      <c r="C903" s="2" t="s">
        <v>280</v>
      </c>
      <c r="D903" s="2" t="s">
        <v>1442</v>
      </c>
      <c r="E903" s="2" t="s">
        <v>1443</v>
      </c>
      <c r="F903" s="2" t="s">
        <v>4656</v>
      </c>
      <c r="G903" s="2" t="s">
        <v>4656</v>
      </c>
      <c r="H903" s="2" t="s">
        <v>4656</v>
      </c>
      <c r="I903" s="2" t="s">
        <v>4657</v>
      </c>
      <c r="J903" s="2" t="s">
        <v>989</v>
      </c>
      <c r="K903" s="2" t="s">
        <v>870</v>
      </c>
      <c r="L903" s="3">
        <v>11.64</v>
      </c>
      <c r="M903" s="3">
        <v>12.22</v>
      </c>
      <c r="N903" s="3">
        <v>25.99</v>
      </c>
      <c r="O903" s="2" t="s">
        <v>230</v>
      </c>
      <c r="P903" s="2" t="s">
        <v>231</v>
      </c>
      <c r="Q903" s="2" t="s">
        <v>232</v>
      </c>
      <c r="R903" s="2" t="s">
        <v>233</v>
      </c>
      <c r="S903" s="2" t="s">
        <v>4666</v>
      </c>
      <c r="T903" s="2" t="s">
        <v>1859</v>
      </c>
      <c r="U903" s="2" t="s">
        <v>233</v>
      </c>
      <c r="V903" s="2" t="s">
        <v>782</v>
      </c>
      <c r="W903" s="2" t="s">
        <v>237</v>
      </c>
      <c r="X903" s="2" t="s">
        <v>712</v>
      </c>
      <c r="Y903" s="2" t="s">
        <v>238</v>
      </c>
      <c r="Z903" s="4">
        <v>200</v>
      </c>
      <c r="AA903" s="4">
        <f>=ROUNDDOWN(11.7647058823529,0)</f>
      </c>
      <c r="AB903" s="5">
        <v>17</v>
      </c>
      <c r="AC903" s="2" t="s">
        <v>4667</v>
      </c>
      <c r="AD903" s="4">
        <v>200</v>
      </c>
      <c r="AE903" s="4">
        <v>400</v>
      </c>
      <c r="AF903" s="6">
        <v>64</v>
      </c>
      <c r="AG903" s="6"/>
      <c r="AH903" s="7">
        <v>1</v>
      </c>
      <c r="AI903" s="4"/>
      <c r="AJ903" s="4">
        <f>=ROUNDDOWN({0},0)</f>
      </c>
      <c r="AK903" s="5"/>
      <c r="AL903" s="2" t="s">
        <v>233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/>
      <c r="AW903" s="8"/>
      <c r="AX903" s="4"/>
      <c r="AY903" s="8"/>
      <c r="AZ903" s="7"/>
      <c r="BA903" s="7"/>
      <c r="BB903" s="7"/>
      <c r="BC903" s="4" t="s">
        <v>233</v>
      </c>
      <c r="BD903" s="8" t="s">
        <v>233</v>
      </c>
      <c r="BE903" s="4" t="s">
        <v>233</v>
      </c>
      <c r="BF903" s="8" t="s">
        <v>233</v>
      </c>
      <c r="BG903" s="7" t="s">
        <v>233</v>
      </c>
      <c r="BH903" s="7" t="s">
        <v>233</v>
      </c>
      <c r="BI903" s="7"/>
      <c r="BJ903" s="4">
        <v>96</v>
      </c>
      <c r="BK903" s="8">
        <v>1120.63</v>
      </c>
      <c r="BL903" s="2" t="s">
        <v>4668</v>
      </c>
      <c r="BM903" s="7"/>
      <c r="BN903" s="7"/>
      <c r="BO903" s="4"/>
      <c r="BP903" s="8"/>
      <c r="BQ903" s="4"/>
      <c r="BR903" s="8"/>
      <c r="BS903" s="7"/>
      <c r="BT903" s="7"/>
      <c r="BU903" s="2" t="s">
        <v>4660</v>
      </c>
      <c r="BV903" s="2" t="s">
        <v>233</v>
      </c>
      <c r="BW903" s="2" t="s">
        <v>233</v>
      </c>
      <c r="BX903" s="2" t="s">
        <v>241</v>
      </c>
      <c r="BY903" s="2" t="s">
        <v>242</v>
      </c>
      <c r="BZ903" s="2" t="s">
        <v>230</v>
      </c>
      <c r="CA903" s="2" t="s">
        <v>243</v>
      </c>
      <c r="CB903" s="2" t="s">
        <v>4669</v>
      </c>
      <c r="CC903" s="2" t="s">
        <v>245</v>
      </c>
      <c r="CD903" s="2" t="s">
        <v>233</v>
      </c>
      <c r="CE903" s="4">
        <v>200</v>
      </c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>
        <v>200</v>
      </c>
      <c r="EZ903" s="4"/>
      <c r="FA903" s="4"/>
      <c r="FB903" s="4"/>
      <c r="FC903" s="4"/>
      <c r="FD903" s="4"/>
      <c r="FE903" s="4"/>
      <c r="FF903" s="4"/>
      <c r="FG903" s="4">
        <v>200</v>
      </c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>
        <v>918</v>
      </c>
      <c r="GD903" s="4">
        <v>763</v>
      </c>
      <c r="GE903" s="4">
        <v>664</v>
      </c>
      <c r="GF903" s="4">
        <v>616</v>
      </c>
      <c r="GG903" s="4">
        <v>518</v>
      </c>
      <c r="GH903" s="4">
        <v>436</v>
      </c>
      <c r="GI903" s="4">
        <v>290</v>
      </c>
      <c r="GJ903" s="4">
        <v>223</v>
      </c>
      <c r="GK903" s="4">
        <v>191</v>
      </c>
      <c r="GL903" s="4">
        <v>165</v>
      </c>
      <c r="GM903" s="4">
        <v>141</v>
      </c>
      <c r="GN903" s="4">
        <v>317</v>
      </c>
      <c r="GO903" s="4">
        <v>293</v>
      </c>
      <c r="GP903" s="4">
        <v>469</v>
      </c>
      <c r="GQ903" s="4">
        <v>445</v>
      </c>
      <c r="GR903" s="4">
        <v>428</v>
      </c>
      <c r="GS903" s="4">
        <v>411</v>
      </c>
      <c r="GT903" s="4">
        <v>393</v>
      </c>
      <c r="GU903" s="4">
        <v>376</v>
      </c>
      <c r="GV903" s="4">
        <v>359</v>
      </c>
      <c r="GW903" s="4">
        <v>342</v>
      </c>
      <c r="GX903" s="4">
        <v>325</v>
      </c>
      <c r="GY903" s="4">
        <v>308</v>
      </c>
      <c r="GZ903" s="4">
        <v>291</v>
      </c>
      <c r="HA903" s="4">
        <v>274</v>
      </c>
      <c r="HB903" s="4">
        <v>257</v>
      </c>
      <c r="HC903" s="19">
        <v>9.2</v>
      </c>
      <c r="HD903" s="19">
        <v>9.3</v>
      </c>
      <c r="HE903" s="19">
        <v>7.1</v>
      </c>
      <c r="HF903" s="19">
        <v>6.3</v>
      </c>
      <c r="HG903" s="19">
        <v>6.3</v>
      </c>
      <c r="HH903" s="19">
        <v>6.4</v>
      </c>
      <c r="HI903" s="19">
        <v>7.8</v>
      </c>
      <c r="HJ903" s="19">
        <v>8.6</v>
      </c>
      <c r="HK903" s="19">
        <v>8</v>
      </c>
      <c r="HL903" s="19">
        <v>6.9</v>
      </c>
      <c r="HM903" s="19">
        <v>5.9</v>
      </c>
      <c r="HN903" s="19">
        <v>14.4</v>
      </c>
      <c r="HO903" s="19">
        <v>14.7</v>
      </c>
      <c r="HP903" s="19">
        <v>24.7</v>
      </c>
      <c r="HQ903" s="19">
        <v>26.2</v>
      </c>
      <c r="HR903" s="19">
        <v>25.2</v>
      </c>
      <c r="HS903" s="19">
        <v>24.2</v>
      </c>
      <c r="HT903" s="19">
        <v>23.1</v>
      </c>
      <c r="HU903" s="19">
        <v>22.1</v>
      </c>
      <c r="HV903" s="19">
        <v>21.1</v>
      </c>
      <c r="HW903" s="19">
        <v>20.1</v>
      </c>
      <c r="HX903" s="19">
        <v>19.1</v>
      </c>
      <c r="HY903" s="19">
        <v>18.1</v>
      </c>
      <c r="HZ903" s="19">
        <v>17.1</v>
      </c>
      <c r="IA903" s="19">
        <v>16.1</v>
      </c>
      <c r="IB903" s="9"/>
    </row>
    <row r="904">
      <c r="A904" s="2" t="s">
        <v>4670</v>
      </c>
      <c r="B904" s="2" t="s">
        <v>825</v>
      </c>
      <c r="C904" s="2" t="s">
        <v>1411</v>
      </c>
      <c r="D904" s="2" t="s">
        <v>261</v>
      </c>
      <c r="E904" s="2" t="s">
        <v>603</v>
      </c>
      <c r="F904" s="2" t="s">
        <v>4671</v>
      </c>
      <c r="G904" s="2" t="s">
        <v>4672</v>
      </c>
      <c r="H904" s="2" t="s">
        <v>4673</v>
      </c>
      <c r="I904" s="2" t="s">
        <v>4674</v>
      </c>
      <c r="J904" s="2" t="s">
        <v>1052</v>
      </c>
      <c r="K904" s="2" t="s">
        <v>1706</v>
      </c>
      <c r="L904" s="3">
        <v>23.8</v>
      </c>
      <c r="M904" s="3">
        <v>24.99</v>
      </c>
      <c r="N904" s="3">
        <v>49.99</v>
      </c>
      <c r="O904" s="2" t="s">
        <v>230</v>
      </c>
      <c r="P904" s="2" t="s">
        <v>231</v>
      </c>
      <c r="Q904" s="2" t="s">
        <v>232</v>
      </c>
      <c r="R904" s="2" t="s">
        <v>233</v>
      </c>
      <c r="S904" s="2" t="s">
        <v>4675</v>
      </c>
      <c r="T904" s="2" t="s">
        <v>469</v>
      </c>
      <c r="U904" s="2" t="s">
        <v>287</v>
      </c>
      <c r="V904" s="2" t="s">
        <v>1178</v>
      </c>
      <c r="W904" s="2" t="s">
        <v>916</v>
      </c>
      <c r="X904" s="2" t="s">
        <v>233</v>
      </c>
      <c r="Y904" s="2" t="s">
        <v>2015</v>
      </c>
      <c r="Z904" s="4"/>
      <c r="AA904" s="4">
        <f>=ROUNDDOWN({0},0)</f>
      </c>
      <c r="AB904" s="5">
        <v>9</v>
      </c>
      <c r="AC904" s="2" t="s">
        <v>153</v>
      </c>
      <c r="AD904" s="4">
        <v>250</v>
      </c>
      <c r="AE904" s="4">
        <v>250</v>
      </c>
      <c r="AF904" s="6">
        <v>64</v>
      </c>
      <c r="AG904" s="6"/>
      <c r="AH904" s="7">
        <v>0</v>
      </c>
      <c r="AI904" s="4"/>
      <c r="AJ904" s="4">
        <f>=ROUNDDOWN({0},0)</f>
      </c>
      <c r="AK904" s="5"/>
      <c r="AL904" s="2" t="s">
        <v>233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/>
      <c r="BD904" s="8"/>
      <c r="BE904" s="4"/>
      <c r="BF904" s="8"/>
      <c r="BG904" s="7"/>
      <c r="BH904" s="7"/>
      <c r="BI904" s="7"/>
      <c r="BJ904" s="4"/>
      <c r="BK904" s="8"/>
      <c r="BL904" s="2" t="s">
        <v>233</v>
      </c>
      <c r="BM904" s="7"/>
      <c r="BN904" s="7"/>
      <c r="BO904" s="4"/>
      <c r="BP904" s="8"/>
      <c r="BQ904" s="4"/>
      <c r="BR904" s="8"/>
      <c r="BS904" s="7"/>
      <c r="BT904" s="7"/>
      <c r="BU904" s="2" t="s">
        <v>4676</v>
      </c>
      <c r="BV904" s="2" t="s">
        <v>233</v>
      </c>
      <c r="BW904" s="2" t="s">
        <v>233</v>
      </c>
      <c r="BX904" s="2" t="s">
        <v>241</v>
      </c>
      <c r="BY904" s="2" t="s">
        <v>242</v>
      </c>
      <c r="BZ904" s="2" t="s">
        <v>230</v>
      </c>
      <c r="CA904" s="2" t="s">
        <v>4445</v>
      </c>
      <c r="CB904" s="2" t="s">
        <v>2020</v>
      </c>
      <c r="CC904" s="2" t="s">
        <v>245</v>
      </c>
      <c r="CD904" s="2" t="s">
        <v>233</v>
      </c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>
        <v>250</v>
      </c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>
        <v>250</v>
      </c>
      <c r="GH904" s="4">
        <v>202</v>
      </c>
      <c r="GI904" s="4">
        <v>187</v>
      </c>
      <c r="GJ904" s="4">
        <v>176</v>
      </c>
      <c r="GK904" s="4">
        <v>166</v>
      </c>
      <c r="GL904" s="4">
        <v>156</v>
      </c>
      <c r="GM904" s="4">
        <v>146</v>
      </c>
      <c r="GN904" s="4">
        <v>137</v>
      </c>
      <c r="GO904" s="4">
        <v>128</v>
      </c>
      <c r="GP904" s="4">
        <v>119</v>
      </c>
      <c r="GQ904" s="4">
        <v>110</v>
      </c>
      <c r="GR904" s="4">
        <v>101</v>
      </c>
      <c r="GS904" s="4">
        <v>92</v>
      </c>
      <c r="GT904" s="4">
        <v>82</v>
      </c>
      <c r="GU904" s="4">
        <v>73</v>
      </c>
      <c r="GV904" s="4">
        <v>64</v>
      </c>
      <c r="GW904" s="4">
        <v>55</v>
      </c>
      <c r="GX904" s="4">
        <v>46</v>
      </c>
      <c r="GY904" s="4">
        <v>37</v>
      </c>
      <c r="GZ904" s="4">
        <v>28</v>
      </c>
      <c r="HA904" s="4">
        <v>182</v>
      </c>
      <c r="HB904" s="4">
        <v>173</v>
      </c>
      <c r="HC904" s="20">
        <v>0</v>
      </c>
      <c r="HD904" s="20">
        <v>0</v>
      </c>
      <c r="HE904" s="20">
        <v>0</v>
      </c>
      <c r="HF904" s="20">
        <v>0</v>
      </c>
      <c r="HG904" s="19">
        <v>11.9</v>
      </c>
      <c r="HH904" s="19">
        <v>16.8</v>
      </c>
      <c r="HI904" s="19">
        <v>18.7</v>
      </c>
      <c r="HJ904" s="19">
        <v>17.6</v>
      </c>
      <c r="HK904" s="19">
        <v>16.6</v>
      </c>
      <c r="HL904" s="19">
        <v>17.3</v>
      </c>
      <c r="HM904" s="19">
        <v>16.2</v>
      </c>
      <c r="HN904" s="19">
        <v>15.2</v>
      </c>
      <c r="HO904" s="19">
        <v>14.2</v>
      </c>
      <c r="HP904" s="19">
        <v>13.2</v>
      </c>
      <c r="HQ904" s="19">
        <v>12.2</v>
      </c>
      <c r="HR904" s="19">
        <v>11.2</v>
      </c>
      <c r="HS904" s="19">
        <v>10.2</v>
      </c>
      <c r="HT904" s="19">
        <v>9.1</v>
      </c>
      <c r="HU904" s="19">
        <v>8.1</v>
      </c>
      <c r="HV904" s="19">
        <v>7.1</v>
      </c>
      <c r="HW904" s="19">
        <v>6.1</v>
      </c>
      <c r="HX904" s="19">
        <v>5.1</v>
      </c>
      <c r="HY904" s="19">
        <v>4.1</v>
      </c>
      <c r="HZ904" s="19">
        <v>3.1</v>
      </c>
      <c r="IA904" s="19">
        <v>20.2</v>
      </c>
      <c r="IB904" s="19">
        <v>17.3</v>
      </c>
    </row>
    <row r="905">
      <c r="A905" s="2" t="s">
        <v>4677</v>
      </c>
      <c r="B905" s="2" t="s">
        <v>825</v>
      </c>
      <c r="C905" s="2" t="s">
        <v>1411</v>
      </c>
      <c r="D905" s="2" t="s">
        <v>261</v>
      </c>
      <c r="E905" s="2" t="s">
        <v>603</v>
      </c>
      <c r="F905" s="2" t="s">
        <v>4678</v>
      </c>
      <c r="G905" s="2" t="s">
        <v>4679</v>
      </c>
      <c r="H905" s="2" t="s">
        <v>4680</v>
      </c>
      <c r="I905" s="2" t="s">
        <v>839</v>
      </c>
      <c r="J905" s="2" t="s">
        <v>1052</v>
      </c>
      <c r="K905" s="2" t="s">
        <v>229</v>
      </c>
      <c r="L905" s="3">
        <v>31.29</v>
      </c>
      <c r="M905" s="3">
        <v>32.85</v>
      </c>
      <c r="N905" s="3">
        <v>64.99</v>
      </c>
      <c r="O905" s="2" t="s">
        <v>230</v>
      </c>
      <c r="P905" s="2" t="s">
        <v>597</v>
      </c>
      <c r="Q905" s="2" t="s">
        <v>232</v>
      </c>
      <c r="R905" s="2" t="s">
        <v>233</v>
      </c>
      <c r="S905" s="2" t="s">
        <v>4681</v>
      </c>
      <c r="T905" s="2" t="s">
        <v>469</v>
      </c>
      <c r="U905" s="2" t="s">
        <v>287</v>
      </c>
      <c r="V905" s="2" t="s">
        <v>834</v>
      </c>
      <c r="W905" s="2" t="s">
        <v>237</v>
      </c>
      <c r="X905" s="2" t="s">
        <v>712</v>
      </c>
      <c r="Y905" s="2" t="s">
        <v>238</v>
      </c>
      <c r="Z905" s="4">
        <v>279</v>
      </c>
      <c r="AA905" s="4">
        <f>=ROUNDDOWN(46.5,0)</f>
      </c>
      <c r="AB905" s="5">
        <v>6</v>
      </c>
      <c r="AC905" s="2" t="s">
        <v>143</v>
      </c>
      <c r="AD905" s="4">
        <v>50</v>
      </c>
      <c r="AE905" s="4">
        <v>50</v>
      </c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233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/>
      <c r="AW905" s="8"/>
      <c r="AX905" s="4"/>
      <c r="AY905" s="8"/>
      <c r="AZ905" s="7"/>
      <c r="BA905" s="7"/>
      <c r="BB905" s="7"/>
      <c r="BC905" s="4" t="s">
        <v>233</v>
      </c>
      <c r="BD905" s="8" t="s">
        <v>233</v>
      </c>
      <c r="BE905" s="4" t="s">
        <v>233</v>
      </c>
      <c r="BF905" s="8" t="s">
        <v>233</v>
      </c>
      <c r="BG905" s="7" t="s">
        <v>233</v>
      </c>
      <c r="BH905" s="7" t="s">
        <v>233</v>
      </c>
      <c r="BI905" s="7"/>
      <c r="BJ905" s="4">
        <v>14</v>
      </c>
      <c r="BK905" s="8">
        <v>488.68</v>
      </c>
      <c r="BL905" s="2" t="s">
        <v>2313</v>
      </c>
      <c r="BM905" s="7"/>
      <c r="BN905" s="7"/>
      <c r="BO905" s="4"/>
      <c r="BP905" s="8"/>
      <c r="BQ905" s="4"/>
      <c r="BR905" s="8"/>
      <c r="BS905" s="7"/>
      <c r="BT905" s="7"/>
      <c r="BU905" s="2" t="s">
        <v>4682</v>
      </c>
      <c r="BV905" s="2" t="s">
        <v>233</v>
      </c>
      <c r="BW905" s="2" t="s">
        <v>233</v>
      </c>
      <c r="BX905" s="2" t="s">
        <v>293</v>
      </c>
      <c r="BY905" s="2" t="s">
        <v>242</v>
      </c>
      <c r="BZ905" s="2" t="s">
        <v>230</v>
      </c>
      <c r="CA905" s="2" t="s">
        <v>243</v>
      </c>
      <c r="CB905" s="2" t="s">
        <v>1102</v>
      </c>
      <c r="CC905" s="2" t="s">
        <v>245</v>
      </c>
      <c r="CD905" s="2" t="s">
        <v>233</v>
      </c>
      <c r="CE905" s="4">
        <v>279</v>
      </c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>
        <v>50</v>
      </c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>
        <v>295</v>
      </c>
      <c r="GD905" s="4">
        <v>273</v>
      </c>
      <c r="GE905" s="4">
        <v>267</v>
      </c>
      <c r="GF905" s="4">
        <v>302</v>
      </c>
      <c r="GG905" s="4">
        <v>287</v>
      </c>
      <c r="GH905" s="4">
        <v>272</v>
      </c>
      <c r="GI905" s="4">
        <v>257</v>
      </c>
      <c r="GJ905" s="4">
        <v>251</v>
      </c>
      <c r="GK905" s="4">
        <v>245</v>
      </c>
      <c r="GL905" s="4">
        <v>239</v>
      </c>
      <c r="GM905" s="4">
        <v>233</v>
      </c>
      <c r="GN905" s="4">
        <v>227</v>
      </c>
      <c r="GO905" s="4">
        <v>221</v>
      </c>
      <c r="GP905" s="4">
        <v>215</v>
      </c>
      <c r="GQ905" s="4">
        <v>209</v>
      </c>
      <c r="GR905" s="4">
        <v>203</v>
      </c>
      <c r="GS905" s="4">
        <v>194</v>
      </c>
      <c r="GT905" s="4">
        <v>184</v>
      </c>
      <c r="GU905" s="4">
        <v>175</v>
      </c>
      <c r="GV905" s="4">
        <v>166</v>
      </c>
      <c r="GW905" s="4">
        <v>157</v>
      </c>
      <c r="GX905" s="4">
        <v>148</v>
      </c>
      <c r="GY905" s="4">
        <v>139</v>
      </c>
      <c r="GZ905" s="4">
        <v>124</v>
      </c>
      <c r="HA905" s="4">
        <v>109</v>
      </c>
      <c r="HB905" s="4">
        <v>94</v>
      </c>
      <c r="HC905" s="19">
        <v>21.1</v>
      </c>
      <c r="HD905" s="19">
        <v>21</v>
      </c>
      <c r="HE905" s="19">
        <v>17.8</v>
      </c>
      <c r="HF905" s="19">
        <v>23.2</v>
      </c>
      <c r="HG905" s="19">
        <v>28.7</v>
      </c>
      <c r="HH905" s="19">
        <v>34</v>
      </c>
      <c r="HI905" s="19">
        <v>42.8</v>
      </c>
      <c r="HJ905" s="19">
        <v>41.8</v>
      </c>
      <c r="HK905" s="19">
        <v>40.8</v>
      </c>
      <c r="HL905" s="19">
        <v>39.8</v>
      </c>
      <c r="HM905" s="19">
        <v>38.8</v>
      </c>
      <c r="HN905" s="19">
        <v>37.8</v>
      </c>
      <c r="HO905" s="19">
        <v>31.6</v>
      </c>
      <c r="HP905" s="19">
        <v>26.9</v>
      </c>
      <c r="HQ905" s="19">
        <v>26.1</v>
      </c>
      <c r="HR905" s="19">
        <v>22.6</v>
      </c>
      <c r="HS905" s="19">
        <v>21.6</v>
      </c>
      <c r="HT905" s="19">
        <v>20.4</v>
      </c>
      <c r="HU905" s="19">
        <v>19.4</v>
      </c>
      <c r="HV905" s="19">
        <v>16.6</v>
      </c>
      <c r="HW905" s="19">
        <v>13.1</v>
      </c>
      <c r="HX905" s="19">
        <v>10.6</v>
      </c>
      <c r="HY905" s="19">
        <v>9.3</v>
      </c>
      <c r="HZ905" s="19">
        <v>8.3</v>
      </c>
      <c r="IA905" s="19">
        <v>7.3</v>
      </c>
      <c r="IB905" s="19">
        <v>6.3</v>
      </c>
    </row>
    <row r="906">
      <c r="A906" s="2" t="s">
        <v>4683</v>
      </c>
      <c r="B906" s="2" t="s">
        <v>825</v>
      </c>
      <c r="C906" s="2" t="s">
        <v>1411</v>
      </c>
      <c r="D906" s="2" t="s">
        <v>261</v>
      </c>
      <c r="E906" s="2" t="s">
        <v>603</v>
      </c>
      <c r="F906" s="2" t="s">
        <v>4678</v>
      </c>
      <c r="G906" s="2" t="s">
        <v>4679</v>
      </c>
      <c r="H906" s="2" t="s">
        <v>4680</v>
      </c>
      <c r="I906" s="2" t="s">
        <v>839</v>
      </c>
      <c r="J906" s="2" t="s">
        <v>1052</v>
      </c>
      <c r="K906" s="2" t="s">
        <v>1706</v>
      </c>
      <c r="L906" s="3">
        <v>31.29</v>
      </c>
      <c r="M906" s="3">
        <v>32.85</v>
      </c>
      <c r="N906" s="3">
        <v>64.99</v>
      </c>
      <c r="O906" s="2" t="s">
        <v>230</v>
      </c>
      <c r="P906" s="2" t="s">
        <v>231</v>
      </c>
      <c r="Q906" s="2" t="s">
        <v>232</v>
      </c>
      <c r="R906" s="2" t="s">
        <v>233</v>
      </c>
      <c r="S906" s="2" t="s">
        <v>4684</v>
      </c>
      <c r="T906" s="2" t="s">
        <v>469</v>
      </c>
      <c r="U906" s="2" t="s">
        <v>287</v>
      </c>
      <c r="V906" s="2" t="s">
        <v>834</v>
      </c>
      <c r="W906" s="2" t="s">
        <v>237</v>
      </c>
      <c r="X906" s="2" t="s">
        <v>712</v>
      </c>
      <c r="Y906" s="2" t="s">
        <v>238</v>
      </c>
      <c r="Z906" s="4">
        <v>487</v>
      </c>
      <c r="AA906" s="4">
        <f>=ROUNDDOWN(81.1666666666667,0)</f>
      </c>
      <c r="AB906" s="5">
        <v>6</v>
      </c>
      <c r="AC906" s="2" t="s">
        <v>233</v>
      </c>
      <c r="AD906" s="4"/>
      <c r="AE906" s="4"/>
      <c r="AF906" s="6">
        <v>64</v>
      </c>
      <c r="AG906" s="6"/>
      <c r="AH906" s="7">
        <v>1</v>
      </c>
      <c r="AI906" s="4"/>
      <c r="AJ906" s="4">
        <f>=ROUNDDOWN({0},0)</f>
      </c>
      <c r="AK906" s="5"/>
      <c r="AL906" s="2" t="s">
        <v>233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233</v>
      </c>
      <c r="AW906" s="8" t="s">
        <v>233</v>
      </c>
      <c r="AX906" s="4" t="s">
        <v>233</v>
      </c>
      <c r="AY906" s="8" t="s">
        <v>233</v>
      </c>
      <c r="AZ906" s="7" t="s">
        <v>233</v>
      </c>
      <c r="BA906" s="7" t="s">
        <v>233</v>
      </c>
      <c r="BB906" s="7"/>
      <c r="BC906" s="4" t="s">
        <v>233</v>
      </c>
      <c r="BD906" s="8" t="s">
        <v>233</v>
      </c>
      <c r="BE906" s="4" t="s">
        <v>233</v>
      </c>
      <c r="BF906" s="8" t="s">
        <v>233</v>
      </c>
      <c r="BG906" s="7" t="s">
        <v>233</v>
      </c>
      <c r="BH906" s="7" t="s">
        <v>233</v>
      </c>
      <c r="BI906" s="7"/>
      <c r="BJ906" s="4">
        <v>22</v>
      </c>
      <c r="BK906" s="8">
        <v>800.04</v>
      </c>
      <c r="BL906" s="2" t="s">
        <v>4685</v>
      </c>
      <c r="BM906" s="7"/>
      <c r="BN906" s="7"/>
      <c r="BO906" s="4"/>
      <c r="BP906" s="8"/>
      <c r="BQ906" s="4"/>
      <c r="BR906" s="8"/>
      <c r="BS906" s="7"/>
      <c r="BT906" s="7"/>
      <c r="BU906" s="2" t="s">
        <v>4682</v>
      </c>
      <c r="BV906" s="2" t="s">
        <v>233</v>
      </c>
      <c r="BW906" s="2" t="s">
        <v>233</v>
      </c>
      <c r="BX906" s="2" t="s">
        <v>293</v>
      </c>
      <c r="BY906" s="2" t="s">
        <v>242</v>
      </c>
      <c r="BZ906" s="2" t="s">
        <v>230</v>
      </c>
      <c r="CA906" s="2" t="s">
        <v>243</v>
      </c>
      <c r="CB906" s="2" t="s">
        <v>1057</v>
      </c>
      <c r="CC906" s="2" t="s">
        <v>245</v>
      </c>
      <c r="CD906" s="2" t="s">
        <v>233</v>
      </c>
      <c r="CE906" s="4">
        <v>487</v>
      </c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>
        <v>493</v>
      </c>
      <c r="GD906" s="4">
        <v>470</v>
      </c>
      <c r="GE906" s="4">
        <v>464</v>
      </c>
      <c r="GF906" s="4">
        <v>449</v>
      </c>
      <c r="GG906" s="4">
        <v>434</v>
      </c>
      <c r="GH906" s="4">
        <v>419</v>
      </c>
      <c r="GI906" s="4">
        <v>404</v>
      </c>
      <c r="GJ906" s="4">
        <v>398</v>
      </c>
      <c r="GK906" s="4">
        <v>392</v>
      </c>
      <c r="GL906" s="4">
        <v>386</v>
      </c>
      <c r="GM906" s="4">
        <v>380</v>
      </c>
      <c r="GN906" s="4">
        <v>374</v>
      </c>
      <c r="GO906" s="4">
        <v>368</v>
      </c>
      <c r="GP906" s="4">
        <v>362</v>
      </c>
      <c r="GQ906" s="4">
        <v>356</v>
      </c>
      <c r="GR906" s="4">
        <v>350</v>
      </c>
      <c r="GS906" s="4">
        <v>341</v>
      </c>
      <c r="GT906" s="4">
        <v>331</v>
      </c>
      <c r="GU906" s="4">
        <v>322</v>
      </c>
      <c r="GV906" s="4">
        <v>313</v>
      </c>
      <c r="GW906" s="4">
        <v>304</v>
      </c>
      <c r="GX906" s="4">
        <v>295</v>
      </c>
      <c r="GY906" s="4">
        <v>286</v>
      </c>
      <c r="GZ906" s="4">
        <v>271</v>
      </c>
      <c r="HA906" s="4">
        <v>256</v>
      </c>
      <c r="HB906" s="4">
        <v>241</v>
      </c>
      <c r="HC906" s="19">
        <v>32.9</v>
      </c>
      <c r="HD906" s="19">
        <v>36.2</v>
      </c>
      <c r="HE906" s="19">
        <v>30.9</v>
      </c>
      <c r="HF906" s="19">
        <v>34.5</v>
      </c>
      <c r="HG906" s="19">
        <v>43.4</v>
      </c>
      <c r="HH906" s="19">
        <v>52.4</v>
      </c>
      <c r="HI906" s="19">
        <v>67.3</v>
      </c>
      <c r="HJ906" s="19">
        <v>66.3</v>
      </c>
      <c r="HK906" s="19">
        <v>65.3</v>
      </c>
      <c r="HL906" s="19">
        <v>64.3</v>
      </c>
      <c r="HM906" s="19">
        <v>63.3</v>
      </c>
      <c r="HN906" s="19">
        <v>62.3</v>
      </c>
      <c r="HO906" s="19">
        <v>52.6</v>
      </c>
      <c r="HP906" s="19">
        <v>45.3</v>
      </c>
      <c r="HQ906" s="19">
        <v>44.5</v>
      </c>
      <c r="HR906" s="19">
        <v>38.9</v>
      </c>
      <c r="HS906" s="19">
        <v>37.9</v>
      </c>
      <c r="HT906" s="19">
        <v>36.8</v>
      </c>
      <c r="HU906" s="19">
        <v>35.8</v>
      </c>
      <c r="HV906" s="19">
        <v>31.3</v>
      </c>
      <c r="HW906" s="19">
        <v>25.3</v>
      </c>
      <c r="HX906" s="19">
        <v>21.1</v>
      </c>
      <c r="HY906" s="19">
        <v>19.1</v>
      </c>
      <c r="HZ906" s="19">
        <v>18.1</v>
      </c>
      <c r="IA906" s="19">
        <v>17.1</v>
      </c>
      <c r="IB906" s="19">
        <v>16.1</v>
      </c>
    </row>
    <row r="907">
      <c r="A907" s="2" t="s">
        <v>4686</v>
      </c>
      <c r="B907" s="2" t="s">
        <v>825</v>
      </c>
      <c r="C907" s="2" t="s">
        <v>1411</v>
      </c>
      <c r="D907" s="2" t="s">
        <v>261</v>
      </c>
      <c r="E907" s="2" t="s">
        <v>603</v>
      </c>
      <c r="F907" s="2" t="s">
        <v>4678</v>
      </c>
      <c r="G907" s="2" t="s">
        <v>4679</v>
      </c>
      <c r="H907" s="2" t="s">
        <v>4680</v>
      </c>
      <c r="I907" s="2" t="s">
        <v>839</v>
      </c>
      <c r="J907" s="2" t="s">
        <v>275</v>
      </c>
      <c r="K907" s="2" t="s">
        <v>1706</v>
      </c>
      <c r="L907" s="3">
        <v>41.12</v>
      </c>
      <c r="M907" s="3">
        <v>43.18</v>
      </c>
      <c r="N907" s="3">
        <v>84.99</v>
      </c>
      <c r="O907" s="2" t="s">
        <v>230</v>
      </c>
      <c r="P907" s="2" t="s">
        <v>231</v>
      </c>
      <c r="Q907" s="2" t="s">
        <v>232</v>
      </c>
      <c r="R907" s="2" t="s">
        <v>233</v>
      </c>
      <c r="S907" s="2" t="s">
        <v>4684</v>
      </c>
      <c r="T907" s="2" t="s">
        <v>469</v>
      </c>
      <c r="U907" s="2" t="s">
        <v>608</v>
      </c>
      <c r="V907" s="2" t="s">
        <v>834</v>
      </c>
      <c r="W907" s="2" t="s">
        <v>237</v>
      </c>
      <c r="X907" s="2" t="s">
        <v>712</v>
      </c>
      <c r="Y907" s="2" t="s">
        <v>238</v>
      </c>
      <c r="Z907" s="4">
        <v>328</v>
      </c>
      <c r="AA907" s="4">
        <f>=ROUNDDOWN(46.8571428571429,0)</f>
      </c>
      <c r="AB907" s="5">
        <v>7</v>
      </c>
      <c r="AC907" s="2" t="s">
        <v>145</v>
      </c>
      <c r="AD907" s="4">
        <v>80</v>
      </c>
      <c r="AE907" s="4">
        <v>80</v>
      </c>
      <c r="AF907" s="6">
        <v>64</v>
      </c>
      <c r="AG907" s="6"/>
      <c r="AH907" s="7">
        <v>1</v>
      </c>
      <c r="AI907" s="4"/>
      <c r="AJ907" s="4">
        <f>=ROUNDDOWN({0},0)</f>
      </c>
      <c r="AK907" s="5"/>
      <c r="AL907" s="2" t="s">
        <v>233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233</v>
      </c>
      <c r="AW907" s="8" t="s">
        <v>233</v>
      </c>
      <c r="AX907" s="4" t="s">
        <v>233</v>
      </c>
      <c r="AY907" s="8" t="s">
        <v>233</v>
      </c>
      <c r="AZ907" s="7" t="s">
        <v>233</v>
      </c>
      <c r="BA907" s="7" t="s">
        <v>233</v>
      </c>
      <c r="BB907" s="7"/>
      <c r="BC907" s="4" t="s">
        <v>233</v>
      </c>
      <c r="BD907" s="8" t="s">
        <v>233</v>
      </c>
      <c r="BE907" s="4" t="s">
        <v>233</v>
      </c>
      <c r="BF907" s="8" t="s">
        <v>233</v>
      </c>
      <c r="BG907" s="7" t="s">
        <v>233</v>
      </c>
      <c r="BH907" s="7" t="s">
        <v>233</v>
      </c>
      <c r="BI907" s="7"/>
      <c r="BJ907" s="4">
        <v>44</v>
      </c>
      <c r="BK907" s="8">
        <v>2082.71</v>
      </c>
      <c r="BL907" s="2" t="s">
        <v>4687</v>
      </c>
      <c r="BM907" s="7"/>
      <c r="BN907" s="7"/>
      <c r="BO907" s="4"/>
      <c r="BP907" s="8"/>
      <c r="BQ907" s="4"/>
      <c r="BR907" s="8"/>
      <c r="BS907" s="7"/>
      <c r="BT907" s="7"/>
      <c r="BU907" s="2" t="s">
        <v>4682</v>
      </c>
      <c r="BV907" s="2" t="s">
        <v>233</v>
      </c>
      <c r="BW907" s="2" t="s">
        <v>233</v>
      </c>
      <c r="BX907" s="2" t="s">
        <v>293</v>
      </c>
      <c r="BY907" s="2" t="s">
        <v>242</v>
      </c>
      <c r="BZ907" s="2" t="s">
        <v>230</v>
      </c>
      <c r="CA907" s="2" t="s">
        <v>243</v>
      </c>
      <c r="CB907" s="2" t="s">
        <v>1102</v>
      </c>
      <c r="CC907" s="2" t="s">
        <v>245</v>
      </c>
      <c r="CD907" s="2" t="s">
        <v>233</v>
      </c>
      <c r="CE907" s="4">
        <v>328</v>
      </c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>
        <v>80</v>
      </c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>
        <v>337</v>
      </c>
      <c r="GD907" s="4">
        <v>316</v>
      </c>
      <c r="GE907" s="4">
        <v>309</v>
      </c>
      <c r="GF907" s="4">
        <v>377</v>
      </c>
      <c r="GG907" s="4">
        <v>365</v>
      </c>
      <c r="GH907" s="4">
        <v>353</v>
      </c>
      <c r="GI907" s="4">
        <v>341</v>
      </c>
      <c r="GJ907" s="4">
        <v>334</v>
      </c>
      <c r="GK907" s="4">
        <v>327</v>
      </c>
      <c r="GL907" s="4">
        <v>320</v>
      </c>
      <c r="GM907" s="4">
        <v>313</v>
      </c>
      <c r="GN907" s="4">
        <v>306</v>
      </c>
      <c r="GO907" s="4">
        <v>299</v>
      </c>
      <c r="GP907" s="4">
        <v>292</v>
      </c>
      <c r="GQ907" s="4">
        <v>285</v>
      </c>
      <c r="GR907" s="4">
        <v>278</v>
      </c>
      <c r="GS907" s="4">
        <v>266</v>
      </c>
      <c r="GT907" s="4">
        <v>253</v>
      </c>
      <c r="GU907" s="4">
        <v>241</v>
      </c>
      <c r="GV907" s="4">
        <v>229</v>
      </c>
      <c r="GW907" s="4">
        <v>217</v>
      </c>
      <c r="GX907" s="4">
        <v>205</v>
      </c>
      <c r="GY907" s="4">
        <v>193</v>
      </c>
      <c r="GZ907" s="4">
        <v>168</v>
      </c>
      <c r="HA907" s="4">
        <v>143</v>
      </c>
      <c r="HB907" s="4">
        <v>275</v>
      </c>
      <c r="HC907" s="19">
        <v>25.9</v>
      </c>
      <c r="HD907" s="19">
        <v>28.7</v>
      </c>
      <c r="HE907" s="19">
        <v>25.8</v>
      </c>
      <c r="HF907" s="19">
        <v>34.3</v>
      </c>
      <c r="HG907" s="19">
        <v>36.5</v>
      </c>
      <c r="HH907" s="19">
        <v>44.1</v>
      </c>
      <c r="HI907" s="19">
        <v>48.7</v>
      </c>
      <c r="HJ907" s="19">
        <v>47.7</v>
      </c>
      <c r="HK907" s="19">
        <v>46.7</v>
      </c>
      <c r="HL907" s="19">
        <v>45.7</v>
      </c>
      <c r="HM907" s="19">
        <v>44.7</v>
      </c>
      <c r="HN907" s="19">
        <v>43.7</v>
      </c>
      <c r="HO907" s="19">
        <v>37.4</v>
      </c>
      <c r="HP907" s="19">
        <v>29.2</v>
      </c>
      <c r="HQ907" s="19">
        <v>25.9</v>
      </c>
      <c r="HR907" s="19">
        <v>23.2</v>
      </c>
      <c r="HS907" s="19">
        <v>22.2</v>
      </c>
      <c r="HT907" s="19">
        <v>21.1</v>
      </c>
      <c r="HU907" s="19">
        <v>20.1</v>
      </c>
      <c r="HV907" s="19">
        <v>15.3</v>
      </c>
      <c r="HW907" s="19">
        <v>12.1</v>
      </c>
      <c r="HX907" s="19">
        <v>9.3</v>
      </c>
      <c r="HY907" s="19">
        <v>7.7</v>
      </c>
      <c r="HZ907" s="19">
        <v>6.7</v>
      </c>
      <c r="IA907" s="19">
        <v>5.7</v>
      </c>
      <c r="IB907" s="19">
        <v>11</v>
      </c>
    </row>
    <row r="908">
      <c r="A908" s="2" t="s">
        <v>4688</v>
      </c>
      <c r="B908" s="2" t="s">
        <v>872</v>
      </c>
      <c r="C908" s="2" t="s">
        <v>908</v>
      </c>
      <c r="D908" s="2" t="s">
        <v>884</v>
      </c>
      <c r="E908" s="2" t="s">
        <v>4689</v>
      </c>
      <c r="F908" s="2" t="s">
        <v>4690</v>
      </c>
      <c r="G908" s="2" t="s">
        <v>4690</v>
      </c>
      <c r="H908" s="2" t="s">
        <v>4690</v>
      </c>
      <c r="I908" s="2" t="s">
        <v>4691</v>
      </c>
      <c r="J908" s="2" t="s">
        <v>265</v>
      </c>
      <c r="K908" s="2" t="s">
        <v>1014</v>
      </c>
      <c r="L908" s="3">
        <v>52.38</v>
      </c>
      <c r="M908" s="3">
        <v>55</v>
      </c>
      <c r="N908" s="3">
        <v>109.99</v>
      </c>
      <c r="O908" s="2" t="s">
        <v>230</v>
      </c>
      <c r="P908" s="2" t="s">
        <v>231</v>
      </c>
      <c r="Q908" s="2" t="s">
        <v>232</v>
      </c>
      <c r="R908" s="2" t="s">
        <v>233</v>
      </c>
      <c r="S908" s="2" t="s">
        <v>4692</v>
      </c>
      <c r="T908" s="2" t="s">
        <v>348</v>
      </c>
      <c r="U908" s="2" t="s">
        <v>781</v>
      </c>
      <c r="V908" s="2" t="s">
        <v>782</v>
      </c>
      <c r="W908" s="2" t="s">
        <v>915</v>
      </c>
      <c r="X908" s="2" t="s">
        <v>916</v>
      </c>
      <c r="Y908" s="2" t="s">
        <v>4693</v>
      </c>
      <c r="Z908" s="4">
        <v>205</v>
      </c>
      <c r="AA908" s="4">
        <f>=ROUNDDOWN(17.0833333333333,0)</f>
      </c>
      <c r="AB908" s="5">
        <v>12</v>
      </c>
      <c r="AC908" s="2" t="s">
        <v>172</v>
      </c>
      <c r="AD908" s="4">
        <v>424</v>
      </c>
      <c r="AE908" s="4">
        <v>424</v>
      </c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233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/>
      <c r="AW908" s="8"/>
      <c r="AX908" s="4"/>
      <c r="AY908" s="8"/>
      <c r="AZ908" s="7"/>
      <c r="BA908" s="7"/>
      <c r="BB908" s="7"/>
      <c r="BC908" s="4"/>
      <c r="BD908" s="8"/>
      <c r="BE908" s="4"/>
      <c r="BF908" s="8"/>
      <c r="BG908" s="7"/>
      <c r="BH908" s="7"/>
      <c r="BI908" s="7"/>
      <c r="BJ908" s="4">
        <v>57</v>
      </c>
      <c r="BK908" s="8">
        <v>3276.52</v>
      </c>
      <c r="BL908" s="2" t="s">
        <v>2274</v>
      </c>
      <c r="BM908" s="7"/>
      <c r="BN908" s="7"/>
      <c r="BO908" s="4"/>
      <c r="BP908" s="8"/>
      <c r="BQ908" s="4"/>
      <c r="BR908" s="8"/>
      <c r="BS908" s="7"/>
      <c r="BT908" s="7"/>
      <c r="BU908" s="2" t="s">
        <v>4694</v>
      </c>
      <c r="BV908" s="2" t="s">
        <v>233</v>
      </c>
      <c r="BW908" s="2" t="s">
        <v>233</v>
      </c>
      <c r="BX908" s="2" t="s">
        <v>241</v>
      </c>
      <c r="BY908" s="2" t="s">
        <v>242</v>
      </c>
      <c r="BZ908" s="2" t="s">
        <v>230</v>
      </c>
      <c r="CA908" s="2" t="s">
        <v>4695</v>
      </c>
      <c r="CB908" s="2" t="s">
        <v>1501</v>
      </c>
      <c r="CC908" s="2" t="s">
        <v>245</v>
      </c>
      <c r="CD908" s="2" t="s">
        <v>233</v>
      </c>
      <c r="CE908" s="4">
        <v>107</v>
      </c>
      <c r="CF908" s="4">
        <v>98</v>
      </c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>
        <v>424</v>
      </c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>
        <v>219</v>
      </c>
      <c r="GD908" s="4">
        <v>162</v>
      </c>
      <c r="GE908" s="4">
        <v>143</v>
      </c>
      <c r="GF908" s="4">
        <v>123</v>
      </c>
      <c r="GG908" s="4">
        <v>96</v>
      </c>
      <c r="GH908" s="4">
        <v>77</v>
      </c>
      <c r="GI908" s="4">
        <v>60</v>
      </c>
      <c r="GJ908" s="4">
        <v>471</v>
      </c>
      <c r="GK908" s="4">
        <v>458</v>
      </c>
      <c r="GL908" s="4">
        <v>445</v>
      </c>
      <c r="GM908" s="4">
        <v>432</v>
      </c>
      <c r="GN908" s="4">
        <v>419</v>
      </c>
      <c r="GO908" s="4">
        <v>407</v>
      </c>
      <c r="GP908" s="4">
        <v>395</v>
      </c>
      <c r="GQ908" s="4">
        <v>383</v>
      </c>
      <c r="GR908" s="4">
        <v>371</v>
      </c>
      <c r="GS908" s="4">
        <v>359</v>
      </c>
      <c r="GT908" s="4">
        <v>346</v>
      </c>
      <c r="GU908" s="4">
        <v>334</v>
      </c>
      <c r="GV908" s="4">
        <v>322</v>
      </c>
      <c r="GW908" s="4">
        <v>310</v>
      </c>
      <c r="GX908" s="4">
        <v>298</v>
      </c>
      <c r="GY908" s="4">
        <v>286</v>
      </c>
      <c r="GZ908" s="4">
        <v>274</v>
      </c>
      <c r="HA908" s="4">
        <v>261</v>
      </c>
      <c r="HB908" s="4">
        <v>249</v>
      </c>
      <c r="HC908" s="19">
        <v>7.1</v>
      </c>
      <c r="HD908" s="19">
        <v>7.7</v>
      </c>
      <c r="HE908" s="19">
        <v>6.8</v>
      </c>
      <c r="HF908" s="19">
        <v>6.5</v>
      </c>
      <c r="HG908" s="19">
        <v>6</v>
      </c>
      <c r="HH908" s="19">
        <v>5.5</v>
      </c>
      <c r="HI908" s="19">
        <v>4.6</v>
      </c>
      <c r="HJ908" s="19">
        <v>36.2</v>
      </c>
      <c r="HK908" s="19">
        <v>35.2</v>
      </c>
      <c r="HL908" s="19">
        <v>37.1</v>
      </c>
      <c r="HM908" s="19">
        <v>36</v>
      </c>
      <c r="HN908" s="19">
        <v>34.9</v>
      </c>
      <c r="HO908" s="19">
        <v>33.9</v>
      </c>
      <c r="HP908" s="19">
        <v>32.9</v>
      </c>
      <c r="HQ908" s="19">
        <v>31.9</v>
      </c>
      <c r="HR908" s="19">
        <v>30.9</v>
      </c>
      <c r="HS908" s="19">
        <v>29.9</v>
      </c>
      <c r="HT908" s="19">
        <v>28.8</v>
      </c>
      <c r="HU908" s="19">
        <v>27.8</v>
      </c>
      <c r="HV908" s="19">
        <v>26.8</v>
      </c>
      <c r="HW908" s="19">
        <v>25.8</v>
      </c>
      <c r="HX908" s="19">
        <v>24.8</v>
      </c>
      <c r="HY908" s="19">
        <v>23.8</v>
      </c>
      <c r="HZ908" s="19">
        <v>22.8</v>
      </c>
      <c r="IA908" s="19">
        <v>21.8</v>
      </c>
      <c r="IB908" s="19">
        <v>20.8</v>
      </c>
    </row>
    <row r="909">
      <c r="A909" s="2" t="s">
        <v>4696</v>
      </c>
      <c r="B909" s="2" t="s">
        <v>704</v>
      </c>
      <c r="C909" s="2" t="s">
        <v>280</v>
      </c>
      <c r="D909" s="2" t="s">
        <v>705</v>
      </c>
      <c r="E909" s="2" t="s">
        <v>706</v>
      </c>
      <c r="F909" s="2" t="s">
        <v>4697</v>
      </c>
      <c r="G909" s="2" t="s">
        <v>4697</v>
      </c>
      <c r="H909" s="2" t="s">
        <v>4697</v>
      </c>
      <c r="I909" s="2" t="s">
        <v>4698</v>
      </c>
      <c r="J909" s="2" t="s">
        <v>792</v>
      </c>
      <c r="K909" s="2" t="s">
        <v>300</v>
      </c>
      <c r="L909" s="3">
        <v>26.4</v>
      </c>
      <c r="M909" s="3">
        <v>27.72</v>
      </c>
      <c r="N909" s="3">
        <v>54.99</v>
      </c>
      <c r="O909" s="2" t="s">
        <v>230</v>
      </c>
      <c r="P909" s="2" t="s">
        <v>231</v>
      </c>
      <c r="Q909" s="2" t="s">
        <v>232</v>
      </c>
      <c r="R909" s="2" t="s">
        <v>233</v>
      </c>
      <c r="S909" s="2" t="s">
        <v>233</v>
      </c>
      <c r="T909" s="2" t="s">
        <v>233</v>
      </c>
      <c r="U909" s="2" t="s">
        <v>665</v>
      </c>
      <c r="V909" s="2" t="s">
        <v>236</v>
      </c>
      <c r="W909" s="2" t="s">
        <v>620</v>
      </c>
      <c r="X909" s="2" t="s">
        <v>233</v>
      </c>
      <c r="Y909" s="2" t="s">
        <v>1965</v>
      </c>
      <c r="Z909" s="4">
        <v>163</v>
      </c>
      <c r="AA909" s="4">
        <f>=ROUNDDOWN(3.01851851851852,0)</f>
      </c>
      <c r="AB909" s="5">
        <v>54</v>
      </c>
      <c r="AC909" s="2" t="s">
        <v>154</v>
      </c>
      <c r="AD909" s="4">
        <v>701</v>
      </c>
      <c r="AE909" s="4">
        <v>2278</v>
      </c>
      <c r="AF909" s="6">
        <v>73</v>
      </c>
      <c r="AG909" s="6"/>
      <c r="AH909" s="7">
        <v>1</v>
      </c>
      <c r="AI909" s="4"/>
      <c r="AJ909" s="4">
        <f>=ROUNDDOWN({0},0)</f>
      </c>
      <c r="AK909" s="5"/>
      <c r="AL909" s="2" t="s">
        <v>233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/>
      <c r="AW909" s="8"/>
      <c r="AX909" s="4"/>
      <c r="AY909" s="8"/>
      <c r="AZ909" s="7"/>
      <c r="BA909" s="7"/>
      <c r="BB909" s="7"/>
      <c r="BC909" s="4" t="s">
        <v>233</v>
      </c>
      <c r="BD909" s="8" t="s">
        <v>233</v>
      </c>
      <c r="BE909" s="4" t="s">
        <v>233</v>
      </c>
      <c r="BF909" s="8" t="s">
        <v>233</v>
      </c>
      <c r="BG909" s="7" t="s">
        <v>233</v>
      </c>
      <c r="BH909" s="7" t="s">
        <v>233</v>
      </c>
      <c r="BI909" s="7"/>
      <c r="BJ909" s="4">
        <v>251</v>
      </c>
      <c r="BK909" s="8">
        <v>6944.06</v>
      </c>
      <c r="BL909" s="2" t="s">
        <v>4611</v>
      </c>
      <c r="BM909" s="7"/>
      <c r="BN909" s="7"/>
      <c r="BO909" s="4"/>
      <c r="BP909" s="8"/>
      <c r="BQ909" s="4"/>
      <c r="BR909" s="8"/>
      <c r="BS909" s="7"/>
      <c r="BT909" s="7"/>
      <c r="BU909" s="2" t="s">
        <v>4699</v>
      </c>
      <c r="BV909" s="2" t="s">
        <v>233</v>
      </c>
      <c r="BW909" s="2" t="s">
        <v>233</v>
      </c>
      <c r="BX909" s="2" t="s">
        <v>241</v>
      </c>
      <c r="BY909" s="2" t="s">
        <v>242</v>
      </c>
      <c r="BZ909" s="2" t="s">
        <v>230</v>
      </c>
      <c r="CA909" s="2" t="s">
        <v>2367</v>
      </c>
      <c r="CB909" s="2" t="s">
        <v>668</v>
      </c>
      <c r="CC909" s="2" t="s">
        <v>245</v>
      </c>
      <c r="CD909" s="2" t="s">
        <v>233</v>
      </c>
      <c r="CE909" s="4">
        <v>163</v>
      </c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>
        <v>701</v>
      </c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>
        <v>350</v>
      </c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>
        <v>697</v>
      </c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>
        <v>530</v>
      </c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>
        <v>187</v>
      </c>
      <c r="GD909" s="4"/>
      <c r="GE909" s="4"/>
      <c r="GF909" s="4"/>
      <c r="GG909" s="4"/>
      <c r="GH909" s="4">
        <v>701</v>
      </c>
      <c r="GI909" s="4">
        <v>834</v>
      </c>
      <c r="GJ909" s="4">
        <v>761</v>
      </c>
      <c r="GK909" s="4">
        <v>1409</v>
      </c>
      <c r="GL909" s="4">
        <v>1350</v>
      </c>
      <c r="GM909" s="4">
        <v>1295</v>
      </c>
      <c r="GN909" s="4">
        <v>1241</v>
      </c>
      <c r="GO909" s="4">
        <v>1187</v>
      </c>
      <c r="GP909" s="4">
        <v>1133</v>
      </c>
      <c r="GQ909" s="4">
        <v>1609</v>
      </c>
      <c r="GR909" s="4">
        <v>1555</v>
      </c>
      <c r="GS909" s="4">
        <v>1501</v>
      </c>
      <c r="GT909" s="4">
        <v>1442</v>
      </c>
      <c r="GU909" s="4">
        <v>1388</v>
      </c>
      <c r="GV909" s="4">
        <v>1334</v>
      </c>
      <c r="GW909" s="4">
        <v>1280</v>
      </c>
      <c r="GX909" s="4">
        <v>1226</v>
      </c>
      <c r="GY909" s="4">
        <v>1172</v>
      </c>
      <c r="GZ909" s="4">
        <v>1118</v>
      </c>
      <c r="HA909" s="4">
        <v>1063</v>
      </c>
      <c r="HB909" s="4">
        <v>1009</v>
      </c>
      <c r="HC909" s="19">
        <v>1.4</v>
      </c>
      <c r="HD909" s="20">
        <v>0</v>
      </c>
      <c r="HE909" s="20">
        <v>0</v>
      </c>
      <c r="HF909" s="20">
        <v>0</v>
      </c>
      <c r="HG909" s="20">
        <v>0</v>
      </c>
      <c r="HH909" s="19">
        <v>7</v>
      </c>
      <c r="HI909" s="19">
        <v>14.1</v>
      </c>
      <c r="HJ909" s="19">
        <v>14.1</v>
      </c>
      <c r="HK909" s="19">
        <v>25.2</v>
      </c>
      <c r="HL909" s="19">
        <v>25</v>
      </c>
      <c r="HM909" s="19">
        <v>24</v>
      </c>
      <c r="HN909" s="19">
        <v>23</v>
      </c>
      <c r="HO909" s="19">
        <v>22</v>
      </c>
      <c r="HP909" s="19">
        <v>20.6</v>
      </c>
      <c r="HQ909" s="19">
        <v>29.3</v>
      </c>
      <c r="HR909" s="19">
        <v>28.3</v>
      </c>
      <c r="HS909" s="19">
        <v>27.3</v>
      </c>
      <c r="HT909" s="19">
        <v>26.7</v>
      </c>
      <c r="HU909" s="19">
        <v>25.7</v>
      </c>
      <c r="HV909" s="19">
        <v>24.7</v>
      </c>
      <c r="HW909" s="19">
        <v>23.7</v>
      </c>
      <c r="HX909" s="19">
        <v>22.7</v>
      </c>
      <c r="HY909" s="19">
        <v>21.7</v>
      </c>
      <c r="HZ909" s="19">
        <v>20.7</v>
      </c>
      <c r="IA909" s="19">
        <v>19.7</v>
      </c>
      <c r="IB909" s="19">
        <v>18.7</v>
      </c>
    </row>
    <row r="910">
      <c r="A910" s="2" t="s">
        <v>4700</v>
      </c>
      <c r="B910" s="2" t="s">
        <v>704</v>
      </c>
      <c r="C910" s="2" t="s">
        <v>280</v>
      </c>
      <c r="D910" s="2" t="s">
        <v>705</v>
      </c>
      <c r="E910" s="2" t="s">
        <v>706</v>
      </c>
      <c r="F910" s="2" t="s">
        <v>4697</v>
      </c>
      <c r="G910" s="2" t="s">
        <v>4697</v>
      </c>
      <c r="H910" s="2" t="s">
        <v>4697</v>
      </c>
      <c r="I910" s="2" t="s">
        <v>4698</v>
      </c>
      <c r="J910" s="2" t="s">
        <v>792</v>
      </c>
      <c r="K910" s="2" t="s">
        <v>452</v>
      </c>
      <c r="L910" s="3">
        <v>26.4</v>
      </c>
      <c r="M910" s="3">
        <v>27.72</v>
      </c>
      <c r="N910" s="3">
        <v>54.99</v>
      </c>
      <c r="O910" s="2" t="s">
        <v>230</v>
      </c>
      <c r="P910" s="2" t="s">
        <v>231</v>
      </c>
      <c r="Q910" s="2" t="s">
        <v>232</v>
      </c>
      <c r="R910" s="2" t="s">
        <v>233</v>
      </c>
      <c r="S910" s="2" t="s">
        <v>233</v>
      </c>
      <c r="T910" s="2" t="s">
        <v>233</v>
      </c>
      <c r="U910" s="2" t="s">
        <v>665</v>
      </c>
      <c r="V910" s="2" t="s">
        <v>236</v>
      </c>
      <c r="W910" s="2" t="s">
        <v>620</v>
      </c>
      <c r="X910" s="2" t="s">
        <v>233</v>
      </c>
      <c r="Y910" s="2" t="s">
        <v>1965</v>
      </c>
      <c r="Z910" s="4">
        <v>270</v>
      </c>
      <c r="AA910" s="4">
        <f>=ROUNDDOWN(5.625,0)</f>
      </c>
      <c r="AB910" s="5">
        <v>48</v>
      </c>
      <c r="AC910" s="2" t="s">
        <v>154</v>
      </c>
      <c r="AD910" s="4">
        <v>347</v>
      </c>
      <c r="AE910" s="4">
        <v>1745</v>
      </c>
      <c r="AF910" s="6">
        <v>73</v>
      </c>
      <c r="AG910" s="6"/>
      <c r="AH910" s="7">
        <v>0.1935</v>
      </c>
      <c r="AI910" s="4"/>
      <c r="AJ910" s="4">
        <f>=ROUNDDOWN({0},0)</f>
      </c>
      <c r="AK910" s="5"/>
      <c r="AL910" s="2" t="s">
        <v>233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/>
      <c r="AW910" s="8"/>
      <c r="AX910" s="4"/>
      <c r="AY910" s="8"/>
      <c r="AZ910" s="7"/>
      <c r="BA910" s="7"/>
      <c r="BB910" s="7"/>
      <c r="BC910" s="4" t="s">
        <v>233</v>
      </c>
      <c r="BD910" s="8" t="s">
        <v>233</v>
      </c>
      <c r="BE910" s="4" t="s">
        <v>233</v>
      </c>
      <c r="BF910" s="8" t="s">
        <v>233</v>
      </c>
      <c r="BG910" s="7" t="s">
        <v>233</v>
      </c>
      <c r="BH910" s="7" t="s">
        <v>233</v>
      </c>
      <c r="BI910" s="7"/>
      <c r="BJ910" s="4">
        <v>52</v>
      </c>
      <c r="BK910" s="8">
        <v>1529.49</v>
      </c>
      <c r="BL910" s="2" t="s">
        <v>4701</v>
      </c>
      <c r="BM910" s="7"/>
      <c r="BN910" s="7"/>
      <c r="BO910" s="4"/>
      <c r="BP910" s="8"/>
      <c r="BQ910" s="4"/>
      <c r="BR910" s="8"/>
      <c r="BS910" s="7"/>
      <c r="BT910" s="7"/>
      <c r="BU910" s="2" t="s">
        <v>4699</v>
      </c>
      <c r="BV910" s="2" t="s">
        <v>233</v>
      </c>
      <c r="BW910" s="2" t="s">
        <v>233</v>
      </c>
      <c r="BX910" s="2" t="s">
        <v>241</v>
      </c>
      <c r="BY910" s="2" t="s">
        <v>242</v>
      </c>
      <c r="BZ910" s="2" t="s">
        <v>230</v>
      </c>
      <c r="CA910" s="2" t="s">
        <v>2367</v>
      </c>
      <c r="CB910" s="2" t="s">
        <v>4702</v>
      </c>
      <c r="CC910" s="2" t="s">
        <v>245</v>
      </c>
      <c r="CD910" s="2" t="s">
        <v>233</v>
      </c>
      <c r="CE910" s="4">
        <v>270</v>
      </c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>
        <v>347</v>
      </c>
      <c r="DQ910" s="4"/>
      <c r="DR910" s="4"/>
      <c r="DS910" s="4"/>
      <c r="DT910" s="4">
        <v>350</v>
      </c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>
        <v>348</v>
      </c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>
        <v>350</v>
      </c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>
        <v>350</v>
      </c>
      <c r="FX910" s="4"/>
      <c r="FY910" s="4"/>
      <c r="FZ910" s="4"/>
      <c r="GA910" s="4"/>
      <c r="GB910" s="4"/>
      <c r="GC910" s="4">
        <v>341</v>
      </c>
      <c r="GD910" s="4">
        <v>113</v>
      </c>
      <c r="GE910" s="4">
        <v>34</v>
      </c>
      <c r="GF910" s="4"/>
      <c r="GG910" s="4"/>
      <c r="GH910" s="4">
        <v>697</v>
      </c>
      <c r="GI910" s="4">
        <v>535</v>
      </c>
      <c r="GJ910" s="4">
        <v>472</v>
      </c>
      <c r="GK910" s="4">
        <v>776</v>
      </c>
      <c r="GL910" s="4">
        <v>724</v>
      </c>
      <c r="GM910" s="4">
        <v>675</v>
      </c>
      <c r="GN910" s="4">
        <v>627</v>
      </c>
      <c r="GO910" s="4">
        <v>579</v>
      </c>
      <c r="GP910" s="4">
        <v>531</v>
      </c>
      <c r="GQ910" s="4">
        <v>833</v>
      </c>
      <c r="GR910" s="4">
        <v>785</v>
      </c>
      <c r="GS910" s="4">
        <v>737</v>
      </c>
      <c r="GT910" s="4">
        <v>685</v>
      </c>
      <c r="GU910" s="4">
        <v>987</v>
      </c>
      <c r="GV910" s="4">
        <v>939</v>
      </c>
      <c r="GW910" s="4">
        <v>891</v>
      </c>
      <c r="GX910" s="4">
        <v>843</v>
      </c>
      <c r="GY910" s="4">
        <v>795</v>
      </c>
      <c r="GZ910" s="4">
        <v>1097</v>
      </c>
      <c r="HA910" s="4">
        <v>1048</v>
      </c>
      <c r="HB910" s="4">
        <v>1000</v>
      </c>
      <c r="HC910" s="19">
        <v>2.6</v>
      </c>
      <c r="HD910" s="19">
        <v>1.2</v>
      </c>
      <c r="HE910" s="19">
        <v>0.3</v>
      </c>
      <c r="HF910" s="20">
        <v>0</v>
      </c>
      <c r="HG910" s="20">
        <v>0</v>
      </c>
      <c r="HH910" s="19">
        <v>8.7</v>
      </c>
      <c r="HI910" s="19">
        <v>10.3</v>
      </c>
      <c r="HJ910" s="19">
        <v>9.8</v>
      </c>
      <c r="HK910" s="19">
        <v>15.8</v>
      </c>
      <c r="HL910" s="19">
        <v>15.1</v>
      </c>
      <c r="HM910" s="19">
        <v>14.1</v>
      </c>
      <c r="HN910" s="19">
        <v>13.1</v>
      </c>
      <c r="HO910" s="19">
        <v>12.1</v>
      </c>
      <c r="HP910" s="19">
        <v>10.8</v>
      </c>
      <c r="HQ910" s="19">
        <v>17</v>
      </c>
      <c r="HR910" s="19">
        <v>16</v>
      </c>
      <c r="HS910" s="19">
        <v>15</v>
      </c>
      <c r="HT910" s="19">
        <v>14.3</v>
      </c>
      <c r="HU910" s="19">
        <v>20.6</v>
      </c>
      <c r="HV910" s="19">
        <v>19.6</v>
      </c>
      <c r="HW910" s="19">
        <v>18.6</v>
      </c>
      <c r="HX910" s="19">
        <v>17.6</v>
      </c>
      <c r="HY910" s="19">
        <v>16.6</v>
      </c>
      <c r="HZ910" s="19">
        <v>22.9</v>
      </c>
      <c r="IA910" s="19">
        <v>21.8</v>
      </c>
      <c r="IB910" s="19">
        <v>20.4</v>
      </c>
    </row>
    <row r="911">
      <c r="A911" s="2" t="s">
        <v>4703</v>
      </c>
      <c r="B911" s="2" t="s">
        <v>704</v>
      </c>
      <c r="C911" s="2" t="s">
        <v>280</v>
      </c>
      <c r="D911" s="2" t="s">
        <v>705</v>
      </c>
      <c r="E911" s="2" t="s">
        <v>706</v>
      </c>
      <c r="F911" s="2" t="s">
        <v>4697</v>
      </c>
      <c r="G911" s="2" t="s">
        <v>4697</v>
      </c>
      <c r="H911" s="2" t="s">
        <v>4697</v>
      </c>
      <c r="I911" s="2" t="s">
        <v>4698</v>
      </c>
      <c r="J911" s="2" t="s">
        <v>792</v>
      </c>
      <c r="K911" s="2" t="s">
        <v>870</v>
      </c>
      <c r="L911" s="3">
        <v>26.4</v>
      </c>
      <c r="M911" s="3">
        <v>27.72</v>
      </c>
      <c r="N911" s="3">
        <v>54.99</v>
      </c>
      <c r="O911" s="2" t="s">
        <v>230</v>
      </c>
      <c r="P911" s="2" t="s">
        <v>231</v>
      </c>
      <c r="Q911" s="2" t="s">
        <v>232</v>
      </c>
      <c r="R911" s="2" t="s">
        <v>233</v>
      </c>
      <c r="S911" s="2" t="s">
        <v>4704</v>
      </c>
      <c r="T911" s="2" t="s">
        <v>348</v>
      </c>
      <c r="U911" s="2" t="s">
        <v>665</v>
      </c>
      <c r="V911" s="2" t="s">
        <v>236</v>
      </c>
      <c r="W911" s="2" t="s">
        <v>620</v>
      </c>
      <c r="X911" s="2" t="s">
        <v>233</v>
      </c>
      <c r="Y911" s="2" t="s">
        <v>4705</v>
      </c>
      <c r="Z911" s="4">
        <v>309</v>
      </c>
      <c r="AA911" s="4">
        <f>=ROUNDDOWN(8.58333333333333,0)</f>
      </c>
      <c r="AB911" s="5">
        <v>36</v>
      </c>
      <c r="AC911" s="2" t="s">
        <v>150</v>
      </c>
      <c r="AD911" s="4">
        <v>170</v>
      </c>
      <c r="AE911" s="4">
        <v>1052</v>
      </c>
      <c r="AF911" s="6">
        <v>73</v>
      </c>
      <c r="AG911" s="6"/>
      <c r="AH911" s="7">
        <v>1</v>
      </c>
      <c r="AI911" s="4"/>
      <c r="AJ911" s="4">
        <f>=ROUNDDOWN({0},0)</f>
      </c>
      <c r="AK911" s="5"/>
      <c r="AL911" s="2" t="s">
        <v>233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/>
      <c r="AW911" s="8"/>
      <c r="AX911" s="4"/>
      <c r="AY911" s="8"/>
      <c r="AZ911" s="7"/>
      <c r="BA911" s="7"/>
      <c r="BB911" s="7"/>
      <c r="BC911" s="4" t="s">
        <v>233</v>
      </c>
      <c r="BD911" s="8" t="s">
        <v>233</v>
      </c>
      <c r="BE911" s="4" t="s">
        <v>233</v>
      </c>
      <c r="BF911" s="8" t="s">
        <v>233</v>
      </c>
      <c r="BG911" s="7" t="s">
        <v>233</v>
      </c>
      <c r="BH911" s="7" t="s">
        <v>233</v>
      </c>
      <c r="BI911" s="7"/>
      <c r="BJ911" s="4">
        <v>153</v>
      </c>
      <c r="BK911" s="8">
        <v>4177.1</v>
      </c>
      <c r="BL911" s="2" t="s">
        <v>4147</v>
      </c>
      <c r="BM911" s="7"/>
      <c r="BN911" s="7"/>
      <c r="BO911" s="4"/>
      <c r="BP911" s="8"/>
      <c r="BQ911" s="4"/>
      <c r="BR911" s="8"/>
      <c r="BS911" s="7"/>
      <c r="BT911" s="7"/>
      <c r="BU911" s="2" t="s">
        <v>4699</v>
      </c>
      <c r="BV911" s="2" t="s">
        <v>233</v>
      </c>
      <c r="BW911" s="2" t="s">
        <v>233</v>
      </c>
      <c r="BX911" s="2" t="s">
        <v>241</v>
      </c>
      <c r="BY911" s="2" t="s">
        <v>242</v>
      </c>
      <c r="BZ911" s="2" t="s">
        <v>230</v>
      </c>
      <c r="CA911" s="2" t="s">
        <v>2952</v>
      </c>
      <c r="CB911" s="2" t="s">
        <v>4706</v>
      </c>
      <c r="CC911" s="2" t="s">
        <v>245</v>
      </c>
      <c r="CD911" s="2" t="s">
        <v>233</v>
      </c>
      <c r="CE911" s="4">
        <v>309</v>
      </c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>
        <v>170</v>
      </c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>
        <v>352</v>
      </c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>
        <v>530</v>
      </c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>
        <v>322</v>
      </c>
      <c r="GD911" s="4">
        <v>164</v>
      </c>
      <c r="GE911" s="4">
        <v>102</v>
      </c>
      <c r="GF911" s="4">
        <v>31</v>
      </c>
      <c r="GG911" s="4">
        <v>170</v>
      </c>
      <c r="GH911" s="4">
        <v>88</v>
      </c>
      <c r="GI911" s="4">
        <v>352</v>
      </c>
      <c r="GJ911" s="4">
        <v>299</v>
      </c>
      <c r="GK911" s="4">
        <v>266</v>
      </c>
      <c r="GL911" s="4">
        <v>227</v>
      </c>
      <c r="GM911" s="4">
        <v>191</v>
      </c>
      <c r="GN911" s="4">
        <v>155</v>
      </c>
      <c r="GO911" s="4">
        <v>119</v>
      </c>
      <c r="GP911" s="4">
        <v>83</v>
      </c>
      <c r="GQ911" s="4">
        <v>577</v>
      </c>
      <c r="GR911" s="4">
        <v>541</v>
      </c>
      <c r="GS911" s="4">
        <v>505</v>
      </c>
      <c r="GT911" s="4">
        <v>466</v>
      </c>
      <c r="GU911" s="4">
        <v>430</v>
      </c>
      <c r="GV911" s="4">
        <v>394</v>
      </c>
      <c r="GW911" s="4">
        <v>358</v>
      </c>
      <c r="GX911" s="4">
        <v>322</v>
      </c>
      <c r="GY911" s="4">
        <v>286</v>
      </c>
      <c r="GZ911" s="4">
        <v>250</v>
      </c>
      <c r="HA911" s="4">
        <v>214</v>
      </c>
      <c r="HB911" s="4">
        <v>178</v>
      </c>
      <c r="HC911" s="19">
        <v>3.2</v>
      </c>
      <c r="HD911" s="19">
        <v>2</v>
      </c>
      <c r="HE911" s="19">
        <v>1.1</v>
      </c>
      <c r="HF911" s="19">
        <v>0.4</v>
      </c>
      <c r="HG911" s="19">
        <v>2.5</v>
      </c>
      <c r="HH911" s="19">
        <v>1.5</v>
      </c>
      <c r="HI911" s="19">
        <v>8.8</v>
      </c>
      <c r="HJ911" s="19">
        <v>8.3</v>
      </c>
      <c r="HK911" s="19">
        <v>7.2</v>
      </c>
      <c r="HL911" s="19">
        <v>6.3</v>
      </c>
      <c r="HM911" s="19">
        <v>5.3</v>
      </c>
      <c r="HN911" s="19">
        <v>4.3</v>
      </c>
      <c r="HO911" s="19">
        <v>3.3</v>
      </c>
      <c r="HP911" s="19">
        <v>2.2</v>
      </c>
      <c r="HQ911" s="19">
        <v>15.6</v>
      </c>
      <c r="HR911" s="19">
        <v>14.6</v>
      </c>
      <c r="HS911" s="19">
        <v>13.6</v>
      </c>
      <c r="HT911" s="19">
        <v>12.9</v>
      </c>
      <c r="HU911" s="19">
        <v>11.9</v>
      </c>
      <c r="HV911" s="19">
        <v>10.9</v>
      </c>
      <c r="HW911" s="19">
        <v>9.9</v>
      </c>
      <c r="HX911" s="19">
        <v>8.9</v>
      </c>
      <c r="HY911" s="19">
        <v>7.9</v>
      </c>
      <c r="HZ911" s="19">
        <v>6.9</v>
      </c>
      <c r="IA911" s="19">
        <v>5.9</v>
      </c>
      <c r="IB911" s="19">
        <v>4.9</v>
      </c>
    </row>
    <row r="912">
      <c r="A912" s="2" t="s">
        <v>4707</v>
      </c>
      <c r="B912" s="2" t="s">
        <v>704</v>
      </c>
      <c r="C912" s="2" t="s">
        <v>280</v>
      </c>
      <c r="D912" s="2" t="s">
        <v>705</v>
      </c>
      <c r="E912" s="2" t="s">
        <v>706</v>
      </c>
      <c r="F912" s="2" t="s">
        <v>4697</v>
      </c>
      <c r="G912" s="2" t="s">
        <v>4697</v>
      </c>
      <c r="H912" s="2" t="s">
        <v>4697</v>
      </c>
      <c r="I912" s="2" t="s">
        <v>4698</v>
      </c>
      <c r="J912" s="2" t="s">
        <v>792</v>
      </c>
      <c r="K912" s="2" t="s">
        <v>1014</v>
      </c>
      <c r="L912" s="3">
        <v>26.4</v>
      </c>
      <c r="M912" s="3">
        <v>27.72</v>
      </c>
      <c r="N912" s="3">
        <v>54.99</v>
      </c>
      <c r="O912" s="2" t="s">
        <v>230</v>
      </c>
      <c r="P912" s="2" t="s">
        <v>586</v>
      </c>
      <c r="Q912" s="2" t="s">
        <v>232</v>
      </c>
      <c r="R912" s="2" t="s">
        <v>233</v>
      </c>
      <c r="S912" s="2" t="s">
        <v>4704</v>
      </c>
      <c r="T912" s="2" t="s">
        <v>348</v>
      </c>
      <c r="U912" s="2" t="s">
        <v>665</v>
      </c>
      <c r="V912" s="2" t="s">
        <v>236</v>
      </c>
      <c r="W912" s="2" t="s">
        <v>620</v>
      </c>
      <c r="X912" s="2" t="s">
        <v>237</v>
      </c>
      <c r="Y912" s="2" t="s">
        <v>4708</v>
      </c>
      <c r="Z912" s="4">
        <v>336</v>
      </c>
      <c r="AA912" s="4">
        <f>=ROUNDDOWN(7.81395348837209,0)</f>
      </c>
      <c r="AB912" s="5">
        <v>43</v>
      </c>
      <c r="AC912" s="2" t="s">
        <v>154</v>
      </c>
      <c r="AD912" s="4">
        <v>511</v>
      </c>
      <c r="AE912" s="4">
        <v>1908</v>
      </c>
      <c r="AF912" s="6">
        <v>73</v>
      </c>
      <c r="AG912" s="6"/>
      <c r="AH912" s="7">
        <v>0.3871</v>
      </c>
      <c r="AI912" s="4"/>
      <c r="AJ912" s="4">
        <f>=ROUNDDOWN({0},0)</f>
      </c>
      <c r="AK912" s="5"/>
      <c r="AL912" s="2" t="s">
        <v>233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/>
      <c r="AW912" s="8"/>
      <c r="AX912" s="4"/>
      <c r="AY912" s="8"/>
      <c r="AZ912" s="7"/>
      <c r="BA912" s="7"/>
      <c r="BB912" s="7"/>
      <c r="BC912" s="4" t="s">
        <v>233</v>
      </c>
      <c r="BD912" s="8" t="s">
        <v>233</v>
      </c>
      <c r="BE912" s="4" t="s">
        <v>233</v>
      </c>
      <c r="BF912" s="8" t="s">
        <v>233</v>
      </c>
      <c r="BG912" s="7" t="s">
        <v>233</v>
      </c>
      <c r="BH912" s="7" t="s">
        <v>233</v>
      </c>
      <c r="BI912" s="7"/>
      <c r="BJ912" s="4">
        <v>78</v>
      </c>
      <c r="BK912" s="8">
        <v>2198.06</v>
      </c>
      <c r="BL912" s="2" t="s">
        <v>4709</v>
      </c>
      <c r="BM912" s="7"/>
      <c r="BN912" s="7"/>
      <c r="BO912" s="4"/>
      <c r="BP912" s="8"/>
      <c r="BQ912" s="4"/>
      <c r="BR912" s="8"/>
      <c r="BS912" s="7"/>
      <c r="BT912" s="7"/>
      <c r="BU912" s="2" t="s">
        <v>4699</v>
      </c>
      <c r="BV912" s="2" t="s">
        <v>233</v>
      </c>
      <c r="BW912" s="2" t="s">
        <v>233</v>
      </c>
      <c r="BX912" s="2" t="s">
        <v>241</v>
      </c>
      <c r="BY912" s="2" t="s">
        <v>242</v>
      </c>
      <c r="BZ912" s="2" t="s">
        <v>230</v>
      </c>
      <c r="CA912" s="2" t="s">
        <v>4710</v>
      </c>
      <c r="CB912" s="2" t="s">
        <v>4711</v>
      </c>
      <c r="CC912" s="2" t="s">
        <v>245</v>
      </c>
      <c r="CD912" s="2" t="s">
        <v>233</v>
      </c>
      <c r="CE912" s="4">
        <v>336</v>
      </c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>
        <v>511</v>
      </c>
      <c r="DQ912" s="4"/>
      <c r="DR912" s="4"/>
      <c r="DS912" s="4"/>
      <c r="DT912" s="4">
        <v>350</v>
      </c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>
        <v>347</v>
      </c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>
        <v>700</v>
      </c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>
        <v>354</v>
      </c>
      <c r="GD912" s="4">
        <v>82</v>
      </c>
      <c r="GE912" s="4">
        <v>7</v>
      </c>
      <c r="GF912" s="4"/>
      <c r="GG912" s="4"/>
      <c r="GH912" s="4">
        <v>861</v>
      </c>
      <c r="GI912" s="4">
        <v>721</v>
      </c>
      <c r="GJ912" s="4">
        <v>662</v>
      </c>
      <c r="GK912" s="4">
        <v>970</v>
      </c>
      <c r="GL912" s="4">
        <v>923</v>
      </c>
      <c r="GM912" s="4">
        <v>880</v>
      </c>
      <c r="GN912" s="4">
        <v>837</v>
      </c>
      <c r="GO912" s="4">
        <v>794</v>
      </c>
      <c r="GP912" s="4">
        <v>751</v>
      </c>
      <c r="GQ912" s="4">
        <v>1408</v>
      </c>
      <c r="GR912" s="4">
        <v>1365</v>
      </c>
      <c r="GS912" s="4">
        <v>1322</v>
      </c>
      <c r="GT912" s="4">
        <v>1275</v>
      </c>
      <c r="GU912" s="4">
        <v>1232</v>
      </c>
      <c r="GV912" s="4">
        <v>1189</v>
      </c>
      <c r="GW912" s="4">
        <v>1146</v>
      </c>
      <c r="GX912" s="4">
        <v>1103</v>
      </c>
      <c r="GY912" s="4">
        <v>1060</v>
      </c>
      <c r="GZ912" s="4">
        <v>1017</v>
      </c>
      <c r="HA912" s="4">
        <v>974</v>
      </c>
      <c r="HB912" s="4">
        <v>931</v>
      </c>
      <c r="HC912" s="19">
        <v>2.5</v>
      </c>
      <c r="HD912" s="19">
        <v>0.8</v>
      </c>
      <c r="HE912" s="19">
        <v>0.1</v>
      </c>
      <c r="HF912" s="20">
        <v>0</v>
      </c>
      <c r="HG912" s="20">
        <v>0</v>
      </c>
      <c r="HH912" s="19">
        <v>12.1</v>
      </c>
      <c r="HI912" s="19">
        <v>15.3</v>
      </c>
      <c r="HJ912" s="19">
        <v>15.4</v>
      </c>
      <c r="HK912" s="19">
        <v>22</v>
      </c>
      <c r="HL912" s="19">
        <v>21.5</v>
      </c>
      <c r="HM912" s="19">
        <v>20.5</v>
      </c>
      <c r="HN912" s="19">
        <v>19.5</v>
      </c>
      <c r="HO912" s="19">
        <v>18.5</v>
      </c>
      <c r="HP912" s="19">
        <v>17.1</v>
      </c>
      <c r="HQ912" s="19">
        <v>32</v>
      </c>
      <c r="HR912" s="19">
        <v>31</v>
      </c>
      <c r="HS912" s="19">
        <v>30</v>
      </c>
      <c r="HT912" s="19">
        <v>29.7</v>
      </c>
      <c r="HU912" s="19">
        <v>28.7</v>
      </c>
      <c r="HV912" s="19">
        <v>27.7</v>
      </c>
      <c r="HW912" s="19">
        <v>26.7</v>
      </c>
      <c r="HX912" s="19">
        <v>25.7</v>
      </c>
      <c r="HY912" s="19">
        <v>24.7</v>
      </c>
      <c r="HZ912" s="19">
        <v>23.7</v>
      </c>
      <c r="IA912" s="19">
        <v>22.7</v>
      </c>
      <c r="IB912" s="19">
        <v>21.7</v>
      </c>
    </row>
    <row r="913">
      <c r="A913" s="2" t="s">
        <v>4712</v>
      </c>
      <c r="B913" s="2" t="s">
        <v>704</v>
      </c>
      <c r="C913" s="2" t="s">
        <v>280</v>
      </c>
      <c r="D913" s="2" t="s">
        <v>705</v>
      </c>
      <c r="E913" s="2" t="s">
        <v>706</v>
      </c>
      <c r="F913" s="2" t="s">
        <v>4697</v>
      </c>
      <c r="G913" s="2" t="s">
        <v>4697</v>
      </c>
      <c r="H913" s="2" t="s">
        <v>4697</v>
      </c>
      <c r="I913" s="2" t="s">
        <v>4698</v>
      </c>
      <c r="J913" s="2" t="s">
        <v>792</v>
      </c>
      <c r="K913" s="2" t="s">
        <v>266</v>
      </c>
      <c r="L913" s="3">
        <v>26.4</v>
      </c>
      <c r="M913" s="3">
        <v>27.72</v>
      </c>
      <c r="N913" s="3">
        <v>54.99</v>
      </c>
      <c r="O913" s="2" t="s">
        <v>230</v>
      </c>
      <c r="P913" s="2" t="s">
        <v>586</v>
      </c>
      <c r="Q913" s="2" t="s">
        <v>232</v>
      </c>
      <c r="R913" s="2" t="s">
        <v>233</v>
      </c>
      <c r="S913" s="2" t="s">
        <v>4704</v>
      </c>
      <c r="T913" s="2" t="s">
        <v>348</v>
      </c>
      <c r="U913" s="2" t="s">
        <v>665</v>
      </c>
      <c r="V913" s="2" t="s">
        <v>236</v>
      </c>
      <c r="W913" s="2" t="s">
        <v>620</v>
      </c>
      <c r="X913" s="2" t="s">
        <v>233</v>
      </c>
      <c r="Y913" s="2" t="s">
        <v>724</v>
      </c>
      <c r="Z913" s="4">
        <v>353</v>
      </c>
      <c r="AA913" s="4">
        <f>=ROUNDDOWN(6.92156862745098,0)</f>
      </c>
      <c r="AB913" s="5">
        <v>51</v>
      </c>
      <c r="AC913" s="2" t="s">
        <v>150</v>
      </c>
      <c r="AD913" s="4">
        <v>332</v>
      </c>
      <c r="AE913" s="4">
        <v>2093</v>
      </c>
      <c r="AF913" s="6">
        <v>73</v>
      </c>
      <c r="AG913" s="6"/>
      <c r="AH913" s="7">
        <v>1</v>
      </c>
      <c r="AI913" s="4"/>
      <c r="AJ913" s="4">
        <f>=ROUNDDOWN({0},0)</f>
      </c>
      <c r="AK913" s="5"/>
      <c r="AL913" s="2" t="s">
        <v>233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 t="s">
        <v>233</v>
      </c>
      <c r="BD913" s="8" t="s">
        <v>233</v>
      </c>
      <c r="BE913" s="4" t="s">
        <v>233</v>
      </c>
      <c r="BF913" s="8" t="s">
        <v>233</v>
      </c>
      <c r="BG913" s="7" t="s">
        <v>233</v>
      </c>
      <c r="BH913" s="7" t="s">
        <v>233</v>
      </c>
      <c r="BI913" s="7"/>
      <c r="BJ913" s="4">
        <v>252</v>
      </c>
      <c r="BK913" s="8">
        <v>7300.33</v>
      </c>
      <c r="BL913" s="2" t="s">
        <v>4713</v>
      </c>
      <c r="BM913" s="7"/>
      <c r="BN913" s="7"/>
      <c r="BO913" s="4"/>
      <c r="BP913" s="8"/>
      <c r="BQ913" s="4"/>
      <c r="BR913" s="8"/>
      <c r="BS913" s="7"/>
      <c r="BT913" s="7"/>
      <c r="BU913" s="2" t="s">
        <v>4699</v>
      </c>
      <c r="BV913" s="2" t="s">
        <v>233</v>
      </c>
      <c r="BW913" s="2" t="s">
        <v>233</v>
      </c>
      <c r="BX913" s="2" t="s">
        <v>241</v>
      </c>
      <c r="BY913" s="2" t="s">
        <v>242</v>
      </c>
      <c r="BZ913" s="2" t="s">
        <v>230</v>
      </c>
      <c r="CA913" s="2" t="s">
        <v>1694</v>
      </c>
      <c r="CB913" s="2" t="s">
        <v>4714</v>
      </c>
      <c r="CC913" s="2" t="s">
        <v>245</v>
      </c>
      <c r="CD913" s="2" t="s">
        <v>233</v>
      </c>
      <c r="CE913" s="4">
        <v>353</v>
      </c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>
        <v>332</v>
      </c>
      <c r="DM913" s="4"/>
      <c r="DN913" s="4"/>
      <c r="DO913" s="4"/>
      <c r="DP913" s="4"/>
      <c r="DQ913" s="4"/>
      <c r="DR913" s="4"/>
      <c r="DS913" s="4"/>
      <c r="DT913" s="4">
        <v>700</v>
      </c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>
        <v>361</v>
      </c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>
        <v>350</v>
      </c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>
        <v>350</v>
      </c>
      <c r="FX913" s="4"/>
      <c r="FY913" s="4"/>
      <c r="FZ913" s="4"/>
      <c r="GA913" s="4"/>
      <c r="GB913" s="4"/>
      <c r="GC913" s="4">
        <v>382</v>
      </c>
      <c r="GD913" s="4">
        <v>69</v>
      </c>
      <c r="GE913" s="4"/>
      <c r="GF913" s="4"/>
      <c r="GG913" s="4">
        <v>332</v>
      </c>
      <c r="GH913" s="4">
        <v>897</v>
      </c>
      <c r="GI913" s="4">
        <v>756</v>
      </c>
      <c r="GJ913" s="4">
        <v>689</v>
      </c>
      <c r="GK913" s="4">
        <v>1003</v>
      </c>
      <c r="GL913" s="4">
        <v>948</v>
      </c>
      <c r="GM913" s="4">
        <v>896</v>
      </c>
      <c r="GN913" s="4">
        <v>845</v>
      </c>
      <c r="GO913" s="4">
        <v>794</v>
      </c>
      <c r="GP913" s="4">
        <v>743</v>
      </c>
      <c r="GQ913" s="4">
        <v>1042</v>
      </c>
      <c r="GR913" s="4">
        <v>991</v>
      </c>
      <c r="GS913" s="4">
        <v>940</v>
      </c>
      <c r="GT913" s="4">
        <v>885</v>
      </c>
      <c r="GU913" s="4">
        <v>1184</v>
      </c>
      <c r="GV913" s="4">
        <v>1133</v>
      </c>
      <c r="GW913" s="4">
        <v>1082</v>
      </c>
      <c r="GX913" s="4">
        <v>1031</v>
      </c>
      <c r="GY913" s="4">
        <v>980</v>
      </c>
      <c r="GZ913" s="4">
        <v>929</v>
      </c>
      <c r="HA913" s="4">
        <v>877</v>
      </c>
      <c r="HB913" s="4">
        <v>826</v>
      </c>
      <c r="HC913" s="19">
        <v>2.5</v>
      </c>
      <c r="HD913" s="19">
        <v>0.6</v>
      </c>
      <c r="HE913" s="20">
        <v>0</v>
      </c>
      <c r="HF913" s="20">
        <v>0</v>
      </c>
      <c r="HG913" s="19">
        <v>3.4</v>
      </c>
      <c r="HH913" s="19">
        <v>11.5</v>
      </c>
      <c r="HI913" s="19">
        <v>13.7</v>
      </c>
      <c r="HJ913" s="19">
        <v>13.5</v>
      </c>
      <c r="HK913" s="19">
        <v>19.3</v>
      </c>
      <c r="HL913" s="19">
        <v>18.6</v>
      </c>
      <c r="HM913" s="19">
        <v>17.6</v>
      </c>
      <c r="HN913" s="19">
        <v>16.6</v>
      </c>
      <c r="HO913" s="19">
        <v>15.6</v>
      </c>
      <c r="HP913" s="19">
        <v>14.3</v>
      </c>
      <c r="HQ913" s="19">
        <v>20</v>
      </c>
      <c r="HR913" s="19">
        <v>19.1</v>
      </c>
      <c r="HS913" s="19">
        <v>18.1</v>
      </c>
      <c r="HT913" s="19">
        <v>17.4</v>
      </c>
      <c r="HU913" s="19">
        <v>23.2</v>
      </c>
      <c r="HV913" s="19">
        <v>22.2</v>
      </c>
      <c r="HW913" s="19">
        <v>21.2</v>
      </c>
      <c r="HX913" s="19">
        <v>20.2</v>
      </c>
      <c r="HY913" s="19">
        <v>19.2</v>
      </c>
      <c r="HZ913" s="19">
        <v>18.2</v>
      </c>
      <c r="IA913" s="19">
        <v>17.2</v>
      </c>
      <c r="IB913" s="19">
        <v>15.9</v>
      </c>
    </row>
    <row r="914">
      <c r="A914" s="2" t="s">
        <v>4715</v>
      </c>
      <c r="B914" s="2" t="s">
        <v>872</v>
      </c>
      <c r="C914" s="2" t="s">
        <v>789</v>
      </c>
      <c r="D914" s="2" t="s">
        <v>884</v>
      </c>
      <c r="E914" s="2" t="s">
        <v>1753</v>
      </c>
      <c r="F914" s="2" t="s">
        <v>4716</v>
      </c>
      <c r="G914" s="2" t="s">
        <v>4717</v>
      </c>
      <c r="H914" s="2" t="s">
        <v>4718</v>
      </c>
      <c r="I914" s="2" t="s">
        <v>4719</v>
      </c>
      <c r="J914" s="2" t="s">
        <v>265</v>
      </c>
      <c r="K914" s="2" t="s">
        <v>300</v>
      </c>
      <c r="L914" s="3">
        <v>21.6</v>
      </c>
      <c r="M914" s="3">
        <v>22.68</v>
      </c>
      <c r="N914" s="3">
        <v>59.99</v>
      </c>
      <c r="O914" s="2" t="s">
        <v>230</v>
      </c>
      <c r="P914" s="2" t="s">
        <v>231</v>
      </c>
      <c r="Q914" s="2" t="s">
        <v>232</v>
      </c>
      <c r="R914" s="2" t="s">
        <v>233</v>
      </c>
      <c r="S914" s="2" t="s">
        <v>4720</v>
      </c>
      <c r="T914" s="2" t="s">
        <v>233</v>
      </c>
      <c r="U914" s="2" t="s">
        <v>781</v>
      </c>
      <c r="V914" s="2" t="s">
        <v>236</v>
      </c>
      <c r="W914" s="2" t="s">
        <v>620</v>
      </c>
      <c r="X914" s="2" t="s">
        <v>233</v>
      </c>
      <c r="Y914" s="2" t="s">
        <v>4721</v>
      </c>
      <c r="Z914" s="4">
        <v>236</v>
      </c>
      <c r="AA914" s="4">
        <f>=ROUNDDOWN(39.3333333333333,0)</f>
      </c>
      <c r="AB914" s="5">
        <v>6</v>
      </c>
      <c r="AC914" s="2" t="s">
        <v>233</v>
      </c>
      <c r="AD914" s="4"/>
      <c r="AE914" s="4"/>
      <c r="AF914" s="6">
        <v>65</v>
      </c>
      <c r="AG914" s="6">
        <v>48</v>
      </c>
      <c r="AH914" s="7">
        <v>1</v>
      </c>
      <c r="AI914" s="4"/>
      <c r="AJ914" s="4">
        <f>=ROUNDDOWN({0},0)</f>
      </c>
      <c r="AK914" s="5"/>
      <c r="AL914" s="2" t="s">
        <v>233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 t="s">
        <v>233</v>
      </c>
      <c r="BD914" s="8" t="s">
        <v>233</v>
      </c>
      <c r="BE914" s="4" t="s">
        <v>233</v>
      </c>
      <c r="BF914" s="8" t="s">
        <v>233</v>
      </c>
      <c r="BG914" s="7" t="s">
        <v>233</v>
      </c>
      <c r="BH914" s="7" t="s">
        <v>233</v>
      </c>
      <c r="BI914" s="7"/>
      <c r="BJ914" s="4">
        <v>21</v>
      </c>
      <c r="BK914" s="8">
        <v>504.98</v>
      </c>
      <c r="BL914" s="2" t="s">
        <v>3329</v>
      </c>
      <c r="BM914" s="7"/>
      <c r="BN914" s="7"/>
      <c r="BO914" s="4"/>
      <c r="BP914" s="8"/>
      <c r="BQ914" s="4"/>
      <c r="BR914" s="8"/>
      <c r="BS914" s="7"/>
      <c r="BT914" s="7"/>
      <c r="BU914" s="2" t="s">
        <v>4722</v>
      </c>
      <c r="BV914" s="2" t="s">
        <v>233</v>
      </c>
      <c r="BW914" s="2" t="s">
        <v>233</v>
      </c>
      <c r="BX914" s="2" t="s">
        <v>241</v>
      </c>
      <c r="BY914" s="2" t="s">
        <v>242</v>
      </c>
      <c r="BZ914" s="2" t="s">
        <v>230</v>
      </c>
      <c r="CA914" s="2" t="s">
        <v>684</v>
      </c>
      <c r="CB914" s="2" t="s">
        <v>4723</v>
      </c>
      <c r="CC914" s="2" t="s">
        <v>245</v>
      </c>
      <c r="CD914" s="2" t="s">
        <v>233</v>
      </c>
      <c r="CE914" s="4">
        <v>178</v>
      </c>
      <c r="CF914" s="4"/>
      <c r="CG914" s="4"/>
      <c r="CH914" s="4">
        <v>58</v>
      </c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>
        <v>256</v>
      </c>
      <c r="GD914" s="4">
        <v>236</v>
      </c>
      <c r="GE914" s="4">
        <v>229</v>
      </c>
      <c r="GF914" s="4">
        <v>223</v>
      </c>
      <c r="GG914" s="4">
        <v>211</v>
      </c>
      <c r="GH914" s="4">
        <v>204</v>
      </c>
      <c r="GI914" s="4">
        <v>197</v>
      </c>
      <c r="GJ914" s="4">
        <v>191</v>
      </c>
      <c r="GK914" s="4">
        <v>185</v>
      </c>
      <c r="GL914" s="4">
        <v>179</v>
      </c>
      <c r="GM914" s="4">
        <v>173</v>
      </c>
      <c r="GN914" s="4">
        <v>166</v>
      </c>
      <c r="GO914" s="4">
        <v>160</v>
      </c>
      <c r="GP914" s="4">
        <v>154</v>
      </c>
      <c r="GQ914" s="4">
        <v>147</v>
      </c>
      <c r="GR914" s="4">
        <v>141</v>
      </c>
      <c r="GS914" s="4">
        <v>135</v>
      </c>
      <c r="GT914" s="4">
        <v>128</v>
      </c>
      <c r="GU914" s="4">
        <v>122</v>
      </c>
      <c r="GV914" s="4">
        <v>185</v>
      </c>
      <c r="GW914" s="4">
        <v>179</v>
      </c>
      <c r="GX914" s="4">
        <v>173</v>
      </c>
      <c r="GY914" s="4">
        <v>167</v>
      </c>
      <c r="GZ914" s="4">
        <v>161</v>
      </c>
      <c r="HA914" s="4">
        <v>155</v>
      </c>
      <c r="HB914" s="4">
        <v>149</v>
      </c>
      <c r="HC914" s="19">
        <v>26.3</v>
      </c>
      <c r="HD914" s="19">
        <v>41.3</v>
      </c>
      <c r="HE914" s="19">
        <v>40.4</v>
      </c>
      <c r="HF914" s="19">
        <v>39.5</v>
      </c>
      <c r="HG914" s="19">
        <v>39.7</v>
      </c>
      <c r="HH914" s="19">
        <v>41.2</v>
      </c>
      <c r="HI914" s="19">
        <v>40.1</v>
      </c>
      <c r="HJ914" s="19">
        <v>39.1</v>
      </c>
      <c r="HK914" s="19">
        <v>38.1</v>
      </c>
      <c r="HL914" s="19">
        <v>37.1</v>
      </c>
      <c r="HM914" s="19">
        <v>34</v>
      </c>
      <c r="HN914" s="19">
        <v>35</v>
      </c>
      <c r="HO914" s="19">
        <v>34</v>
      </c>
      <c r="HP914" s="19">
        <v>31.2</v>
      </c>
      <c r="HQ914" s="19">
        <v>31.9</v>
      </c>
      <c r="HR914" s="19">
        <v>30.9</v>
      </c>
      <c r="HS914" s="19">
        <v>29.9</v>
      </c>
      <c r="HT914" s="19">
        <v>28.8</v>
      </c>
      <c r="HU914" s="19">
        <v>27.8</v>
      </c>
      <c r="HV914" s="19">
        <v>33.7</v>
      </c>
      <c r="HW914" s="19">
        <v>32.7</v>
      </c>
      <c r="HX914" s="19">
        <v>31.7</v>
      </c>
      <c r="HY914" s="19">
        <v>30.7</v>
      </c>
      <c r="HZ914" s="19">
        <v>29.7</v>
      </c>
      <c r="IA914" s="19">
        <v>26.7</v>
      </c>
      <c r="IB914" s="19">
        <v>25.8</v>
      </c>
    </row>
    <row r="915">
      <c r="A915" s="2" t="s">
        <v>4724</v>
      </c>
      <c r="B915" s="2" t="s">
        <v>872</v>
      </c>
      <c r="C915" s="2" t="s">
        <v>789</v>
      </c>
      <c r="D915" s="2" t="s">
        <v>884</v>
      </c>
      <c r="E915" s="2" t="s">
        <v>1753</v>
      </c>
      <c r="F915" s="2" t="s">
        <v>4716</v>
      </c>
      <c r="G915" s="2" t="s">
        <v>4717</v>
      </c>
      <c r="H915" s="2" t="s">
        <v>4718</v>
      </c>
      <c r="I915" s="2" t="s">
        <v>4719</v>
      </c>
      <c r="J915" s="2" t="s">
        <v>265</v>
      </c>
      <c r="K915" s="2" t="s">
        <v>534</v>
      </c>
      <c r="L915" s="3">
        <v>21.6</v>
      </c>
      <c r="M915" s="3">
        <v>22.68</v>
      </c>
      <c r="N915" s="3">
        <v>59.99</v>
      </c>
      <c r="O915" s="2" t="s">
        <v>230</v>
      </c>
      <c r="P915" s="2" t="s">
        <v>231</v>
      </c>
      <c r="Q915" s="2" t="s">
        <v>232</v>
      </c>
      <c r="R915" s="2" t="s">
        <v>233</v>
      </c>
      <c r="S915" s="2" t="s">
        <v>4725</v>
      </c>
      <c r="T915" s="2" t="s">
        <v>233</v>
      </c>
      <c r="U915" s="2" t="s">
        <v>781</v>
      </c>
      <c r="V915" s="2" t="s">
        <v>236</v>
      </c>
      <c r="W915" s="2" t="s">
        <v>620</v>
      </c>
      <c r="X915" s="2" t="s">
        <v>233</v>
      </c>
      <c r="Y915" s="2" t="s">
        <v>4721</v>
      </c>
      <c r="Z915" s="4">
        <v>302</v>
      </c>
      <c r="AA915" s="4">
        <f>=ROUNDDOWN(30.2,0)</f>
      </c>
      <c r="AB915" s="5">
        <v>10</v>
      </c>
      <c r="AC915" s="2" t="s">
        <v>140</v>
      </c>
      <c r="AD915" s="4">
        <v>170</v>
      </c>
      <c r="AE915" s="4">
        <v>320</v>
      </c>
      <c r="AF915" s="6">
        <v>65</v>
      </c>
      <c r="AG915" s="6">
        <v>48</v>
      </c>
      <c r="AH915" s="7">
        <v>1</v>
      </c>
      <c r="AI915" s="4"/>
      <c r="AJ915" s="4">
        <f>=ROUNDDOWN({0},0)</f>
      </c>
      <c r="AK915" s="5"/>
      <c r="AL915" s="2" t="s">
        <v>233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 t="s">
        <v>233</v>
      </c>
      <c r="BD915" s="8" t="s">
        <v>233</v>
      </c>
      <c r="BE915" s="4" t="s">
        <v>233</v>
      </c>
      <c r="BF915" s="8" t="s">
        <v>233</v>
      </c>
      <c r="BG915" s="7" t="s">
        <v>233</v>
      </c>
      <c r="BH915" s="7" t="s">
        <v>233</v>
      </c>
      <c r="BI915" s="7"/>
      <c r="BJ915" s="4">
        <v>35</v>
      </c>
      <c r="BK915" s="8">
        <v>823.68</v>
      </c>
      <c r="BL915" s="2" t="s">
        <v>4726</v>
      </c>
      <c r="BM915" s="7"/>
      <c r="BN915" s="7"/>
      <c r="BO915" s="4"/>
      <c r="BP915" s="8"/>
      <c r="BQ915" s="4"/>
      <c r="BR915" s="8"/>
      <c r="BS915" s="7"/>
      <c r="BT915" s="7"/>
      <c r="BU915" s="2" t="s">
        <v>4722</v>
      </c>
      <c r="BV915" s="2" t="s">
        <v>233</v>
      </c>
      <c r="BW915" s="2" t="s">
        <v>233</v>
      </c>
      <c r="BX915" s="2" t="s">
        <v>241</v>
      </c>
      <c r="BY915" s="2" t="s">
        <v>242</v>
      </c>
      <c r="BZ915" s="2" t="s">
        <v>230</v>
      </c>
      <c r="CA915" s="2" t="s">
        <v>684</v>
      </c>
      <c r="CB915" s="2" t="s">
        <v>4727</v>
      </c>
      <c r="CC915" s="2" t="s">
        <v>245</v>
      </c>
      <c r="CD915" s="2" t="s">
        <v>233</v>
      </c>
      <c r="CE915" s="4">
        <v>236</v>
      </c>
      <c r="CF915" s="4"/>
      <c r="CG915" s="4"/>
      <c r="CH915" s="4">
        <v>66</v>
      </c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>
        <v>170</v>
      </c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>
        <v>150</v>
      </c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>
        <v>307</v>
      </c>
      <c r="GD915" s="4">
        <v>291</v>
      </c>
      <c r="GE915" s="4">
        <v>449</v>
      </c>
      <c r="GF915" s="4">
        <v>439</v>
      </c>
      <c r="GG915" s="4">
        <v>419</v>
      </c>
      <c r="GH915" s="4">
        <v>407</v>
      </c>
      <c r="GI915" s="4">
        <v>395</v>
      </c>
      <c r="GJ915" s="4">
        <v>385</v>
      </c>
      <c r="GK915" s="4">
        <v>375</v>
      </c>
      <c r="GL915" s="4">
        <v>365</v>
      </c>
      <c r="GM915" s="4">
        <v>355</v>
      </c>
      <c r="GN915" s="4">
        <v>343</v>
      </c>
      <c r="GO915" s="4">
        <v>333</v>
      </c>
      <c r="GP915" s="4">
        <v>323</v>
      </c>
      <c r="GQ915" s="4">
        <v>462</v>
      </c>
      <c r="GR915" s="4">
        <v>452</v>
      </c>
      <c r="GS915" s="4">
        <v>442</v>
      </c>
      <c r="GT915" s="4">
        <v>431</v>
      </c>
      <c r="GU915" s="4">
        <v>421</v>
      </c>
      <c r="GV915" s="4">
        <v>411</v>
      </c>
      <c r="GW915" s="4">
        <v>401</v>
      </c>
      <c r="GX915" s="4">
        <v>391</v>
      </c>
      <c r="GY915" s="4">
        <v>381</v>
      </c>
      <c r="GZ915" s="4">
        <v>371</v>
      </c>
      <c r="HA915" s="4">
        <v>361</v>
      </c>
      <c r="HB915" s="4">
        <v>351</v>
      </c>
      <c r="HC915" s="19">
        <v>20.3</v>
      </c>
      <c r="HD915" s="19">
        <v>20.5</v>
      </c>
      <c r="HE915" s="19">
        <v>40.8</v>
      </c>
      <c r="HF915" s="19">
        <v>40.1</v>
      </c>
      <c r="HG915" s="19">
        <v>39.9</v>
      </c>
      <c r="HH915" s="19">
        <v>49.6</v>
      </c>
      <c r="HI915" s="19">
        <v>48.3</v>
      </c>
      <c r="HJ915" s="19">
        <v>47.3</v>
      </c>
      <c r="HK915" s="19">
        <v>46.3</v>
      </c>
      <c r="HL915" s="19">
        <v>45.3</v>
      </c>
      <c r="HM915" s="19">
        <v>42.9</v>
      </c>
      <c r="HN915" s="19">
        <v>43.1</v>
      </c>
      <c r="HO915" s="19">
        <v>42.1</v>
      </c>
      <c r="HP915" s="19">
        <v>39.9</v>
      </c>
      <c r="HQ915" s="19">
        <v>50.7</v>
      </c>
      <c r="HR915" s="19">
        <v>49.7</v>
      </c>
      <c r="HS915" s="19">
        <v>48.7</v>
      </c>
      <c r="HT915" s="19">
        <v>47.7</v>
      </c>
      <c r="HU915" s="19">
        <v>46.7</v>
      </c>
      <c r="HV915" s="19">
        <v>45.7</v>
      </c>
      <c r="HW915" s="19">
        <v>44.7</v>
      </c>
      <c r="HX915" s="19">
        <v>43.7</v>
      </c>
      <c r="HY915" s="19">
        <v>42.7</v>
      </c>
      <c r="HZ915" s="19">
        <v>41.7</v>
      </c>
      <c r="IA915" s="19">
        <v>38.8</v>
      </c>
      <c r="IB915" s="19">
        <v>31.6</v>
      </c>
    </row>
    <row r="916">
      <c r="A916" s="2" t="s">
        <v>4728</v>
      </c>
      <c r="B916" s="2" t="s">
        <v>872</v>
      </c>
      <c r="C916" s="2" t="s">
        <v>789</v>
      </c>
      <c r="D916" s="2" t="s">
        <v>884</v>
      </c>
      <c r="E916" s="2" t="s">
        <v>1753</v>
      </c>
      <c r="F916" s="2" t="s">
        <v>4716</v>
      </c>
      <c r="G916" s="2" t="s">
        <v>4717</v>
      </c>
      <c r="H916" s="2" t="s">
        <v>4718</v>
      </c>
      <c r="I916" s="2" t="s">
        <v>4719</v>
      </c>
      <c r="J916" s="2" t="s">
        <v>265</v>
      </c>
      <c r="K916" s="2" t="s">
        <v>266</v>
      </c>
      <c r="L916" s="3">
        <v>21.6</v>
      </c>
      <c r="M916" s="3">
        <v>22.68</v>
      </c>
      <c r="N916" s="3">
        <v>59.99</v>
      </c>
      <c r="O916" s="2" t="s">
        <v>230</v>
      </c>
      <c r="P916" s="2" t="s">
        <v>231</v>
      </c>
      <c r="Q916" s="2" t="s">
        <v>232</v>
      </c>
      <c r="R916" s="2" t="s">
        <v>233</v>
      </c>
      <c r="S916" s="2" t="s">
        <v>4729</v>
      </c>
      <c r="T916" s="2" t="s">
        <v>233</v>
      </c>
      <c r="U916" s="2" t="s">
        <v>781</v>
      </c>
      <c r="V916" s="2" t="s">
        <v>236</v>
      </c>
      <c r="W916" s="2" t="s">
        <v>620</v>
      </c>
      <c r="X916" s="2" t="s">
        <v>233</v>
      </c>
      <c r="Y916" s="2" t="s">
        <v>4721</v>
      </c>
      <c r="Z916" s="4">
        <v>307</v>
      </c>
      <c r="AA916" s="4">
        <f>=ROUNDDOWN(20.4666666666667,0)</f>
      </c>
      <c r="AB916" s="5">
        <v>15</v>
      </c>
      <c r="AC916" s="2" t="s">
        <v>140</v>
      </c>
      <c r="AD916" s="4">
        <v>110</v>
      </c>
      <c r="AE916" s="4">
        <v>360</v>
      </c>
      <c r="AF916" s="6">
        <v>65</v>
      </c>
      <c r="AG916" s="6">
        <v>48</v>
      </c>
      <c r="AH916" s="7">
        <v>1</v>
      </c>
      <c r="AI916" s="4"/>
      <c r="AJ916" s="4">
        <f>=ROUNDDOWN({0},0)</f>
      </c>
      <c r="AK916" s="5"/>
      <c r="AL916" s="2" t="s">
        <v>233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233</v>
      </c>
      <c r="AW916" s="8" t="s">
        <v>233</v>
      </c>
      <c r="AX916" s="4" t="s">
        <v>233</v>
      </c>
      <c r="AY916" s="8" t="s">
        <v>233</v>
      </c>
      <c r="AZ916" s="7" t="s">
        <v>233</v>
      </c>
      <c r="BA916" s="7" t="s">
        <v>233</v>
      </c>
      <c r="BB916" s="7"/>
      <c r="BC916" s="4" t="s">
        <v>233</v>
      </c>
      <c r="BD916" s="8" t="s">
        <v>233</v>
      </c>
      <c r="BE916" s="4" t="s">
        <v>233</v>
      </c>
      <c r="BF916" s="8" t="s">
        <v>233</v>
      </c>
      <c r="BG916" s="7" t="s">
        <v>233</v>
      </c>
      <c r="BH916" s="7" t="s">
        <v>233</v>
      </c>
      <c r="BI916" s="7"/>
      <c r="BJ916" s="4">
        <v>49</v>
      </c>
      <c r="BK916" s="8">
        <v>1169.12</v>
      </c>
      <c r="BL916" s="2" t="s">
        <v>4730</v>
      </c>
      <c r="BM916" s="7"/>
      <c r="BN916" s="7"/>
      <c r="BO916" s="4"/>
      <c r="BP916" s="8"/>
      <c r="BQ916" s="4"/>
      <c r="BR916" s="8"/>
      <c r="BS916" s="7"/>
      <c r="BT916" s="7"/>
      <c r="BU916" s="2" t="s">
        <v>4722</v>
      </c>
      <c r="BV916" s="2" t="s">
        <v>233</v>
      </c>
      <c r="BW916" s="2" t="s">
        <v>233</v>
      </c>
      <c r="BX916" s="2" t="s">
        <v>241</v>
      </c>
      <c r="BY916" s="2" t="s">
        <v>242</v>
      </c>
      <c r="BZ916" s="2" t="s">
        <v>230</v>
      </c>
      <c r="CA916" s="2" t="s">
        <v>684</v>
      </c>
      <c r="CB916" s="2" t="s">
        <v>4731</v>
      </c>
      <c r="CC916" s="2" t="s">
        <v>245</v>
      </c>
      <c r="CD916" s="2" t="s">
        <v>233</v>
      </c>
      <c r="CE916" s="4">
        <v>224</v>
      </c>
      <c r="CF916" s="4"/>
      <c r="CG916" s="4"/>
      <c r="CH916" s="4">
        <v>83</v>
      </c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>
        <v>110</v>
      </c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>
        <v>250</v>
      </c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>
        <v>315</v>
      </c>
      <c r="GD916" s="4">
        <v>291</v>
      </c>
      <c r="GE916" s="4">
        <v>383</v>
      </c>
      <c r="GF916" s="4">
        <v>368</v>
      </c>
      <c r="GG916" s="4">
        <v>338</v>
      </c>
      <c r="GH916" s="4">
        <v>320</v>
      </c>
      <c r="GI916" s="4">
        <v>302</v>
      </c>
      <c r="GJ916" s="4">
        <v>287</v>
      </c>
      <c r="GK916" s="4">
        <v>272</v>
      </c>
      <c r="GL916" s="4">
        <v>257</v>
      </c>
      <c r="GM916" s="4">
        <v>242</v>
      </c>
      <c r="GN916" s="4">
        <v>224</v>
      </c>
      <c r="GO916" s="4">
        <v>209</v>
      </c>
      <c r="GP916" s="4">
        <v>194</v>
      </c>
      <c r="GQ916" s="4">
        <v>428</v>
      </c>
      <c r="GR916" s="4">
        <v>413</v>
      </c>
      <c r="GS916" s="4">
        <v>398</v>
      </c>
      <c r="GT916" s="4">
        <v>382</v>
      </c>
      <c r="GU916" s="4">
        <v>367</v>
      </c>
      <c r="GV916" s="4">
        <v>352</v>
      </c>
      <c r="GW916" s="4">
        <v>337</v>
      </c>
      <c r="GX916" s="4">
        <v>322</v>
      </c>
      <c r="GY916" s="4">
        <v>307</v>
      </c>
      <c r="GZ916" s="4">
        <v>292</v>
      </c>
      <c r="HA916" s="4">
        <v>277</v>
      </c>
      <c r="HB916" s="4">
        <v>262</v>
      </c>
      <c r="HC916" s="19">
        <v>14.2</v>
      </c>
      <c r="HD916" s="19">
        <v>13.6</v>
      </c>
      <c r="HE916" s="19">
        <v>21.9</v>
      </c>
      <c r="HF916" s="19">
        <v>21.2</v>
      </c>
      <c r="HG916" s="19">
        <v>28.4</v>
      </c>
      <c r="HH916" s="19">
        <v>27.2</v>
      </c>
      <c r="HI916" s="19">
        <v>26.6</v>
      </c>
      <c r="HJ916" s="19">
        <v>25.1</v>
      </c>
      <c r="HK916" s="19">
        <v>24.1</v>
      </c>
      <c r="HL916" s="19">
        <v>23.2</v>
      </c>
      <c r="HM916" s="19">
        <v>22.2</v>
      </c>
      <c r="HN916" s="19">
        <v>21.3</v>
      </c>
      <c r="HO916" s="19">
        <v>20.3</v>
      </c>
      <c r="HP916" s="19">
        <v>19.1</v>
      </c>
      <c r="HQ916" s="19">
        <v>29.7</v>
      </c>
      <c r="HR916" s="19">
        <v>28.7</v>
      </c>
      <c r="HS916" s="19">
        <v>27.7</v>
      </c>
      <c r="HT916" s="19">
        <v>26.6</v>
      </c>
      <c r="HU916" s="19">
        <v>25.6</v>
      </c>
      <c r="HV916" s="19">
        <v>24.6</v>
      </c>
      <c r="HW916" s="19">
        <v>23.6</v>
      </c>
      <c r="HX916" s="19">
        <v>22.6</v>
      </c>
      <c r="HY916" s="19">
        <v>21.6</v>
      </c>
      <c r="HZ916" s="19">
        <v>20.6</v>
      </c>
      <c r="IA916" s="19">
        <v>18.9</v>
      </c>
      <c r="IB916" s="19">
        <v>15.8</v>
      </c>
    </row>
    <row r="917">
      <c r="A917" s="2" t="s">
        <v>4732</v>
      </c>
      <c r="B917" s="2" t="s">
        <v>872</v>
      </c>
      <c r="C917" s="2" t="s">
        <v>789</v>
      </c>
      <c r="D917" s="2" t="s">
        <v>884</v>
      </c>
      <c r="E917" s="2" t="s">
        <v>1753</v>
      </c>
      <c r="F917" s="2" t="s">
        <v>4716</v>
      </c>
      <c r="G917" s="2" t="s">
        <v>4717</v>
      </c>
      <c r="H917" s="2" t="s">
        <v>4718</v>
      </c>
      <c r="I917" s="2" t="s">
        <v>4719</v>
      </c>
      <c r="J917" s="2" t="s">
        <v>275</v>
      </c>
      <c r="K917" s="2" t="s">
        <v>266</v>
      </c>
      <c r="L917" s="3">
        <v>26.6</v>
      </c>
      <c r="M917" s="3">
        <v>27.93</v>
      </c>
      <c r="N917" s="3">
        <v>69.99</v>
      </c>
      <c r="O917" s="2" t="s">
        <v>230</v>
      </c>
      <c r="P917" s="2" t="s">
        <v>231</v>
      </c>
      <c r="Q917" s="2" t="s">
        <v>232</v>
      </c>
      <c r="R917" s="2" t="s">
        <v>233</v>
      </c>
      <c r="S917" s="2" t="s">
        <v>4729</v>
      </c>
      <c r="T917" s="2" t="s">
        <v>233</v>
      </c>
      <c r="U917" s="2" t="s">
        <v>781</v>
      </c>
      <c r="V917" s="2" t="s">
        <v>236</v>
      </c>
      <c r="W917" s="2" t="s">
        <v>620</v>
      </c>
      <c r="X917" s="2" t="s">
        <v>233</v>
      </c>
      <c r="Y917" s="2" t="s">
        <v>4721</v>
      </c>
      <c r="Z917" s="4">
        <v>252</v>
      </c>
      <c r="AA917" s="4">
        <f>=ROUNDDOWN(19.3846153846154,0)</f>
      </c>
      <c r="AB917" s="5">
        <v>13</v>
      </c>
      <c r="AC917" s="2" t="s">
        <v>140</v>
      </c>
      <c r="AD917" s="4">
        <v>130</v>
      </c>
      <c r="AE917" s="4">
        <v>340</v>
      </c>
      <c r="AF917" s="6">
        <v>65</v>
      </c>
      <c r="AG917" s="6">
        <v>48</v>
      </c>
      <c r="AH917" s="7">
        <v>1</v>
      </c>
      <c r="AI917" s="4"/>
      <c r="AJ917" s="4">
        <f>=ROUNDDOWN({0},0)</f>
      </c>
      <c r="AK917" s="5"/>
      <c r="AL917" s="2" t="s">
        <v>233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233</v>
      </c>
      <c r="AW917" s="8" t="s">
        <v>233</v>
      </c>
      <c r="AX917" s="4" t="s">
        <v>233</v>
      </c>
      <c r="AY917" s="8" t="s">
        <v>233</v>
      </c>
      <c r="AZ917" s="7" t="s">
        <v>233</v>
      </c>
      <c r="BA917" s="7" t="s">
        <v>233</v>
      </c>
      <c r="BB917" s="7"/>
      <c r="BC917" s="4" t="s">
        <v>233</v>
      </c>
      <c r="BD917" s="8" t="s">
        <v>233</v>
      </c>
      <c r="BE917" s="4" t="s">
        <v>233</v>
      </c>
      <c r="BF917" s="8" t="s">
        <v>233</v>
      </c>
      <c r="BG917" s="7" t="s">
        <v>233</v>
      </c>
      <c r="BH917" s="7" t="s">
        <v>233</v>
      </c>
      <c r="BI917" s="7"/>
      <c r="BJ917" s="4">
        <v>51</v>
      </c>
      <c r="BK917" s="8">
        <v>1477</v>
      </c>
      <c r="BL917" s="2" t="s">
        <v>4733</v>
      </c>
      <c r="BM917" s="7"/>
      <c r="BN917" s="7"/>
      <c r="BO917" s="4"/>
      <c r="BP917" s="8"/>
      <c r="BQ917" s="4"/>
      <c r="BR917" s="8"/>
      <c r="BS917" s="7"/>
      <c r="BT917" s="7"/>
      <c r="BU917" s="2" t="s">
        <v>4722</v>
      </c>
      <c r="BV917" s="2" t="s">
        <v>233</v>
      </c>
      <c r="BW917" s="2" t="s">
        <v>233</v>
      </c>
      <c r="BX917" s="2" t="s">
        <v>241</v>
      </c>
      <c r="BY917" s="2" t="s">
        <v>242</v>
      </c>
      <c r="BZ917" s="2" t="s">
        <v>230</v>
      </c>
      <c r="CA917" s="2" t="s">
        <v>684</v>
      </c>
      <c r="CB917" s="2" t="s">
        <v>4734</v>
      </c>
      <c r="CC917" s="2" t="s">
        <v>245</v>
      </c>
      <c r="CD917" s="2" t="s">
        <v>233</v>
      </c>
      <c r="CE917" s="4">
        <v>120</v>
      </c>
      <c r="CF917" s="4"/>
      <c r="CG917" s="4"/>
      <c r="CH917" s="4">
        <v>132</v>
      </c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>
        <v>130</v>
      </c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>
        <v>210</v>
      </c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>
        <v>288</v>
      </c>
      <c r="GD917" s="4">
        <v>252</v>
      </c>
      <c r="GE917" s="4">
        <v>368</v>
      </c>
      <c r="GF917" s="4">
        <v>355</v>
      </c>
      <c r="GG917" s="4">
        <v>332</v>
      </c>
      <c r="GH917" s="4">
        <v>314</v>
      </c>
      <c r="GI917" s="4">
        <v>301</v>
      </c>
      <c r="GJ917" s="4">
        <v>288</v>
      </c>
      <c r="GK917" s="4">
        <v>275</v>
      </c>
      <c r="GL917" s="4">
        <v>261</v>
      </c>
      <c r="GM917" s="4">
        <v>248</v>
      </c>
      <c r="GN917" s="4">
        <v>234</v>
      </c>
      <c r="GO917" s="4">
        <v>221</v>
      </c>
      <c r="GP917" s="4">
        <v>209</v>
      </c>
      <c r="GQ917" s="4">
        <v>406</v>
      </c>
      <c r="GR917" s="4">
        <v>393</v>
      </c>
      <c r="GS917" s="4">
        <v>380</v>
      </c>
      <c r="GT917" s="4">
        <v>366</v>
      </c>
      <c r="GU917" s="4">
        <v>353</v>
      </c>
      <c r="GV917" s="4">
        <v>340</v>
      </c>
      <c r="GW917" s="4">
        <v>327</v>
      </c>
      <c r="GX917" s="4">
        <v>314</v>
      </c>
      <c r="GY917" s="4">
        <v>301</v>
      </c>
      <c r="GZ917" s="4">
        <v>285</v>
      </c>
      <c r="HA917" s="4">
        <v>263</v>
      </c>
      <c r="HB917" s="4">
        <v>246</v>
      </c>
      <c r="HC917" s="19">
        <v>21.1</v>
      </c>
      <c r="HD917" s="19">
        <v>20.9</v>
      </c>
      <c r="HE917" s="19">
        <v>36.3</v>
      </c>
      <c r="HF917" s="19">
        <v>35.6</v>
      </c>
      <c r="HG917" s="19">
        <v>45.2</v>
      </c>
      <c r="HH917" s="19">
        <v>44.2</v>
      </c>
      <c r="HI917" s="19">
        <v>43.2</v>
      </c>
      <c r="HJ917" s="19">
        <v>42.2</v>
      </c>
      <c r="HK917" s="19">
        <v>31.4</v>
      </c>
      <c r="HL917" s="19">
        <v>21.2</v>
      </c>
      <c r="HM917" s="19">
        <v>16.2</v>
      </c>
      <c r="HN917" s="19">
        <v>15</v>
      </c>
      <c r="HO917" s="19">
        <v>13.8</v>
      </c>
      <c r="HP917" s="19">
        <v>17.4</v>
      </c>
      <c r="HQ917" s="19">
        <v>43.2</v>
      </c>
      <c r="HR917" s="19">
        <v>42.2</v>
      </c>
      <c r="HS917" s="19">
        <v>41.2</v>
      </c>
      <c r="HT917" s="19">
        <v>40.1</v>
      </c>
      <c r="HU917" s="19">
        <v>39.1</v>
      </c>
      <c r="HV917" s="19">
        <v>38.1</v>
      </c>
      <c r="HW917" s="19">
        <v>28.5</v>
      </c>
      <c r="HX917" s="19">
        <v>27.3</v>
      </c>
      <c r="HY917" s="19">
        <v>26.5</v>
      </c>
      <c r="HZ917" s="19">
        <v>25.2</v>
      </c>
      <c r="IA917" s="19">
        <v>24.3</v>
      </c>
      <c r="IB917" s="19">
        <v>23.3</v>
      </c>
    </row>
    <row r="918">
      <c r="A918" s="2" t="s">
        <v>4735</v>
      </c>
      <c r="B918" s="2" t="s">
        <v>279</v>
      </c>
      <c r="C918" s="2" t="s">
        <v>616</v>
      </c>
      <c r="D918" s="2" t="s">
        <v>281</v>
      </c>
      <c r="E918" s="2" t="s">
        <v>282</v>
      </c>
      <c r="F918" s="2" t="s">
        <v>4736</v>
      </c>
      <c r="G918" s="2" t="s">
        <v>4736</v>
      </c>
      <c r="H918" s="2" t="s">
        <v>4736</v>
      </c>
      <c r="I918" s="2" t="s">
        <v>4737</v>
      </c>
      <c r="J918" s="2" t="s">
        <v>252</v>
      </c>
      <c r="K918" s="2" t="s">
        <v>4738</v>
      </c>
      <c r="L918" s="3">
        <v>22</v>
      </c>
      <c r="M918" s="3">
        <v>23.1</v>
      </c>
      <c r="N918" s="3">
        <v>47.99</v>
      </c>
      <c r="O918" s="2" t="s">
        <v>230</v>
      </c>
      <c r="P918" s="2" t="s">
        <v>231</v>
      </c>
      <c r="Q918" s="2" t="s">
        <v>232</v>
      </c>
      <c r="R918" s="2" t="s">
        <v>233</v>
      </c>
      <c r="S918" s="2" t="s">
        <v>4739</v>
      </c>
      <c r="T918" s="2" t="s">
        <v>2310</v>
      </c>
      <c r="U918" s="2" t="s">
        <v>287</v>
      </c>
      <c r="V918" s="2" t="s">
        <v>349</v>
      </c>
      <c r="W918" s="2" t="s">
        <v>237</v>
      </c>
      <c r="X918" s="2" t="s">
        <v>620</v>
      </c>
      <c r="Y918" s="2" t="s">
        <v>2447</v>
      </c>
      <c r="Z918" s="4">
        <v>3</v>
      </c>
      <c r="AA918" s="4">
        <f>=ROUNDDOWN(0.222222222222222,0)</f>
      </c>
      <c r="AB918" s="5">
        <v>13.5</v>
      </c>
      <c r="AC918" s="2" t="s">
        <v>637</v>
      </c>
      <c r="AD918" s="4">
        <v>82</v>
      </c>
      <c r="AE918" s="4">
        <v>426</v>
      </c>
      <c r="AF918" s="6">
        <v>74</v>
      </c>
      <c r="AG918" s="6"/>
      <c r="AH918" s="7">
        <v>0.4839</v>
      </c>
      <c r="AI918" s="4"/>
      <c r="AJ918" s="4">
        <f>=ROUNDDOWN({0},0)</f>
      </c>
      <c r="AK918" s="5"/>
      <c r="AL918" s="2" t="s">
        <v>233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/>
      <c r="AW918" s="8"/>
      <c r="AX918" s="4"/>
      <c r="AY918" s="8"/>
      <c r="AZ918" s="7"/>
      <c r="BA918" s="7"/>
      <c r="BB918" s="7"/>
      <c r="BC918" s="4" t="s">
        <v>233</v>
      </c>
      <c r="BD918" s="8" t="s">
        <v>233</v>
      </c>
      <c r="BE918" s="4" t="s">
        <v>233</v>
      </c>
      <c r="BF918" s="8" t="s">
        <v>233</v>
      </c>
      <c r="BG918" s="7" t="s">
        <v>233</v>
      </c>
      <c r="BH918" s="7" t="s">
        <v>233</v>
      </c>
      <c r="BI918" s="7"/>
      <c r="BJ918" s="4">
        <v>17</v>
      </c>
      <c r="BK918" s="8">
        <v>435.5</v>
      </c>
      <c r="BL918" s="2" t="s">
        <v>4740</v>
      </c>
      <c r="BM918" s="7"/>
      <c r="BN918" s="7"/>
      <c r="BO918" s="4"/>
      <c r="BP918" s="8"/>
      <c r="BQ918" s="4"/>
      <c r="BR918" s="8"/>
      <c r="BS918" s="7"/>
      <c r="BT918" s="7"/>
      <c r="BU918" s="2" t="s">
        <v>4741</v>
      </c>
      <c r="BV918" s="2" t="s">
        <v>233</v>
      </c>
      <c r="BW918" s="2" t="s">
        <v>233</v>
      </c>
      <c r="BX918" s="2" t="s">
        <v>241</v>
      </c>
      <c r="BY918" s="2" t="s">
        <v>242</v>
      </c>
      <c r="BZ918" s="2" t="s">
        <v>230</v>
      </c>
      <c r="CA918" s="2" t="s">
        <v>2672</v>
      </c>
      <c r="CB918" s="2" t="s">
        <v>2315</v>
      </c>
      <c r="CC918" s="2" t="s">
        <v>245</v>
      </c>
      <c r="CD918" s="2" t="s">
        <v>233</v>
      </c>
      <c r="CE918" s="4">
        <v>3</v>
      </c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>
        <v>82</v>
      </c>
      <c r="DT918" s="4"/>
      <c r="DU918" s="4"/>
      <c r="DV918" s="4"/>
      <c r="DW918" s="4">
        <v>252</v>
      </c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>
        <v>92</v>
      </c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>
        <v>3</v>
      </c>
      <c r="GD918" s="4"/>
      <c r="GE918" s="4"/>
      <c r="GF918" s="4"/>
      <c r="GG918" s="4"/>
      <c r="GH918" s="4">
        <v>82</v>
      </c>
      <c r="GI918" s="4">
        <v>278</v>
      </c>
      <c r="GJ918" s="4">
        <v>248</v>
      </c>
      <c r="GK918" s="4">
        <v>318</v>
      </c>
      <c r="GL918" s="4">
        <v>296</v>
      </c>
      <c r="GM918" s="4">
        <v>279</v>
      </c>
      <c r="GN918" s="4">
        <v>266</v>
      </c>
      <c r="GO918" s="4">
        <v>256</v>
      </c>
      <c r="GP918" s="4">
        <v>246</v>
      </c>
      <c r="GQ918" s="4">
        <v>238</v>
      </c>
      <c r="GR918" s="4">
        <v>230</v>
      </c>
      <c r="GS918" s="4">
        <v>222</v>
      </c>
      <c r="GT918" s="4">
        <v>214</v>
      </c>
      <c r="GU918" s="4">
        <v>209</v>
      </c>
      <c r="GV918" s="4">
        <v>204</v>
      </c>
      <c r="GW918" s="4">
        <v>199</v>
      </c>
      <c r="GX918" s="4">
        <v>194</v>
      </c>
      <c r="GY918" s="4">
        <v>189</v>
      </c>
      <c r="GZ918" s="4">
        <v>184</v>
      </c>
      <c r="HA918" s="4">
        <v>179</v>
      </c>
      <c r="HB918" s="4">
        <v>174</v>
      </c>
      <c r="HC918" s="19">
        <v>0.1</v>
      </c>
      <c r="HD918" s="20">
        <v>0</v>
      </c>
      <c r="HE918" s="20">
        <v>0</v>
      </c>
      <c r="HF918" s="20">
        <v>0</v>
      </c>
      <c r="HG918" s="20">
        <v>0</v>
      </c>
      <c r="HH918" s="19">
        <v>2.6</v>
      </c>
      <c r="HI918" s="19">
        <v>12.1</v>
      </c>
      <c r="HJ918" s="19">
        <v>13.8</v>
      </c>
      <c r="HK918" s="19">
        <v>19.9</v>
      </c>
      <c r="HL918" s="19">
        <v>24.7</v>
      </c>
      <c r="HM918" s="19">
        <v>27.9</v>
      </c>
      <c r="HN918" s="19">
        <v>29.6</v>
      </c>
      <c r="HO918" s="19">
        <v>32</v>
      </c>
      <c r="HP918" s="19">
        <v>30.8</v>
      </c>
      <c r="HQ918" s="19">
        <v>34</v>
      </c>
      <c r="HR918" s="19">
        <v>38.3</v>
      </c>
      <c r="HS918" s="19">
        <v>37</v>
      </c>
      <c r="HT918" s="19">
        <v>42.8</v>
      </c>
      <c r="HU918" s="19">
        <v>41.8</v>
      </c>
      <c r="HV918" s="19">
        <v>40.8</v>
      </c>
      <c r="HW918" s="19">
        <v>39.8</v>
      </c>
      <c r="HX918" s="19">
        <v>38.8</v>
      </c>
      <c r="HY918" s="19">
        <v>37.8</v>
      </c>
      <c r="HZ918" s="19">
        <v>46</v>
      </c>
      <c r="IA918" s="19">
        <v>44.8</v>
      </c>
      <c r="IB918" s="19">
        <v>43.5</v>
      </c>
    </row>
    <row r="919">
      <c r="A919" s="2" t="s">
        <v>4742</v>
      </c>
      <c r="B919" s="2" t="s">
        <v>279</v>
      </c>
      <c r="C919" s="2" t="s">
        <v>616</v>
      </c>
      <c r="D919" s="2" t="s">
        <v>281</v>
      </c>
      <c r="E919" s="2" t="s">
        <v>282</v>
      </c>
      <c r="F919" s="2" t="s">
        <v>4736</v>
      </c>
      <c r="G919" s="2" t="s">
        <v>4736</v>
      </c>
      <c r="H919" s="2" t="s">
        <v>4736</v>
      </c>
      <c r="I919" s="2" t="s">
        <v>4737</v>
      </c>
      <c r="J919" s="2" t="s">
        <v>285</v>
      </c>
      <c r="K919" s="2" t="s">
        <v>4743</v>
      </c>
      <c r="L919" s="3">
        <v>28.68</v>
      </c>
      <c r="M919" s="3">
        <v>30.11</v>
      </c>
      <c r="N919" s="3">
        <v>62.99</v>
      </c>
      <c r="O919" s="2" t="s">
        <v>230</v>
      </c>
      <c r="P919" s="2" t="s">
        <v>231</v>
      </c>
      <c r="Q919" s="2" t="s">
        <v>232</v>
      </c>
      <c r="R919" s="2" t="s">
        <v>233</v>
      </c>
      <c r="S919" s="2" t="s">
        <v>4744</v>
      </c>
      <c r="T919" s="2" t="s">
        <v>2310</v>
      </c>
      <c r="U919" s="2" t="s">
        <v>287</v>
      </c>
      <c r="V919" s="2" t="s">
        <v>236</v>
      </c>
      <c r="W919" s="2" t="s">
        <v>237</v>
      </c>
      <c r="X919" s="2" t="s">
        <v>620</v>
      </c>
      <c r="Y919" s="2" t="s">
        <v>4745</v>
      </c>
      <c r="Z919" s="4">
        <v>97</v>
      </c>
      <c r="AA919" s="4">
        <f>=ROUNDDOWN(24.25,0)</f>
      </c>
      <c r="AB919" s="5">
        <v>4</v>
      </c>
      <c r="AC919" s="2" t="s">
        <v>637</v>
      </c>
      <c r="AD919" s="4">
        <v>80</v>
      </c>
      <c r="AE919" s="4">
        <v>80</v>
      </c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233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/>
      <c r="AW919" s="8"/>
      <c r="AX919" s="4"/>
      <c r="AY919" s="8"/>
      <c r="AZ919" s="7"/>
      <c r="BA919" s="7"/>
      <c r="BB919" s="7"/>
      <c r="BC919" s="4" t="s">
        <v>233</v>
      </c>
      <c r="BD919" s="8" t="s">
        <v>233</v>
      </c>
      <c r="BE919" s="4" t="s">
        <v>233</v>
      </c>
      <c r="BF919" s="8" t="s">
        <v>233</v>
      </c>
      <c r="BG919" s="7" t="s">
        <v>233</v>
      </c>
      <c r="BH919" s="7" t="s">
        <v>233</v>
      </c>
      <c r="BI919" s="7"/>
      <c r="BJ919" s="4">
        <v>11</v>
      </c>
      <c r="BK919" s="8">
        <v>352.07</v>
      </c>
      <c r="BL919" s="2" t="s">
        <v>570</v>
      </c>
      <c r="BM919" s="7"/>
      <c r="BN919" s="7"/>
      <c r="BO919" s="4"/>
      <c r="BP919" s="8"/>
      <c r="BQ919" s="4"/>
      <c r="BR919" s="8"/>
      <c r="BS919" s="7"/>
      <c r="BT919" s="7"/>
      <c r="BU919" s="2" t="s">
        <v>4741</v>
      </c>
      <c r="BV919" s="2" t="s">
        <v>233</v>
      </c>
      <c r="BW919" s="2" t="s">
        <v>233</v>
      </c>
      <c r="BX919" s="2" t="s">
        <v>241</v>
      </c>
      <c r="BY919" s="2" t="s">
        <v>242</v>
      </c>
      <c r="BZ919" s="2" t="s">
        <v>230</v>
      </c>
      <c r="CA919" s="2" t="s">
        <v>4746</v>
      </c>
      <c r="CB919" s="2" t="s">
        <v>4747</v>
      </c>
      <c r="CC919" s="2" t="s">
        <v>245</v>
      </c>
      <c r="CD919" s="2" t="s">
        <v>233</v>
      </c>
      <c r="CE919" s="4">
        <v>97</v>
      </c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>
        <v>80</v>
      </c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>
        <v>98</v>
      </c>
      <c r="GD919" s="4">
        <v>69</v>
      </c>
      <c r="GE919" s="4">
        <v>60</v>
      </c>
      <c r="GF919" s="4">
        <v>47</v>
      </c>
      <c r="GG919" s="4">
        <v>21</v>
      </c>
      <c r="GH919" s="4">
        <v>88</v>
      </c>
      <c r="GI919" s="4">
        <v>76</v>
      </c>
      <c r="GJ919" s="4">
        <v>69</v>
      </c>
      <c r="GK919" s="4">
        <v>64</v>
      </c>
      <c r="GL919" s="4">
        <v>59</v>
      </c>
      <c r="GM919" s="4">
        <v>55</v>
      </c>
      <c r="GN919" s="4">
        <v>52</v>
      </c>
      <c r="GO919" s="4">
        <v>50</v>
      </c>
      <c r="GP919" s="4">
        <v>48</v>
      </c>
      <c r="GQ919" s="4">
        <v>46</v>
      </c>
      <c r="GR919" s="4">
        <v>44</v>
      </c>
      <c r="GS919" s="4">
        <v>42</v>
      </c>
      <c r="GT919" s="4">
        <v>40</v>
      </c>
      <c r="GU919" s="4">
        <v>38</v>
      </c>
      <c r="GV919" s="4">
        <v>36</v>
      </c>
      <c r="GW919" s="4">
        <v>34</v>
      </c>
      <c r="GX919" s="4">
        <v>32</v>
      </c>
      <c r="GY919" s="4">
        <v>30</v>
      </c>
      <c r="GZ919" s="4">
        <v>28</v>
      </c>
      <c r="HA919" s="4">
        <v>26</v>
      </c>
      <c r="HB919" s="4">
        <v>24</v>
      </c>
      <c r="HC919" s="19">
        <v>5.2</v>
      </c>
      <c r="HD919" s="19">
        <v>4.6</v>
      </c>
      <c r="HE919" s="19">
        <v>3.8</v>
      </c>
      <c r="HF919" s="19">
        <v>3.4</v>
      </c>
      <c r="HG919" s="19">
        <v>2.3</v>
      </c>
      <c r="HH919" s="19">
        <v>12.6</v>
      </c>
      <c r="HI919" s="19">
        <v>15.2</v>
      </c>
      <c r="HJ919" s="19">
        <v>17.3</v>
      </c>
      <c r="HK919" s="19">
        <v>16</v>
      </c>
      <c r="HL919" s="19">
        <v>19.7</v>
      </c>
      <c r="HM919" s="19">
        <v>27.5</v>
      </c>
      <c r="HN919" s="19">
        <v>26</v>
      </c>
      <c r="HO919" s="19">
        <v>25</v>
      </c>
      <c r="HP919" s="19">
        <v>24</v>
      </c>
      <c r="HQ919" s="19">
        <v>23</v>
      </c>
      <c r="HR919" s="19">
        <v>22</v>
      </c>
      <c r="HS919" s="19">
        <v>21</v>
      </c>
      <c r="HT919" s="19">
        <v>20</v>
      </c>
      <c r="HU919" s="19">
        <v>19</v>
      </c>
      <c r="HV919" s="19">
        <v>18</v>
      </c>
      <c r="HW919" s="19">
        <v>17</v>
      </c>
      <c r="HX919" s="19">
        <v>16</v>
      </c>
      <c r="HY919" s="19">
        <v>15</v>
      </c>
      <c r="HZ919" s="19">
        <v>14</v>
      </c>
      <c r="IA919" s="19">
        <v>13</v>
      </c>
      <c r="IB919" s="19">
        <v>24</v>
      </c>
    </row>
    <row r="920">
      <c r="A920" s="2" t="s">
        <v>4748</v>
      </c>
      <c r="B920" s="2" t="s">
        <v>279</v>
      </c>
      <c r="C920" s="2" t="s">
        <v>616</v>
      </c>
      <c r="D920" s="2" t="s">
        <v>281</v>
      </c>
      <c r="E920" s="2" t="s">
        <v>282</v>
      </c>
      <c r="F920" s="2" t="s">
        <v>4736</v>
      </c>
      <c r="G920" s="2" t="s">
        <v>4736</v>
      </c>
      <c r="H920" s="2" t="s">
        <v>4736</v>
      </c>
      <c r="I920" s="2" t="s">
        <v>4737</v>
      </c>
      <c r="J920" s="2" t="s">
        <v>336</v>
      </c>
      <c r="K920" s="2" t="s">
        <v>4749</v>
      </c>
      <c r="L920" s="3">
        <v>25.85</v>
      </c>
      <c r="M920" s="3">
        <v>27.14</v>
      </c>
      <c r="N920" s="3">
        <v>55.99</v>
      </c>
      <c r="O920" s="2" t="s">
        <v>230</v>
      </c>
      <c r="P920" s="2" t="s">
        <v>231</v>
      </c>
      <c r="Q920" s="2" t="s">
        <v>232</v>
      </c>
      <c r="R920" s="2" t="s">
        <v>233</v>
      </c>
      <c r="S920" s="2" t="s">
        <v>4750</v>
      </c>
      <c r="T920" s="2" t="s">
        <v>2310</v>
      </c>
      <c r="U920" s="2" t="s">
        <v>287</v>
      </c>
      <c r="V920" s="2" t="s">
        <v>361</v>
      </c>
      <c r="W920" s="2" t="s">
        <v>237</v>
      </c>
      <c r="X920" s="2" t="s">
        <v>620</v>
      </c>
      <c r="Y920" s="2" t="s">
        <v>2461</v>
      </c>
      <c r="Z920" s="4"/>
      <c r="AA920" s="4">
        <f>=ROUNDDOWN({0},0)</f>
      </c>
      <c r="AB920" s="5">
        <v>68</v>
      </c>
      <c r="AC920" s="2" t="s">
        <v>637</v>
      </c>
      <c r="AD920" s="4">
        <v>200</v>
      </c>
      <c r="AE920" s="4">
        <v>2046</v>
      </c>
      <c r="AF920" s="6">
        <v>74</v>
      </c>
      <c r="AG920" s="6"/>
      <c r="AH920" s="7">
        <v>0.1935</v>
      </c>
      <c r="AI920" s="4"/>
      <c r="AJ920" s="4">
        <f>=ROUNDDOWN({0},0)</f>
      </c>
      <c r="AK920" s="5"/>
      <c r="AL920" s="2" t="s">
        <v>233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/>
      <c r="AW920" s="8"/>
      <c r="AX920" s="4"/>
      <c r="AY920" s="8"/>
      <c r="AZ920" s="7"/>
      <c r="BA920" s="7"/>
      <c r="BB920" s="7"/>
      <c r="BC920" s="4" t="s">
        <v>233</v>
      </c>
      <c r="BD920" s="8" t="s">
        <v>233</v>
      </c>
      <c r="BE920" s="4" t="s">
        <v>233</v>
      </c>
      <c r="BF920" s="8" t="s">
        <v>233</v>
      </c>
      <c r="BG920" s="7" t="s">
        <v>233</v>
      </c>
      <c r="BH920" s="7" t="s">
        <v>233</v>
      </c>
      <c r="BI920" s="7"/>
      <c r="BJ920" s="4">
        <v>16</v>
      </c>
      <c r="BK920" s="8">
        <v>483.74</v>
      </c>
      <c r="BL920" s="2" t="s">
        <v>4751</v>
      </c>
      <c r="BM920" s="7"/>
      <c r="BN920" s="7"/>
      <c r="BO920" s="4"/>
      <c r="BP920" s="8"/>
      <c r="BQ920" s="4"/>
      <c r="BR920" s="8"/>
      <c r="BS920" s="7"/>
      <c r="BT920" s="7"/>
      <c r="BU920" s="2" t="s">
        <v>4741</v>
      </c>
      <c r="BV920" s="2" t="s">
        <v>233</v>
      </c>
      <c r="BW920" s="2" t="s">
        <v>233</v>
      </c>
      <c r="BX920" s="2" t="s">
        <v>241</v>
      </c>
      <c r="BY920" s="2" t="s">
        <v>242</v>
      </c>
      <c r="BZ920" s="2" t="s">
        <v>230</v>
      </c>
      <c r="CA920" s="2" t="s">
        <v>2672</v>
      </c>
      <c r="CB920" s="2" t="s">
        <v>1928</v>
      </c>
      <c r="CC920" s="2" t="s">
        <v>245</v>
      </c>
      <c r="CD920" s="2" t="s">
        <v>233</v>
      </c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>
        <v>200</v>
      </c>
      <c r="DT920" s="4"/>
      <c r="DU920" s="4"/>
      <c r="DV920" s="4"/>
      <c r="DW920" s="4">
        <v>1400</v>
      </c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>
        <v>446</v>
      </c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>
        <v>200</v>
      </c>
      <c r="GI920" s="4">
        <v>1400</v>
      </c>
      <c r="GJ920" s="4">
        <v>1269</v>
      </c>
      <c r="GK920" s="4">
        <v>1628</v>
      </c>
      <c r="GL920" s="4">
        <v>1541</v>
      </c>
      <c r="GM920" s="4">
        <v>1474</v>
      </c>
      <c r="GN920" s="4">
        <v>1421</v>
      </c>
      <c r="GO920" s="4">
        <v>1381</v>
      </c>
      <c r="GP920" s="4">
        <v>1341</v>
      </c>
      <c r="GQ920" s="4">
        <v>1301</v>
      </c>
      <c r="GR920" s="4">
        <v>1261</v>
      </c>
      <c r="GS920" s="4">
        <v>1221</v>
      </c>
      <c r="GT920" s="4">
        <v>1181</v>
      </c>
      <c r="GU920" s="4">
        <v>1154</v>
      </c>
      <c r="GV920" s="4">
        <v>1127</v>
      </c>
      <c r="GW920" s="4">
        <v>1100</v>
      </c>
      <c r="GX920" s="4">
        <v>1073</v>
      </c>
      <c r="GY920" s="4">
        <v>1046</v>
      </c>
      <c r="GZ920" s="4">
        <v>1019</v>
      </c>
      <c r="HA920" s="4">
        <v>992</v>
      </c>
      <c r="HB920" s="4">
        <v>965</v>
      </c>
      <c r="HC920" s="20">
        <v>0</v>
      </c>
      <c r="HD920" s="20">
        <v>0</v>
      </c>
      <c r="HE920" s="20">
        <v>0</v>
      </c>
      <c r="HF920" s="20">
        <v>0</v>
      </c>
      <c r="HG920" s="20">
        <v>0</v>
      </c>
      <c r="HH920" s="19">
        <v>1.6</v>
      </c>
      <c r="HI920" s="19">
        <v>15.1</v>
      </c>
      <c r="HJ920" s="19">
        <v>17.1</v>
      </c>
      <c r="HK920" s="19">
        <v>26.3</v>
      </c>
      <c r="HL920" s="19">
        <v>30.8</v>
      </c>
      <c r="HM920" s="19">
        <v>34.3</v>
      </c>
      <c r="HN920" s="19">
        <v>35.5</v>
      </c>
      <c r="HO920" s="19">
        <v>34.5</v>
      </c>
      <c r="HP920" s="19">
        <v>33.5</v>
      </c>
      <c r="HQ920" s="19">
        <v>35.2</v>
      </c>
      <c r="HR920" s="19">
        <v>37.1</v>
      </c>
      <c r="HS920" s="19">
        <v>40.7</v>
      </c>
      <c r="HT920" s="19">
        <v>43.7</v>
      </c>
      <c r="HU920" s="19">
        <v>42.7</v>
      </c>
      <c r="HV920" s="19">
        <v>41.7</v>
      </c>
      <c r="HW920" s="19">
        <v>40.7</v>
      </c>
      <c r="HX920" s="19">
        <v>39.7</v>
      </c>
      <c r="HY920" s="19">
        <v>38.7</v>
      </c>
      <c r="HZ920" s="19">
        <v>42.5</v>
      </c>
      <c r="IA920" s="19">
        <v>49.6</v>
      </c>
      <c r="IB920" s="19">
        <v>56.8</v>
      </c>
    </row>
    <row r="921">
      <c r="A921" s="2" t="s">
        <v>4752</v>
      </c>
      <c r="B921" s="2" t="s">
        <v>811</v>
      </c>
      <c r="C921" s="2" t="s">
        <v>762</v>
      </c>
      <c r="D921" s="2" t="s">
        <v>1070</v>
      </c>
      <c r="E921" s="2" t="s">
        <v>1071</v>
      </c>
      <c r="F921" s="2" t="s">
        <v>4753</v>
      </c>
      <c r="G921" s="2" t="s">
        <v>4753</v>
      </c>
      <c r="H921" s="2" t="s">
        <v>4753</v>
      </c>
      <c r="I921" s="2" t="s">
        <v>4754</v>
      </c>
      <c r="J921" s="2" t="s">
        <v>741</v>
      </c>
      <c r="K921" s="2" t="s">
        <v>629</v>
      </c>
      <c r="L921" s="3">
        <v>89.35</v>
      </c>
      <c r="M921" s="3">
        <v>93.82</v>
      </c>
      <c r="N921" s="3">
        <v>199.99</v>
      </c>
      <c r="O921" s="2" t="s">
        <v>230</v>
      </c>
      <c r="P921" s="2" t="s">
        <v>721</v>
      </c>
      <c r="Q921" s="2" t="s">
        <v>232</v>
      </c>
      <c r="R921" s="2" t="s">
        <v>233</v>
      </c>
      <c r="S921" s="2" t="s">
        <v>4755</v>
      </c>
      <c r="T921" s="2" t="s">
        <v>233</v>
      </c>
      <c r="U921" s="2" t="s">
        <v>233</v>
      </c>
      <c r="V921" s="2" t="s">
        <v>236</v>
      </c>
      <c r="W921" s="2" t="s">
        <v>620</v>
      </c>
      <c r="X921" s="2" t="s">
        <v>233</v>
      </c>
      <c r="Y921" s="2" t="s">
        <v>238</v>
      </c>
      <c r="Z921" s="4">
        <v>133</v>
      </c>
      <c r="AA921" s="4">
        <f>=ROUNDDOWN(53.2,0)</f>
      </c>
      <c r="AB921" s="5">
        <v>2.5</v>
      </c>
      <c r="AC921" s="2" t="s">
        <v>233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233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/>
      <c r="AW921" s="8"/>
      <c r="AX921" s="4"/>
      <c r="AY921" s="8"/>
      <c r="AZ921" s="7"/>
      <c r="BA921" s="7"/>
      <c r="BB921" s="7"/>
      <c r="BC921" s="4"/>
      <c r="BD921" s="8"/>
      <c r="BE921" s="4"/>
      <c r="BF921" s="8"/>
      <c r="BG921" s="7"/>
      <c r="BH921" s="7"/>
      <c r="BI921" s="7"/>
      <c r="BJ921" s="4">
        <v>6</v>
      </c>
      <c r="BK921" s="8">
        <v>618.08</v>
      </c>
      <c r="BL921" s="2" t="s">
        <v>4756</v>
      </c>
      <c r="BM921" s="7"/>
      <c r="BN921" s="7"/>
      <c r="BO921" s="4"/>
      <c r="BP921" s="8"/>
      <c r="BQ921" s="4"/>
      <c r="BR921" s="8"/>
      <c r="BS921" s="7"/>
      <c r="BT921" s="7"/>
      <c r="BU921" s="2" t="s">
        <v>4757</v>
      </c>
      <c r="BV921" s="2" t="s">
        <v>233</v>
      </c>
      <c r="BW921" s="2" t="s">
        <v>233</v>
      </c>
      <c r="BX921" s="2" t="s">
        <v>241</v>
      </c>
      <c r="BY921" s="2" t="s">
        <v>242</v>
      </c>
      <c r="BZ921" s="2" t="s">
        <v>230</v>
      </c>
      <c r="CA921" s="2" t="s">
        <v>243</v>
      </c>
      <c r="CB921" s="2" t="s">
        <v>4758</v>
      </c>
      <c r="CC921" s="2" t="s">
        <v>245</v>
      </c>
      <c r="CD921" s="2" t="s">
        <v>233</v>
      </c>
      <c r="CE921" s="4"/>
      <c r="CF921" s="4">
        <v>133</v>
      </c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>
        <v>134</v>
      </c>
      <c r="GD921" s="4">
        <v>131</v>
      </c>
      <c r="GE921" s="4">
        <v>127</v>
      </c>
      <c r="GF921" s="4">
        <v>124</v>
      </c>
      <c r="GG921" s="4">
        <v>120</v>
      </c>
      <c r="GH921" s="4">
        <v>117</v>
      </c>
      <c r="GI921" s="4">
        <v>114</v>
      </c>
      <c r="GJ921" s="4">
        <v>111</v>
      </c>
      <c r="GK921" s="4">
        <v>108</v>
      </c>
      <c r="GL921" s="4">
        <v>105</v>
      </c>
      <c r="GM921" s="4">
        <v>102</v>
      </c>
      <c r="GN921" s="4">
        <v>99</v>
      </c>
      <c r="GO921" s="4">
        <v>96</v>
      </c>
      <c r="GP921" s="4">
        <v>93</v>
      </c>
      <c r="GQ921" s="4">
        <v>90</v>
      </c>
      <c r="GR921" s="4">
        <v>87</v>
      </c>
      <c r="GS921" s="4">
        <v>84</v>
      </c>
      <c r="GT921" s="4">
        <v>80</v>
      </c>
      <c r="GU921" s="4">
        <v>77</v>
      </c>
      <c r="GV921" s="4">
        <v>74</v>
      </c>
      <c r="GW921" s="4">
        <v>71</v>
      </c>
      <c r="GX921" s="4">
        <v>68</v>
      </c>
      <c r="GY921" s="4">
        <v>65</v>
      </c>
      <c r="GZ921" s="4">
        <v>62</v>
      </c>
      <c r="HA921" s="4">
        <v>59</v>
      </c>
      <c r="HB921" s="4">
        <v>56</v>
      </c>
      <c r="HC921" s="19">
        <v>33.5</v>
      </c>
      <c r="HD921" s="19">
        <v>32.8</v>
      </c>
      <c r="HE921" s="19">
        <v>42.3</v>
      </c>
      <c r="HF921" s="19">
        <v>41.3</v>
      </c>
      <c r="HG921" s="19">
        <v>40</v>
      </c>
      <c r="HH921" s="19">
        <v>39</v>
      </c>
      <c r="HI921" s="19">
        <v>38</v>
      </c>
      <c r="HJ921" s="19">
        <v>37</v>
      </c>
      <c r="HK921" s="19">
        <v>36</v>
      </c>
      <c r="HL921" s="19">
        <v>35</v>
      </c>
      <c r="HM921" s="19">
        <v>34</v>
      </c>
      <c r="HN921" s="19">
        <v>33</v>
      </c>
      <c r="HO921" s="19">
        <v>32</v>
      </c>
      <c r="HP921" s="19">
        <v>31</v>
      </c>
      <c r="HQ921" s="19">
        <v>30</v>
      </c>
      <c r="HR921" s="19">
        <v>29</v>
      </c>
      <c r="HS921" s="19">
        <v>28</v>
      </c>
      <c r="HT921" s="19">
        <v>26.7</v>
      </c>
      <c r="HU921" s="19">
        <v>25.7</v>
      </c>
      <c r="HV921" s="19">
        <v>24.7</v>
      </c>
      <c r="HW921" s="19">
        <v>23.7</v>
      </c>
      <c r="HX921" s="19">
        <v>22.7</v>
      </c>
      <c r="HY921" s="19">
        <v>21.7</v>
      </c>
      <c r="HZ921" s="19">
        <v>20.7</v>
      </c>
      <c r="IA921" s="19">
        <v>19.7</v>
      </c>
      <c r="IB921" s="19">
        <v>18.7</v>
      </c>
    </row>
    <row r="922">
      <c r="A922" s="2" t="s">
        <v>4759</v>
      </c>
      <c r="B922" s="2" t="s">
        <v>872</v>
      </c>
      <c r="C922" s="2" t="s">
        <v>280</v>
      </c>
      <c r="D922" s="2" t="s">
        <v>261</v>
      </c>
      <c r="E922" s="2" t="s">
        <v>603</v>
      </c>
      <c r="F922" s="2" t="s">
        <v>4760</v>
      </c>
      <c r="G922" s="2" t="s">
        <v>4761</v>
      </c>
      <c r="H922" s="2" t="s">
        <v>4762</v>
      </c>
      <c r="I922" s="2" t="s">
        <v>1479</v>
      </c>
      <c r="J922" s="2" t="s">
        <v>285</v>
      </c>
      <c r="K922" s="2" t="s">
        <v>1525</v>
      </c>
      <c r="L922" s="3">
        <v>81.21</v>
      </c>
      <c r="M922" s="3">
        <v>85.27</v>
      </c>
      <c r="N922" s="3">
        <v>169.99</v>
      </c>
      <c r="O922" s="2" t="s">
        <v>230</v>
      </c>
      <c r="P922" s="2" t="s">
        <v>597</v>
      </c>
      <c r="Q922" s="2" t="s">
        <v>232</v>
      </c>
      <c r="R922" s="2" t="s">
        <v>233</v>
      </c>
      <c r="S922" s="2" t="s">
        <v>4763</v>
      </c>
      <c r="T922" s="2" t="s">
        <v>233</v>
      </c>
      <c r="U922" s="2" t="s">
        <v>635</v>
      </c>
      <c r="V922" s="2" t="s">
        <v>945</v>
      </c>
      <c r="W922" s="2" t="s">
        <v>712</v>
      </c>
      <c r="X922" s="2" t="s">
        <v>2033</v>
      </c>
      <c r="Y922" s="2" t="s">
        <v>4764</v>
      </c>
      <c r="Z922" s="4">
        <v>220</v>
      </c>
      <c r="AA922" s="4">
        <f>=ROUNDDOWN(18.3333333333333,0)</f>
      </c>
      <c r="AB922" s="5">
        <v>12</v>
      </c>
      <c r="AC922" s="2" t="s">
        <v>140</v>
      </c>
      <c r="AD922" s="4">
        <v>170</v>
      </c>
      <c r="AE922" s="4">
        <v>380</v>
      </c>
      <c r="AF922" s="6">
        <v>65</v>
      </c>
      <c r="AG922" s="6">
        <v>48</v>
      </c>
      <c r="AH922" s="7">
        <v>1</v>
      </c>
      <c r="AI922" s="4"/>
      <c r="AJ922" s="4">
        <f>=ROUNDDOWN({0},0)</f>
      </c>
      <c r="AK922" s="5"/>
      <c r="AL922" s="2" t="s">
        <v>233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/>
      <c r="AW922" s="8"/>
      <c r="AX922" s="4"/>
      <c r="AY922" s="8"/>
      <c r="AZ922" s="7"/>
      <c r="BA922" s="7"/>
      <c r="BB922" s="7"/>
      <c r="BC922" s="4" t="s">
        <v>233</v>
      </c>
      <c r="BD922" s="8" t="s">
        <v>233</v>
      </c>
      <c r="BE922" s="4" t="s">
        <v>233</v>
      </c>
      <c r="BF922" s="8" t="s">
        <v>233</v>
      </c>
      <c r="BG922" s="7" t="s">
        <v>233</v>
      </c>
      <c r="BH922" s="7" t="s">
        <v>233</v>
      </c>
      <c r="BI922" s="7"/>
      <c r="BJ922" s="4">
        <v>70</v>
      </c>
      <c r="BK922" s="8">
        <v>5858.11</v>
      </c>
      <c r="BL922" s="2" t="s">
        <v>4765</v>
      </c>
      <c r="BM922" s="7"/>
      <c r="BN922" s="7"/>
      <c r="BO922" s="4"/>
      <c r="BP922" s="8"/>
      <c r="BQ922" s="4"/>
      <c r="BR922" s="8"/>
      <c r="BS922" s="7"/>
      <c r="BT922" s="7"/>
      <c r="BU922" s="2" t="s">
        <v>4766</v>
      </c>
      <c r="BV922" s="2" t="s">
        <v>233</v>
      </c>
      <c r="BW922" s="2" t="s">
        <v>233</v>
      </c>
      <c r="BX922" s="2" t="s">
        <v>293</v>
      </c>
      <c r="BY922" s="2" t="s">
        <v>242</v>
      </c>
      <c r="BZ922" s="2" t="s">
        <v>230</v>
      </c>
      <c r="CA922" s="2" t="s">
        <v>4767</v>
      </c>
      <c r="CB922" s="2" t="s">
        <v>4768</v>
      </c>
      <c r="CC922" s="2" t="s">
        <v>245</v>
      </c>
      <c r="CD922" s="2" t="s">
        <v>233</v>
      </c>
      <c r="CE922" s="4">
        <v>197</v>
      </c>
      <c r="CF922" s="4"/>
      <c r="CG922" s="4"/>
      <c r="CH922" s="4">
        <v>23</v>
      </c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>
        <v>170</v>
      </c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>
        <v>150</v>
      </c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>
        <v>60</v>
      </c>
      <c r="GB922" s="4"/>
      <c r="GC922" s="4">
        <v>226</v>
      </c>
      <c r="GD922" s="4">
        <v>203</v>
      </c>
      <c r="GE922" s="4">
        <v>357</v>
      </c>
      <c r="GF922" s="4">
        <v>342</v>
      </c>
      <c r="GG922" s="4">
        <v>322</v>
      </c>
      <c r="GH922" s="4">
        <v>458</v>
      </c>
      <c r="GI922" s="4">
        <v>444</v>
      </c>
      <c r="GJ922" s="4">
        <v>432</v>
      </c>
      <c r="GK922" s="4">
        <v>422</v>
      </c>
      <c r="GL922" s="4">
        <v>410</v>
      </c>
      <c r="GM922" s="4">
        <v>397</v>
      </c>
      <c r="GN922" s="4">
        <v>385</v>
      </c>
      <c r="GO922" s="4">
        <v>373</v>
      </c>
      <c r="GP922" s="4">
        <v>361</v>
      </c>
      <c r="GQ922" s="4">
        <v>349</v>
      </c>
      <c r="GR922" s="4">
        <v>337</v>
      </c>
      <c r="GS922" s="4">
        <v>325</v>
      </c>
      <c r="GT922" s="4">
        <v>313</v>
      </c>
      <c r="GU922" s="4">
        <v>301</v>
      </c>
      <c r="GV922" s="4">
        <v>289</v>
      </c>
      <c r="GW922" s="4">
        <v>337</v>
      </c>
      <c r="GX922" s="4">
        <v>325</v>
      </c>
      <c r="GY922" s="4">
        <v>313</v>
      </c>
      <c r="GZ922" s="4">
        <v>301</v>
      </c>
      <c r="HA922" s="4">
        <v>288</v>
      </c>
      <c r="HB922" s="4">
        <v>276</v>
      </c>
      <c r="HC922" s="19">
        <v>10.1</v>
      </c>
      <c r="HD922" s="19">
        <v>10.7</v>
      </c>
      <c r="HE922" s="19">
        <v>23.9</v>
      </c>
      <c r="HF922" s="19">
        <v>22.9</v>
      </c>
      <c r="HG922" s="19">
        <v>30.5</v>
      </c>
      <c r="HH922" s="19">
        <v>38.7</v>
      </c>
      <c r="HI922" s="19">
        <v>37.5</v>
      </c>
      <c r="HJ922" s="19">
        <v>36.5</v>
      </c>
      <c r="HK922" s="19">
        <v>35.7</v>
      </c>
      <c r="HL922" s="19">
        <v>34.7</v>
      </c>
      <c r="HM922" s="19">
        <v>33.6</v>
      </c>
      <c r="HN922" s="19">
        <v>32.6</v>
      </c>
      <c r="HO922" s="19">
        <v>31.6</v>
      </c>
      <c r="HP922" s="19">
        <v>30.6</v>
      </c>
      <c r="HQ922" s="19">
        <v>29.6</v>
      </c>
      <c r="HR922" s="19">
        <v>28.6</v>
      </c>
      <c r="HS922" s="19">
        <v>27.6</v>
      </c>
      <c r="HT922" s="19">
        <v>26.6</v>
      </c>
      <c r="HU922" s="19">
        <v>25.6</v>
      </c>
      <c r="HV922" s="19">
        <v>24.6</v>
      </c>
      <c r="HW922" s="19">
        <v>27.3</v>
      </c>
      <c r="HX922" s="19">
        <v>26.3</v>
      </c>
      <c r="HY922" s="19">
        <v>25.3</v>
      </c>
      <c r="HZ922" s="19">
        <v>24.3</v>
      </c>
      <c r="IA922" s="19">
        <v>23.2</v>
      </c>
      <c r="IB922" s="19">
        <v>22.2</v>
      </c>
    </row>
    <row r="923">
      <c r="A923" s="2" t="s">
        <v>4769</v>
      </c>
      <c r="B923" s="2" t="s">
        <v>872</v>
      </c>
      <c r="C923" s="2" t="s">
        <v>280</v>
      </c>
      <c r="D923" s="2" t="s">
        <v>261</v>
      </c>
      <c r="E923" s="2" t="s">
        <v>603</v>
      </c>
      <c r="F923" s="2" t="s">
        <v>4760</v>
      </c>
      <c r="G923" s="2" t="s">
        <v>4761</v>
      </c>
      <c r="H923" s="2" t="s">
        <v>4762</v>
      </c>
      <c r="I923" s="2" t="s">
        <v>1479</v>
      </c>
      <c r="J923" s="2" t="s">
        <v>336</v>
      </c>
      <c r="K923" s="2" t="s">
        <v>943</v>
      </c>
      <c r="L923" s="3">
        <v>69.55</v>
      </c>
      <c r="M923" s="3">
        <v>73.03</v>
      </c>
      <c r="N923" s="3">
        <v>149.99</v>
      </c>
      <c r="O923" s="2" t="s">
        <v>230</v>
      </c>
      <c r="P923" s="2" t="s">
        <v>231</v>
      </c>
      <c r="Q923" s="2" t="s">
        <v>232</v>
      </c>
      <c r="R923" s="2" t="s">
        <v>233</v>
      </c>
      <c r="S923" s="2" t="s">
        <v>4770</v>
      </c>
      <c r="T923" s="2" t="s">
        <v>233</v>
      </c>
      <c r="U923" s="2" t="s">
        <v>635</v>
      </c>
      <c r="V923" s="2" t="s">
        <v>945</v>
      </c>
      <c r="W923" s="2" t="s">
        <v>712</v>
      </c>
      <c r="X923" s="2" t="s">
        <v>2033</v>
      </c>
      <c r="Y923" s="2" t="s">
        <v>238</v>
      </c>
      <c r="Z923" s="4">
        <v>437</v>
      </c>
      <c r="AA923" s="4">
        <f>=ROUNDDOWN(29.1333333333333,0)</f>
      </c>
      <c r="AB923" s="5">
        <v>15</v>
      </c>
      <c r="AC923" s="2" t="s">
        <v>154</v>
      </c>
      <c r="AD923" s="4">
        <v>170</v>
      </c>
      <c r="AE923" s="4">
        <v>550</v>
      </c>
      <c r="AF923" s="6">
        <v>65</v>
      </c>
      <c r="AG923" s="6">
        <v>48</v>
      </c>
      <c r="AH923" s="7">
        <v>1</v>
      </c>
      <c r="AI923" s="4"/>
      <c r="AJ923" s="4">
        <f>=ROUNDDOWN({0},0)</f>
      </c>
      <c r="AK923" s="5"/>
      <c r="AL923" s="2" t="s">
        <v>233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/>
      <c r="AW923" s="8"/>
      <c r="AX923" s="4"/>
      <c r="AY923" s="8"/>
      <c r="AZ923" s="7"/>
      <c r="BA923" s="7"/>
      <c r="BB923" s="7"/>
      <c r="BC923" s="4" t="s">
        <v>233</v>
      </c>
      <c r="BD923" s="8" t="s">
        <v>233</v>
      </c>
      <c r="BE923" s="4" t="s">
        <v>233</v>
      </c>
      <c r="BF923" s="8" t="s">
        <v>233</v>
      </c>
      <c r="BG923" s="7" t="s">
        <v>233</v>
      </c>
      <c r="BH923" s="7" t="s">
        <v>233</v>
      </c>
      <c r="BI923" s="7"/>
      <c r="BJ923" s="4">
        <v>71</v>
      </c>
      <c r="BK923" s="8">
        <v>4990.55</v>
      </c>
      <c r="BL923" s="2" t="s">
        <v>4771</v>
      </c>
      <c r="BM923" s="7"/>
      <c r="BN923" s="7"/>
      <c r="BO923" s="4"/>
      <c r="BP923" s="8"/>
      <c r="BQ923" s="4"/>
      <c r="BR923" s="8"/>
      <c r="BS923" s="7"/>
      <c r="BT923" s="7"/>
      <c r="BU923" s="2" t="s">
        <v>4766</v>
      </c>
      <c r="BV923" s="2" t="s">
        <v>233</v>
      </c>
      <c r="BW923" s="2" t="s">
        <v>233</v>
      </c>
      <c r="BX923" s="2" t="s">
        <v>293</v>
      </c>
      <c r="BY923" s="2" t="s">
        <v>242</v>
      </c>
      <c r="BZ923" s="2" t="s">
        <v>230</v>
      </c>
      <c r="CA923" s="2" t="s">
        <v>243</v>
      </c>
      <c r="CB923" s="2" t="s">
        <v>1057</v>
      </c>
      <c r="CC923" s="2" t="s">
        <v>245</v>
      </c>
      <c r="CD923" s="2" t="s">
        <v>233</v>
      </c>
      <c r="CE923" s="4">
        <v>372</v>
      </c>
      <c r="CF923" s="4"/>
      <c r="CG923" s="4"/>
      <c r="CH923" s="4">
        <v>65</v>
      </c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>
        <v>170</v>
      </c>
      <c r="DQ923" s="4"/>
      <c r="DR923" s="4"/>
      <c r="DS923" s="4"/>
      <c r="DT923" s="4"/>
      <c r="DU923" s="4"/>
      <c r="DV923" s="4">
        <v>80</v>
      </c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>
        <v>300</v>
      </c>
      <c r="GB923" s="4"/>
      <c r="GC923" s="4">
        <v>441</v>
      </c>
      <c r="GD923" s="4">
        <v>380</v>
      </c>
      <c r="GE923" s="4">
        <v>359</v>
      </c>
      <c r="GF923" s="4">
        <v>337</v>
      </c>
      <c r="GG923" s="4">
        <v>301</v>
      </c>
      <c r="GH923" s="4">
        <v>529</v>
      </c>
      <c r="GI923" s="4">
        <v>509</v>
      </c>
      <c r="GJ923" s="4">
        <v>495</v>
      </c>
      <c r="GK923" s="4">
        <v>483</v>
      </c>
      <c r="GL923" s="4">
        <v>467</v>
      </c>
      <c r="GM923" s="4">
        <v>451</v>
      </c>
      <c r="GN923" s="4">
        <v>436</v>
      </c>
      <c r="GO923" s="4">
        <v>421</v>
      </c>
      <c r="GP923" s="4">
        <v>406</v>
      </c>
      <c r="GQ923" s="4">
        <v>391</v>
      </c>
      <c r="GR923" s="4">
        <v>376</v>
      </c>
      <c r="GS923" s="4">
        <v>361</v>
      </c>
      <c r="GT923" s="4">
        <v>345</v>
      </c>
      <c r="GU923" s="4">
        <v>330</v>
      </c>
      <c r="GV923" s="4">
        <v>315</v>
      </c>
      <c r="GW923" s="4">
        <v>600</v>
      </c>
      <c r="GX923" s="4">
        <v>585</v>
      </c>
      <c r="GY923" s="4">
        <v>570</v>
      </c>
      <c r="GZ923" s="4">
        <v>555</v>
      </c>
      <c r="HA923" s="4">
        <v>539</v>
      </c>
      <c r="HB923" s="4">
        <v>524</v>
      </c>
      <c r="HC923" s="19">
        <v>12.1</v>
      </c>
      <c r="HD923" s="19">
        <v>12.8</v>
      </c>
      <c r="HE923" s="19">
        <v>12.1</v>
      </c>
      <c r="HF923" s="19">
        <v>12.8</v>
      </c>
      <c r="HG923" s="19">
        <v>14.3</v>
      </c>
      <c r="HH923" s="19">
        <v>47.6</v>
      </c>
      <c r="HI923" s="19">
        <v>46.3</v>
      </c>
      <c r="HJ923" s="19">
        <v>45.3</v>
      </c>
      <c r="HK923" s="19">
        <v>44.5</v>
      </c>
      <c r="HL923" s="19">
        <v>43.5</v>
      </c>
      <c r="HM923" s="19">
        <v>42.4</v>
      </c>
      <c r="HN923" s="19">
        <v>41.4</v>
      </c>
      <c r="HO923" s="19">
        <v>40.4</v>
      </c>
      <c r="HP923" s="19">
        <v>39.4</v>
      </c>
      <c r="HQ923" s="19">
        <v>38.4</v>
      </c>
      <c r="HR923" s="19">
        <v>37.4</v>
      </c>
      <c r="HS923" s="19">
        <v>36.4</v>
      </c>
      <c r="HT923" s="19">
        <v>35.4</v>
      </c>
      <c r="HU923" s="19">
        <v>34.4</v>
      </c>
      <c r="HV923" s="19">
        <v>33.4</v>
      </c>
      <c r="HW923" s="19">
        <v>44.9</v>
      </c>
      <c r="HX923" s="19">
        <v>43.9</v>
      </c>
      <c r="HY923" s="19">
        <v>42.9</v>
      </c>
      <c r="HZ923" s="19">
        <v>41.9</v>
      </c>
      <c r="IA923" s="19">
        <v>40.9</v>
      </c>
      <c r="IB923" s="19">
        <v>39.9</v>
      </c>
    </row>
    <row r="924">
      <c r="A924" s="2" t="s">
        <v>4772</v>
      </c>
      <c r="B924" s="2" t="s">
        <v>736</v>
      </c>
      <c r="C924" s="2" t="s">
        <v>280</v>
      </c>
      <c r="D924" s="2" t="s">
        <v>1185</v>
      </c>
      <c r="E924" s="2" t="s">
        <v>2612</v>
      </c>
      <c r="F924" s="2" t="s">
        <v>4773</v>
      </c>
      <c r="G924" s="2" t="s">
        <v>4773</v>
      </c>
      <c r="H924" s="2" t="s">
        <v>4773</v>
      </c>
      <c r="I924" s="2" t="s">
        <v>4774</v>
      </c>
      <c r="J924" s="2" t="s">
        <v>741</v>
      </c>
      <c r="K924" s="2" t="s">
        <v>955</v>
      </c>
      <c r="L924" s="3">
        <v>30.6</v>
      </c>
      <c r="M924" s="3">
        <v>32.13</v>
      </c>
      <c r="N924" s="3">
        <v>65.44</v>
      </c>
      <c r="O924" s="2" t="s">
        <v>230</v>
      </c>
      <c r="P924" s="2" t="s">
        <v>231</v>
      </c>
      <c r="Q924" s="2" t="s">
        <v>232</v>
      </c>
      <c r="R924" s="2" t="s">
        <v>233</v>
      </c>
      <c r="S924" s="2" t="s">
        <v>233</v>
      </c>
      <c r="T924" s="2" t="s">
        <v>233</v>
      </c>
      <c r="U924" s="2" t="s">
        <v>329</v>
      </c>
      <c r="V924" s="2" t="s">
        <v>361</v>
      </c>
      <c r="W924" s="2" t="s">
        <v>712</v>
      </c>
      <c r="X924" s="2" t="s">
        <v>233</v>
      </c>
      <c r="Y924" s="2" t="s">
        <v>4775</v>
      </c>
      <c r="Z924" s="4">
        <v>112</v>
      </c>
      <c r="AA924" s="4">
        <f>=ROUNDDOWN(22.4,0)</f>
      </c>
      <c r="AB924" s="5">
        <v>5</v>
      </c>
      <c r="AC924" s="2" t="s">
        <v>233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233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/>
      <c r="AW924" s="8"/>
      <c r="AX924" s="4"/>
      <c r="AY924" s="8"/>
      <c r="AZ924" s="7"/>
      <c r="BA924" s="7"/>
      <c r="BB924" s="7"/>
      <c r="BC924" s="4"/>
      <c r="BD924" s="8"/>
      <c r="BE924" s="4"/>
      <c r="BF924" s="8"/>
      <c r="BG924" s="7"/>
      <c r="BH924" s="7"/>
      <c r="BI924" s="7"/>
      <c r="BJ924" s="4">
        <v>23</v>
      </c>
      <c r="BK924" s="8">
        <v>923.66</v>
      </c>
      <c r="BL924" s="2" t="s">
        <v>4776</v>
      </c>
      <c r="BM924" s="7"/>
      <c r="BN924" s="7"/>
      <c r="BO924" s="4"/>
      <c r="BP924" s="8"/>
      <c r="BQ924" s="4"/>
      <c r="BR924" s="8"/>
      <c r="BS924" s="7"/>
      <c r="BT924" s="7"/>
      <c r="BU924" s="2" t="s">
        <v>4777</v>
      </c>
      <c r="BV924" s="2" t="s">
        <v>233</v>
      </c>
      <c r="BW924" s="2" t="s">
        <v>233</v>
      </c>
      <c r="BX924" s="2" t="s">
        <v>241</v>
      </c>
      <c r="BY924" s="2" t="s">
        <v>242</v>
      </c>
      <c r="BZ924" s="2" t="s">
        <v>230</v>
      </c>
      <c r="CA924" s="2" t="s">
        <v>2621</v>
      </c>
      <c r="CB924" s="2" t="s">
        <v>3937</v>
      </c>
      <c r="CC924" s="2" t="s">
        <v>245</v>
      </c>
      <c r="CD924" s="2" t="s">
        <v>233</v>
      </c>
      <c r="CE924" s="4"/>
      <c r="CF924" s="4">
        <v>112</v>
      </c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>
        <v>113</v>
      </c>
      <c r="GD924" s="4">
        <v>106</v>
      </c>
      <c r="GE924" s="4">
        <v>99</v>
      </c>
      <c r="GF924" s="4">
        <v>92</v>
      </c>
      <c r="GG924" s="4">
        <v>84</v>
      </c>
      <c r="GH924" s="4">
        <v>77</v>
      </c>
      <c r="GI924" s="4">
        <v>69</v>
      </c>
      <c r="GJ924" s="4">
        <v>64</v>
      </c>
      <c r="GK924" s="4">
        <v>59</v>
      </c>
      <c r="GL924" s="4">
        <v>54</v>
      </c>
      <c r="GM924" s="4">
        <v>49</v>
      </c>
      <c r="GN924" s="4">
        <v>44</v>
      </c>
      <c r="GO924" s="4">
        <v>39</v>
      </c>
      <c r="GP924" s="4">
        <v>34</v>
      </c>
      <c r="GQ924" s="4">
        <v>29</v>
      </c>
      <c r="GR924" s="4">
        <v>24</v>
      </c>
      <c r="GS924" s="4">
        <v>19</v>
      </c>
      <c r="GT924" s="4">
        <v>13</v>
      </c>
      <c r="GU924" s="4">
        <v>8</v>
      </c>
      <c r="GV924" s="4">
        <v>107</v>
      </c>
      <c r="GW924" s="4">
        <v>102</v>
      </c>
      <c r="GX924" s="4">
        <v>97</v>
      </c>
      <c r="GY924" s="4">
        <v>92</v>
      </c>
      <c r="GZ924" s="4">
        <v>87</v>
      </c>
      <c r="HA924" s="4">
        <v>82</v>
      </c>
      <c r="HB924" s="4">
        <v>77</v>
      </c>
      <c r="HC924" s="19">
        <v>16.1</v>
      </c>
      <c r="HD924" s="19">
        <v>15.1</v>
      </c>
      <c r="HE924" s="19">
        <v>12.4</v>
      </c>
      <c r="HF924" s="19">
        <v>13.1</v>
      </c>
      <c r="HG924" s="19">
        <v>14</v>
      </c>
      <c r="HH924" s="19">
        <v>12.8</v>
      </c>
      <c r="HI924" s="19">
        <v>13.8</v>
      </c>
      <c r="HJ924" s="19">
        <v>12.8</v>
      </c>
      <c r="HK924" s="19">
        <v>11.8</v>
      </c>
      <c r="HL924" s="19">
        <v>10.8</v>
      </c>
      <c r="HM924" s="19">
        <v>9.8</v>
      </c>
      <c r="HN924" s="19">
        <v>8.8</v>
      </c>
      <c r="HO924" s="19">
        <v>7.8</v>
      </c>
      <c r="HP924" s="19">
        <v>6.8</v>
      </c>
      <c r="HQ924" s="19">
        <v>5.8</v>
      </c>
      <c r="HR924" s="19">
        <v>4.8</v>
      </c>
      <c r="HS924" s="19">
        <v>3.8</v>
      </c>
      <c r="HT924" s="19">
        <v>2.6</v>
      </c>
      <c r="HU924" s="19">
        <v>1.6</v>
      </c>
      <c r="HV924" s="19">
        <v>21.4</v>
      </c>
      <c r="HW924" s="19">
        <v>20.4</v>
      </c>
      <c r="HX924" s="19">
        <v>19.4</v>
      </c>
      <c r="HY924" s="19">
        <v>18.4</v>
      </c>
      <c r="HZ924" s="19">
        <v>17.4</v>
      </c>
      <c r="IA924" s="19">
        <v>16.4</v>
      </c>
      <c r="IB924" s="19">
        <v>15.4</v>
      </c>
    </row>
    <row r="925">
      <c r="A925" s="2" t="s">
        <v>4778</v>
      </c>
      <c r="B925" s="2" t="s">
        <v>773</v>
      </c>
      <c r="C925" s="2" t="s">
        <v>343</v>
      </c>
      <c r="D925" s="2" t="s">
        <v>261</v>
      </c>
      <c r="E925" s="2" t="s">
        <v>895</v>
      </c>
      <c r="F925" s="2" t="s">
        <v>4779</v>
      </c>
      <c r="G925" s="2" t="s">
        <v>4780</v>
      </c>
      <c r="H925" s="2" t="s">
        <v>4780</v>
      </c>
      <c r="I925" s="2" t="s">
        <v>4781</v>
      </c>
      <c r="J925" s="2" t="s">
        <v>275</v>
      </c>
      <c r="K925" s="2" t="s">
        <v>2678</v>
      </c>
      <c r="L925" s="3">
        <v>30</v>
      </c>
      <c r="M925" s="3">
        <v>31.5</v>
      </c>
      <c r="N925" s="3">
        <v>59.99</v>
      </c>
      <c r="O925" s="2" t="s">
        <v>230</v>
      </c>
      <c r="P925" s="2" t="s">
        <v>586</v>
      </c>
      <c r="Q925" s="2" t="s">
        <v>232</v>
      </c>
      <c r="R925" s="2" t="s">
        <v>233</v>
      </c>
      <c r="S925" s="2" t="s">
        <v>4782</v>
      </c>
      <c r="T925" s="2" t="s">
        <v>469</v>
      </c>
      <c r="U925" s="2" t="s">
        <v>781</v>
      </c>
      <c r="V925" s="2" t="s">
        <v>914</v>
      </c>
      <c r="W925" s="2" t="s">
        <v>915</v>
      </c>
      <c r="X925" s="2" t="s">
        <v>233</v>
      </c>
      <c r="Y925" s="2" t="s">
        <v>1780</v>
      </c>
      <c r="Z925" s="4">
        <v>365</v>
      </c>
      <c r="AA925" s="4">
        <f>=ROUNDDOWN(52.1428571428571,0)</f>
      </c>
      <c r="AB925" s="5">
        <v>7</v>
      </c>
      <c r="AC925" s="2" t="s">
        <v>2230</v>
      </c>
      <c r="AD925" s="4">
        <v>60</v>
      </c>
      <c r="AE925" s="4">
        <v>60</v>
      </c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233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 t="s">
        <v>233</v>
      </c>
      <c r="BD925" s="8" t="s">
        <v>233</v>
      </c>
      <c r="BE925" s="4" t="s">
        <v>233</v>
      </c>
      <c r="BF925" s="8" t="s">
        <v>233</v>
      </c>
      <c r="BG925" s="7" t="s">
        <v>233</v>
      </c>
      <c r="BH925" s="7" t="s">
        <v>233</v>
      </c>
      <c r="BI925" s="7"/>
      <c r="BJ925" s="4">
        <v>36</v>
      </c>
      <c r="BK925" s="8">
        <v>1039.93</v>
      </c>
      <c r="BL925" s="2" t="s">
        <v>4416</v>
      </c>
      <c r="BM925" s="7"/>
      <c r="BN925" s="7"/>
      <c r="BO925" s="4"/>
      <c r="BP925" s="8"/>
      <c r="BQ925" s="4"/>
      <c r="BR925" s="8"/>
      <c r="BS925" s="7"/>
      <c r="BT925" s="7"/>
      <c r="BU925" s="2" t="s">
        <v>4783</v>
      </c>
      <c r="BV925" s="2" t="s">
        <v>233</v>
      </c>
      <c r="BW925" s="2" t="s">
        <v>233</v>
      </c>
      <c r="BX925" s="2" t="s">
        <v>293</v>
      </c>
      <c r="BY925" s="2" t="s">
        <v>242</v>
      </c>
      <c r="BZ925" s="2" t="s">
        <v>230</v>
      </c>
      <c r="CA925" s="2" t="s">
        <v>2896</v>
      </c>
      <c r="CB925" s="2" t="s">
        <v>4784</v>
      </c>
      <c r="CC925" s="2" t="s">
        <v>245</v>
      </c>
      <c r="CD925" s="2" t="s">
        <v>233</v>
      </c>
      <c r="CE925" s="4">
        <v>279</v>
      </c>
      <c r="CF925" s="4"/>
      <c r="CG925" s="4"/>
      <c r="CH925" s="4">
        <v>86</v>
      </c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>
        <v>60</v>
      </c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>
        <v>366</v>
      </c>
      <c r="GD925" s="4">
        <v>303</v>
      </c>
      <c r="GE925" s="4">
        <v>286</v>
      </c>
      <c r="GF925" s="4">
        <v>268</v>
      </c>
      <c r="GG925" s="4">
        <v>231</v>
      </c>
      <c r="GH925" s="4">
        <v>209</v>
      </c>
      <c r="GI925" s="4">
        <v>187</v>
      </c>
      <c r="GJ925" s="4">
        <v>173</v>
      </c>
      <c r="GK925" s="4">
        <v>163</v>
      </c>
      <c r="GL925" s="4">
        <v>155</v>
      </c>
      <c r="GM925" s="4">
        <v>147</v>
      </c>
      <c r="GN925" s="4">
        <v>139</v>
      </c>
      <c r="GO925" s="4">
        <v>131</v>
      </c>
      <c r="GP925" s="4">
        <v>123</v>
      </c>
      <c r="GQ925" s="4">
        <v>115</v>
      </c>
      <c r="GR925" s="4">
        <v>168</v>
      </c>
      <c r="GS925" s="4">
        <v>161</v>
      </c>
      <c r="GT925" s="4">
        <v>153</v>
      </c>
      <c r="GU925" s="4">
        <v>146</v>
      </c>
      <c r="GV925" s="4">
        <v>138</v>
      </c>
      <c r="GW925" s="4">
        <v>130</v>
      </c>
      <c r="GX925" s="4">
        <v>122</v>
      </c>
      <c r="GY925" s="4">
        <v>114</v>
      </c>
      <c r="GZ925" s="4">
        <v>106</v>
      </c>
      <c r="HA925" s="4">
        <v>98</v>
      </c>
      <c r="HB925" s="4">
        <v>90</v>
      </c>
      <c r="HC925" s="19">
        <v>10.8</v>
      </c>
      <c r="HD925" s="19">
        <v>12.6</v>
      </c>
      <c r="HE925" s="19">
        <v>11.4</v>
      </c>
      <c r="HF925" s="19">
        <v>11.2</v>
      </c>
      <c r="HG925" s="19">
        <v>13.6</v>
      </c>
      <c r="HH925" s="19">
        <v>14.9</v>
      </c>
      <c r="HI925" s="19">
        <v>18.7</v>
      </c>
      <c r="HJ925" s="19">
        <v>21.6</v>
      </c>
      <c r="HK925" s="19">
        <v>20.4</v>
      </c>
      <c r="HL925" s="19">
        <v>19.4</v>
      </c>
      <c r="HM925" s="19">
        <v>18.4</v>
      </c>
      <c r="HN925" s="19">
        <v>17.4</v>
      </c>
      <c r="HO925" s="19">
        <v>16.4</v>
      </c>
      <c r="HP925" s="19">
        <v>15.4</v>
      </c>
      <c r="HQ925" s="19">
        <v>16.4</v>
      </c>
      <c r="HR925" s="19">
        <v>21</v>
      </c>
      <c r="HS925" s="19">
        <v>20.1</v>
      </c>
      <c r="HT925" s="19">
        <v>19.1</v>
      </c>
      <c r="HU925" s="19">
        <v>18.3</v>
      </c>
      <c r="HV925" s="19">
        <v>17.3</v>
      </c>
      <c r="HW925" s="19">
        <v>16.3</v>
      </c>
      <c r="HX925" s="19">
        <v>15.3</v>
      </c>
      <c r="HY925" s="19">
        <v>14.3</v>
      </c>
      <c r="HZ925" s="19">
        <v>13.3</v>
      </c>
      <c r="IA925" s="19">
        <v>12.3</v>
      </c>
      <c r="IB925" s="19">
        <v>12.9</v>
      </c>
    </row>
    <row r="926">
      <c r="A926" s="2" t="s">
        <v>4785</v>
      </c>
      <c r="B926" s="2" t="s">
        <v>773</v>
      </c>
      <c r="C926" s="2" t="s">
        <v>343</v>
      </c>
      <c r="D926" s="2" t="s">
        <v>261</v>
      </c>
      <c r="E926" s="2" t="s">
        <v>895</v>
      </c>
      <c r="F926" s="2" t="s">
        <v>4779</v>
      </c>
      <c r="G926" s="2" t="s">
        <v>4780</v>
      </c>
      <c r="H926" s="2" t="s">
        <v>4780</v>
      </c>
      <c r="I926" s="2" t="s">
        <v>4781</v>
      </c>
      <c r="J926" s="2" t="s">
        <v>1052</v>
      </c>
      <c r="K926" s="2" t="s">
        <v>1525</v>
      </c>
      <c r="L926" s="3">
        <v>19.6</v>
      </c>
      <c r="M926" s="3">
        <v>20.58</v>
      </c>
      <c r="N926" s="3">
        <v>39.99</v>
      </c>
      <c r="O926" s="2" t="s">
        <v>230</v>
      </c>
      <c r="P926" s="2" t="s">
        <v>231</v>
      </c>
      <c r="Q926" s="2" t="s">
        <v>232</v>
      </c>
      <c r="R926" s="2" t="s">
        <v>233</v>
      </c>
      <c r="S926" s="2" t="s">
        <v>4786</v>
      </c>
      <c r="T926" s="2" t="s">
        <v>469</v>
      </c>
      <c r="U926" s="2" t="s">
        <v>711</v>
      </c>
      <c r="V926" s="2" t="s">
        <v>914</v>
      </c>
      <c r="W926" s="2" t="s">
        <v>915</v>
      </c>
      <c r="X926" s="2" t="s">
        <v>233</v>
      </c>
      <c r="Y926" s="2" t="s">
        <v>1286</v>
      </c>
      <c r="Z926" s="4">
        <v>274</v>
      </c>
      <c r="AA926" s="4">
        <f>=ROUNDDOWN(27.4,0)</f>
      </c>
      <c r="AB926" s="5">
        <v>10</v>
      </c>
      <c r="AC926" s="2" t="s">
        <v>140</v>
      </c>
      <c r="AD926" s="4">
        <v>200</v>
      </c>
      <c r="AE926" s="4">
        <v>350</v>
      </c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233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233</v>
      </c>
      <c r="AW926" s="8" t="s">
        <v>233</v>
      </c>
      <c r="AX926" s="4" t="s">
        <v>233</v>
      </c>
      <c r="AY926" s="8" t="s">
        <v>233</v>
      </c>
      <c r="AZ926" s="7" t="s">
        <v>233</v>
      </c>
      <c r="BA926" s="7" t="s">
        <v>233</v>
      </c>
      <c r="BB926" s="7"/>
      <c r="BC926" s="4" t="s">
        <v>233</v>
      </c>
      <c r="BD926" s="8" t="s">
        <v>233</v>
      </c>
      <c r="BE926" s="4" t="s">
        <v>233</v>
      </c>
      <c r="BF926" s="8" t="s">
        <v>233</v>
      </c>
      <c r="BG926" s="7" t="s">
        <v>233</v>
      </c>
      <c r="BH926" s="7" t="s">
        <v>233</v>
      </c>
      <c r="BI926" s="7"/>
      <c r="BJ926" s="4">
        <v>75</v>
      </c>
      <c r="BK926" s="8">
        <v>1375.66</v>
      </c>
      <c r="BL926" s="2" t="s">
        <v>1874</v>
      </c>
      <c r="BM926" s="7"/>
      <c r="BN926" s="7"/>
      <c r="BO926" s="4"/>
      <c r="BP926" s="8"/>
      <c r="BQ926" s="4"/>
      <c r="BR926" s="8"/>
      <c r="BS926" s="7"/>
      <c r="BT926" s="7"/>
      <c r="BU926" s="2" t="s">
        <v>4783</v>
      </c>
      <c r="BV926" s="2" t="s">
        <v>233</v>
      </c>
      <c r="BW926" s="2" t="s">
        <v>233</v>
      </c>
      <c r="BX926" s="2" t="s">
        <v>293</v>
      </c>
      <c r="BY926" s="2" t="s">
        <v>242</v>
      </c>
      <c r="BZ926" s="2" t="s">
        <v>230</v>
      </c>
      <c r="CA926" s="2" t="s">
        <v>2726</v>
      </c>
      <c r="CB926" s="2" t="s">
        <v>2076</v>
      </c>
      <c r="CC926" s="2" t="s">
        <v>245</v>
      </c>
      <c r="CD926" s="2" t="s">
        <v>233</v>
      </c>
      <c r="CE926" s="4">
        <v>274</v>
      </c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>
        <v>200</v>
      </c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>
        <v>150</v>
      </c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>
        <v>242</v>
      </c>
      <c r="GD926" s="4">
        <v>218</v>
      </c>
      <c r="GE926" s="4">
        <v>406</v>
      </c>
      <c r="GF926" s="4">
        <v>393</v>
      </c>
      <c r="GG926" s="4">
        <v>370</v>
      </c>
      <c r="GH926" s="4">
        <v>350</v>
      </c>
      <c r="GI926" s="4">
        <v>329</v>
      </c>
      <c r="GJ926" s="4">
        <v>315</v>
      </c>
      <c r="GK926" s="4">
        <v>304</v>
      </c>
      <c r="GL926" s="4">
        <v>295</v>
      </c>
      <c r="GM926" s="4">
        <v>285</v>
      </c>
      <c r="GN926" s="4">
        <v>276</v>
      </c>
      <c r="GO926" s="4">
        <v>266</v>
      </c>
      <c r="GP926" s="4">
        <v>256</v>
      </c>
      <c r="GQ926" s="4">
        <v>246</v>
      </c>
      <c r="GR926" s="4">
        <v>385</v>
      </c>
      <c r="GS926" s="4">
        <v>374</v>
      </c>
      <c r="GT926" s="4">
        <v>362</v>
      </c>
      <c r="GU926" s="4">
        <v>351</v>
      </c>
      <c r="GV926" s="4">
        <v>339</v>
      </c>
      <c r="GW926" s="4">
        <v>327</v>
      </c>
      <c r="GX926" s="4">
        <v>315</v>
      </c>
      <c r="GY926" s="4">
        <v>303</v>
      </c>
      <c r="GZ926" s="4">
        <v>291</v>
      </c>
      <c r="HA926" s="4">
        <v>279</v>
      </c>
      <c r="HB926" s="4">
        <v>266</v>
      </c>
      <c r="HC926" s="19">
        <v>13.4</v>
      </c>
      <c r="HD926" s="19">
        <v>12.8</v>
      </c>
      <c r="HE926" s="19">
        <v>21.4</v>
      </c>
      <c r="HF926" s="19">
        <v>19.7</v>
      </c>
      <c r="HG926" s="19">
        <v>23.1</v>
      </c>
      <c r="HH926" s="19">
        <v>25</v>
      </c>
      <c r="HI926" s="19">
        <v>29.9</v>
      </c>
      <c r="HJ926" s="19">
        <v>31.5</v>
      </c>
      <c r="HK926" s="19">
        <v>30.4</v>
      </c>
      <c r="HL926" s="19">
        <v>29.5</v>
      </c>
      <c r="HM926" s="19">
        <v>28.5</v>
      </c>
      <c r="HN926" s="19">
        <v>27.6</v>
      </c>
      <c r="HO926" s="19">
        <v>26.6</v>
      </c>
      <c r="HP926" s="19">
        <v>23.3</v>
      </c>
      <c r="HQ926" s="19">
        <v>22.4</v>
      </c>
      <c r="HR926" s="19">
        <v>32.1</v>
      </c>
      <c r="HS926" s="19">
        <v>31.2</v>
      </c>
      <c r="HT926" s="19">
        <v>30.2</v>
      </c>
      <c r="HU926" s="19">
        <v>29.3</v>
      </c>
      <c r="HV926" s="19">
        <v>28.3</v>
      </c>
      <c r="HW926" s="19">
        <v>27.3</v>
      </c>
      <c r="HX926" s="19">
        <v>26.3</v>
      </c>
      <c r="HY926" s="19">
        <v>25.3</v>
      </c>
      <c r="HZ926" s="19">
        <v>22.4</v>
      </c>
      <c r="IA926" s="19">
        <v>21.5</v>
      </c>
      <c r="IB926" s="19">
        <v>19</v>
      </c>
    </row>
    <row r="927">
      <c r="A927" s="2" t="s">
        <v>4787</v>
      </c>
      <c r="B927" s="2" t="s">
        <v>773</v>
      </c>
      <c r="C927" s="2" t="s">
        <v>343</v>
      </c>
      <c r="D927" s="2" t="s">
        <v>261</v>
      </c>
      <c r="E927" s="2" t="s">
        <v>895</v>
      </c>
      <c r="F927" s="2" t="s">
        <v>4779</v>
      </c>
      <c r="G927" s="2" t="s">
        <v>4780</v>
      </c>
      <c r="H927" s="2" t="s">
        <v>4780</v>
      </c>
      <c r="I927" s="2" t="s">
        <v>4781</v>
      </c>
      <c r="J927" s="2" t="s">
        <v>265</v>
      </c>
      <c r="K927" s="2" t="s">
        <v>1525</v>
      </c>
      <c r="L927" s="3">
        <v>25</v>
      </c>
      <c r="M927" s="3">
        <v>26.25</v>
      </c>
      <c r="N927" s="3">
        <v>49.99</v>
      </c>
      <c r="O927" s="2" t="s">
        <v>230</v>
      </c>
      <c r="P927" s="2" t="s">
        <v>231</v>
      </c>
      <c r="Q927" s="2" t="s">
        <v>232</v>
      </c>
      <c r="R927" s="2" t="s">
        <v>233</v>
      </c>
      <c r="S927" s="2" t="s">
        <v>4786</v>
      </c>
      <c r="T927" s="2" t="s">
        <v>469</v>
      </c>
      <c r="U927" s="2" t="s">
        <v>781</v>
      </c>
      <c r="V927" s="2" t="s">
        <v>914</v>
      </c>
      <c r="W927" s="2" t="s">
        <v>915</v>
      </c>
      <c r="X927" s="2" t="s">
        <v>233</v>
      </c>
      <c r="Y927" s="2" t="s">
        <v>1286</v>
      </c>
      <c r="Z927" s="4">
        <v>823</v>
      </c>
      <c r="AA927" s="4">
        <f>=ROUNDDOWN(48.4117647058823,0)</f>
      </c>
      <c r="AB927" s="5">
        <v>17</v>
      </c>
      <c r="AC927" s="2" t="s">
        <v>2230</v>
      </c>
      <c r="AD927" s="4">
        <v>220</v>
      </c>
      <c r="AE927" s="4">
        <v>220</v>
      </c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233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233</v>
      </c>
      <c r="AW927" s="8" t="s">
        <v>233</v>
      </c>
      <c r="AX927" s="4" t="s">
        <v>233</v>
      </c>
      <c r="AY927" s="8" t="s">
        <v>233</v>
      </c>
      <c r="AZ927" s="7" t="s">
        <v>233</v>
      </c>
      <c r="BA927" s="7" t="s">
        <v>233</v>
      </c>
      <c r="BB927" s="7"/>
      <c r="BC927" s="4" t="s">
        <v>233</v>
      </c>
      <c r="BD927" s="8" t="s">
        <v>233</v>
      </c>
      <c r="BE927" s="4" t="s">
        <v>233</v>
      </c>
      <c r="BF927" s="8" t="s">
        <v>233</v>
      </c>
      <c r="BG927" s="7" t="s">
        <v>233</v>
      </c>
      <c r="BH927" s="7" t="s">
        <v>233</v>
      </c>
      <c r="BI927" s="7"/>
      <c r="BJ927" s="4">
        <v>74</v>
      </c>
      <c r="BK927" s="8">
        <v>1822.08</v>
      </c>
      <c r="BL927" s="2" t="s">
        <v>4788</v>
      </c>
      <c r="BM927" s="7"/>
      <c r="BN927" s="7"/>
      <c r="BO927" s="4"/>
      <c r="BP927" s="8"/>
      <c r="BQ927" s="4"/>
      <c r="BR927" s="8"/>
      <c r="BS927" s="7"/>
      <c r="BT927" s="7"/>
      <c r="BU927" s="2" t="s">
        <v>4783</v>
      </c>
      <c r="BV927" s="2" t="s">
        <v>233</v>
      </c>
      <c r="BW927" s="2" t="s">
        <v>233</v>
      </c>
      <c r="BX927" s="2" t="s">
        <v>293</v>
      </c>
      <c r="BY927" s="2" t="s">
        <v>242</v>
      </c>
      <c r="BZ927" s="2" t="s">
        <v>230</v>
      </c>
      <c r="CA927" s="2" t="s">
        <v>2726</v>
      </c>
      <c r="CB927" s="2" t="s">
        <v>4789</v>
      </c>
      <c r="CC927" s="2" t="s">
        <v>245</v>
      </c>
      <c r="CD927" s="2" t="s">
        <v>233</v>
      </c>
      <c r="CE927" s="4">
        <v>336</v>
      </c>
      <c r="CF927" s="4">
        <v>487</v>
      </c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>
        <v>220</v>
      </c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>
        <v>869</v>
      </c>
      <c r="GD927" s="4">
        <v>749</v>
      </c>
      <c r="GE927" s="4">
        <v>712</v>
      </c>
      <c r="GF927" s="4">
        <v>672</v>
      </c>
      <c r="GG927" s="4">
        <v>594</v>
      </c>
      <c r="GH927" s="4">
        <v>548</v>
      </c>
      <c r="GI927" s="4">
        <v>500</v>
      </c>
      <c r="GJ927" s="4">
        <v>469</v>
      </c>
      <c r="GK927" s="4">
        <v>447</v>
      </c>
      <c r="GL927" s="4">
        <v>430</v>
      </c>
      <c r="GM927" s="4">
        <v>412</v>
      </c>
      <c r="GN927" s="4">
        <v>395</v>
      </c>
      <c r="GO927" s="4">
        <v>378</v>
      </c>
      <c r="GP927" s="4">
        <v>361</v>
      </c>
      <c r="GQ927" s="4">
        <v>344</v>
      </c>
      <c r="GR927" s="4">
        <v>547</v>
      </c>
      <c r="GS927" s="4">
        <v>530</v>
      </c>
      <c r="GT927" s="4">
        <v>512</v>
      </c>
      <c r="GU927" s="4">
        <v>495</v>
      </c>
      <c r="GV927" s="4">
        <v>478</v>
      </c>
      <c r="GW927" s="4">
        <v>461</v>
      </c>
      <c r="GX927" s="4">
        <v>445</v>
      </c>
      <c r="GY927" s="4">
        <v>429</v>
      </c>
      <c r="GZ927" s="4">
        <v>413</v>
      </c>
      <c r="HA927" s="4">
        <v>397</v>
      </c>
      <c r="HB927" s="4">
        <v>381</v>
      </c>
      <c r="HC927" s="19">
        <v>12.6</v>
      </c>
      <c r="HD927" s="19">
        <v>15</v>
      </c>
      <c r="HE927" s="19">
        <v>13.4</v>
      </c>
      <c r="HF927" s="19">
        <v>13.2</v>
      </c>
      <c r="HG927" s="19">
        <v>16.1</v>
      </c>
      <c r="HH927" s="19">
        <v>18.3</v>
      </c>
      <c r="HI927" s="19">
        <v>22.7</v>
      </c>
      <c r="HJ927" s="19">
        <v>26.1</v>
      </c>
      <c r="HK927" s="19">
        <v>26.3</v>
      </c>
      <c r="HL927" s="19">
        <v>25.3</v>
      </c>
      <c r="HM927" s="19">
        <v>24.2</v>
      </c>
      <c r="HN927" s="19">
        <v>23.2</v>
      </c>
      <c r="HO927" s="19">
        <v>22.2</v>
      </c>
      <c r="HP927" s="19">
        <v>21.2</v>
      </c>
      <c r="HQ927" s="19">
        <v>20.2</v>
      </c>
      <c r="HR927" s="19">
        <v>32.2</v>
      </c>
      <c r="HS927" s="19">
        <v>31.2</v>
      </c>
      <c r="HT927" s="19">
        <v>30.1</v>
      </c>
      <c r="HU927" s="19">
        <v>30.9</v>
      </c>
      <c r="HV927" s="19">
        <v>29.9</v>
      </c>
      <c r="HW927" s="19">
        <v>28.8</v>
      </c>
      <c r="HX927" s="19">
        <v>27.8</v>
      </c>
      <c r="HY927" s="19">
        <v>26.8</v>
      </c>
      <c r="HZ927" s="19">
        <v>25.8</v>
      </c>
      <c r="IA927" s="19">
        <v>24.8</v>
      </c>
      <c r="IB927" s="19">
        <v>23.8</v>
      </c>
    </row>
    <row r="928">
      <c r="A928" s="2" t="s">
        <v>4790</v>
      </c>
      <c r="B928" s="2" t="s">
        <v>773</v>
      </c>
      <c r="C928" s="2" t="s">
        <v>343</v>
      </c>
      <c r="D928" s="2" t="s">
        <v>261</v>
      </c>
      <c r="E928" s="2" t="s">
        <v>895</v>
      </c>
      <c r="F928" s="2" t="s">
        <v>4779</v>
      </c>
      <c r="G928" s="2" t="s">
        <v>4780</v>
      </c>
      <c r="H928" s="2" t="s">
        <v>4780</v>
      </c>
      <c r="I928" s="2" t="s">
        <v>4781</v>
      </c>
      <c r="J928" s="2" t="s">
        <v>275</v>
      </c>
      <c r="K928" s="2" t="s">
        <v>1525</v>
      </c>
      <c r="L928" s="3">
        <v>30</v>
      </c>
      <c r="M928" s="3">
        <v>31.5</v>
      </c>
      <c r="N928" s="3">
        <v>59.99</v>
      </c>
      <c r="O928" s="2" t="s">
        <v>230</v>
      </c>
      <c r="P928" s="2" t="s">
        <v>231</v>
      </c>
      <c r="Q928" s="2" t="s">
        <v>232</v>
      </c>
      <c r="R928" s="2" t="s">
        <v>233</v>
      </c>
      <c r="S928" s="2" t="s">
        <v>4786</v>
      </c>
      <c r="T928" s="2" t="s">
        <v>469</v>
      </c>
      <c r="U928" s="2" t="s">
        <v>781</v>
      </c>
      <c r="V928" s="2" t="s">
        <v>914</v>
      </c>
      <c r="W928" s="2" t="s">
        <v>915</v>
      </c>
      <c r="X928" s="2" t="s">
        <v>233</v>
      </c>
      <c r="Y928" s="2" t="s">
        <v>1286</v>
      </c>
      <c r="Z928" s="4">
        <v>289</v>
      </c>
      <c r="AA928" s="4">
        <f>=ROUNDDOWN(36.125,0)</f>
      </c>
      <c r="AB928" s="5">
        <v>8</v>
      </c>
      <c r="AC928" s="2" t="s">
        <v>140</v>
      </c>
      <c r="AD928" s="4">
        <v>180</v>
      </c>
      <c r="AE928" s="4">
        <v>225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233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233</v>
      </c>
      <c r="AW928" s="8" t="s">
        <v>233</v>
      </c>
      <c r="AX928" s="4" t="s">
        <v>233</v>
      </c>
      <c r="AY928" s="8" t="s">
        <v>233</v>
      </c>
      <c r="AZ928" s="7" t="s">
        <v>233</v>
      </c>
      <c r="BA928" s="7" t="s">
        <v>233</v>
      </c>
      <c r="BB928" s="7"/>
      <c r="BC928" s="4" t="s">
        <v>233</v>
      </c>
      <c r="BD928" s="8" t="s">
        <v>233</v>
      </c>
      <c r="BE928" s="4" t="s">
        <v>233</v>
      </c>
      <c r="BF928" s="8" t="s">
        <v>233</v>
      </c>
      <c r="BG928" s="7" t="s">
        <v>233</v>
      </c>
      <c r="BH928" s="7" t="s">
        <v>233</v>
      </c>
      <c r="BI928" s="7"/>
      <c r="BJ928" s="4">
        <v>39</v>
      </c>
      <c r="BK928" s="8">
        <v>1103.92</v>
      </c>
      <c r="BL928" s="2" t="s">
        <v>356</v>
      </c>
      <c r="BM928" s="7"/>
      <c r="BN928" s="7"/>
      <c r="BO928" s="4"/>
      <c r="BP928" s="8"/>
      <c r="BQ928" s="4"/>
      <c r="BR928" s="8"/>
      <c r="BS928" s="7"/>
      <c r="BT928" s="7"/>
      <c r="BU928" s="2" t="s">
        <v>4783</v>
      </c>
      <c r="BV928" s="2" t="s">
        <v>233</v>
      </c>
      <c r="BW928" s="2" t="s">
        <v>233</v>
      </c>
      <c r="BX928" s="2" t="s">
        <v>293</v>
      </c>
      <c r="BY928" s="2" t="s">
        <v>242</v>
      </c>
      <c r="BZ928" s="2" t="s">
        <v>230</v>
      </c>
      <c r="CA928" s="2" t="s">
        <v>2726</v>
      </c>
      <c r="CB928" s="2" t="s">
        <v>4791</v>
      </c>
      <c r="CC928" s="2" t="s">
        <v>245</v>
      </c>
      <c r="CD928" s="2" t="s">
        <v>233</v>
      </c>
      <c r="CE928" s="4">
        <v>289</v>
      </c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>
        <v>180</v>
      </c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>
        <v>45</v>
      </c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>
        <v>260</v>
      </c>
      <c r="GD928" s="4">
        <v>181</v>
      </c>
      <c r="GE928" s="4">
        <v>345</v>
      </c>
      <c r="GF928" s="4">
        <v>328</v>
      </c>
      <c r="GG928" s="4">
        <v>296</v>
      </c>
      <c r="GH928" s="4">
        <v>276</v>
      </c>
      <c r="GI928" s="4">
        <v>256</v>
      </c>
      <c r="GJ928" s="4">
        <v>243</v>
      </c>
      <c r="GK928" s="4">
        <v>233</v>
      </c>
      <c r="GL928" s="4">
        <v>225</v>
      </c>
      <c r="GM928" s="4">
        <v>217</v>
      </c>
      <c r="GN928" s="4">
        <v>209</v>
      </c>
      <c r="GO928" s="4">
        <v>201</v>
      </c>
      <c r="GP928" s="4">
        <v>193</v>
      </c>
      <c r="GQ928" s="4">
        <v>185</v>
      </c>
      <c r="GR928" s="4">
        <v>222</v>
      </c>
      <c r="GS928" s="4">
        <v>214</v>
      </c>
      <c r="GT928" s="4">
        <v>206</v>
      </c>
      <c r="GU928" s="4">
        <v>198</v>
      </c>
      <c r="GV928" s="4">
        <v>190</v>
      </c>
      <c r="GW928" s="4">
        <v>182</v>
      </c>
      <c r="GX928" s="4">
        <v>175</v>
      </c>
      <c r="GY928" s="4">
        <v>168</v>
      </c>
      <c r="GZ928" s="4">
        <v>161</v>
      </c>
      <c r="HA928" s="4">
        <v>153</v>
      </c>
      <c r="HB928" s="4">
        <v>146</v>
      </c>
      <c r="HC928" s="19">
        <v>7.2</v>
      </c>
      <c r="HD928" s="19">
        <v>8.6</v>
      </c>
      <c r="HE928" s="19">
        <v>15.7</v>
      </c>
      <c r="HF928" s="19">
        <v>15.6</v>
      </c>
      <c r="HG928" s="19">
        <v>18.5</v>
      </c>
      <c r="HH928" s="19">
        <v>21.2</v>
      </c>
      <c r="HI928" s="19">
        <v>25.6</v>
      </c>
      <c r="HJ928" s="19">
        <v>30.4</v>
      </c>
      <c r="HK928" s="19">
        <v>29.1</v>
      </c>
      <c r="HL928" s="19">
        <v>28.1</v>
      </c>
      <c r="HM928" s="19">
        <v>27.1</v>
      </c>
      <c r="HN928" s="19">
        <v>26.1</v>
      </c>
      <c r="HO928" s="19">
        <v>25.1</v>
      </c>
      <c r="HP928" s="19">
        <v>24.1</v>
      </c>
      <c r="HQ928" s="19">
        <v>23.1</v>
      </c>
      <c r="HR928" s="19">
        <v>27.8</v>
      </c>
      <c r="HS928" s="19">
        <v>26.8</v>
      </c>
      <c r="HT928" s="19">
        <v>25.8</v>
      </c>
      <c r="HU928" s="19">
        <v>24.8</v>
      </c>
      <c r="HV928" s="19">
        <v>27.1</v>
      </c>
      <c r="HW928" s="19">
        <v>26</v>
      </c>
      <c r="HX928" s="19">
        <v>25</v>
      </c>
      <c r="HY928" s="19">
        <v>24</v>
      </c>
      <c r="HZ928" s="19">
        <v>23</v>
      </c>
      <c r="IA928" s="19">
        <v>21.9</v>
      </c>
      <c r="IB928" s="19">
        <v>20.9</v>
      </c>
    </row>
    <row r="929">
      <c r="A929" s="2" t="s">
        <v>4792</v>
      </c>
      <c r="B929" s="2" t="s">
        <v>773</v>
      </c>
      <c r="C929" s="2" t="s">
        <v>343</v>
      </c>
      <c r="D929" s="2" t="s">
        <v>261</v>
      </c>
      <c r="E929" s="2" t="s">
        <v>895</v>
      </c>
      <c r="F929" s="2" t="s">
        <v>4779</v>
      </c>
      <c r="G929" s="2" t="s">
        <v>4780</v>
      </c>
      <c r="H929" s="2" t="s">
        <v>4780</v>
      </c>
      <c r="I929" s="2" t="s">
        <v>4781</v>
      </c>
      <c r="J929" s="2" t="s">
        <v>265</v>
      </c>
      <c r="K929" s="2" t="s">
        <v>1121</v>
      </c>
      <c r="L929" s="3">
        <v>25</v>
      </c>
      <c r="M929" s="3">
        <v>26.25</v>
      </c>
      <c r="N929" s="3">
        <v>49.99</v>
      </c>
      <c r="O929" s="2" t="s">
        <v>230</v>
      </c>
      <c r="P929" s="2" t="s">
        <v>586</v>
      </c>
      <c r="Q929" s="2" t="s">
        <v>232</v>
      </c>
      <c r="R929" s="2" t="s">
        <v>233</v>
      </c>
      <c r="S929" s="2" t="s">
        <v>4793</v>
      </c>
      <c r="T929" s="2" t="s">
        <v>469</v>
      </c>
      <c r="U929" s="2" t="s">
        <v>781</v>
      </c>
      <c r="V929" s="2" t="s">
        <v>914</v>
      </c>
      <c r="W929" s="2" t="s">
        <v>915</v>
      </c>
      <c r="X929" s="2" t="s">
        <v>233</v>
      </c>
      <c r="Y929" s="2" t="s">
        <v>1286</v>
      </c>
      <c r="Z929" s="4">
        <v>464</v>
      </c>
      <c r="AA929" s="4">
        <f>=ROUNDDOWN(25.7777777777778,0)</f>
      </c>
      <c r="AB929" s="5">
        <v>18</v>
      </c>
      <c r="AC929" s="2" t="s">
        <v>140</v>
      </c>
      <c r="AD929" s="4">
        <v>200</v>
      </c>
      <c r="AE929" s="4">
        <v>540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233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/>
      <c r="AW929" s="8"/>
      <c r="AX929" s="4"/>
      <c r="AY929" s="8"/>
      <c r="AZ929" s="7"/>
      <c r="BA929" s="7"/>
      <c r="BB929" s="7"/>
      <c r="BC929" s="4" t="s">
        <v>233</v>
      </c>
      <c r="BD929" s="8" t="s">
        <v>233</v>
      </c>
      <c r="BE929" s="4" t="s">
        <v>233</v>
      </c>
      <c r="BF929" s="8" t="s">
        <v>233</v>
      </c>
      <c r="BG929" s="7" t="s">
        <v>233</v>
      </c>
      <c r="BH929" s="7" t="s">
        <v>233</v>
      </c>
      <c r="BI929" s="7"/>
      <c r="BJ929" s="4">
        <v>233</v>
      </c>
      <c r="BK929" s="8">
        <v>5416.77</v>
      </c>
      <c r="BL929" s="2" t="s">
        <v>4788</v>
      </c>
      <c r="BM929" s="7"/>
      <c r="BN929" s="7"/>
      <c r="BO929" s="4"/>
      <c r="BP929" s="8"/>
      <c r="BQ929" s="4"/>
      <c r="BR929" s="8"/>
      <c r="BS929" s="7"/>
      <c r="BT929" s="7"/>
      <c r="BU929" s="2" t="s">
        <v>4783</v>
      </c>
      <c r="BV929" s="2" t="s">
        <v>233</v>
      </c>
      <c r="BW929" s="2" t="s">
        <v>233</v>
      </c>
      <c r="BX929" s="2" t="s">
        <v>293</v>
      </c>
      <c r="BY929" s="2" t="s">
        <v>242</v>
      </c>
      <c r="BZ929" s="2" t="s">
        <v>230</v>
      </c>
      <c r="CA929" s="2" t="s">
        <v>2726</v>
      </c>
      <c r="CB929" s="2" t="s">
        <v>4794</v>
      </c>
      <c r="CC929" s="2" t="s">
        <v>245</v>
      </c>
      <c r="CD929" s="2" t="s">
        <v>233</v>
      </c>
      <c r="CE929" s="4">
        <v>464</v>
      </c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>
        <v>200</v>
      </c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>
        <v>120</v>
      </c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>
        <v>220</v>
      </c>
      <c r="GB929" s="4"/>
      <c r="GC929" s="4">
        <v>474</v>
      </c>
      <c r="GD929" s="4">
        <v>443</v>
      </c>
      <c r="GE929" s="4">
        <v>616</v>
      </c>
      <c r="GF929" s="4">
        <v>586</v>
      </c>
      <c r="GG929" s="4">
        <v>522</v>
      </c>
      <c r="GH929" s="4">
        <v>487</v>
      </c>
      <c r="GI929" s="4">
        <v>570</v>
      </c>
      <c r="GJ929" s="4">
        <v>544</v>
      </c>
      <c r="GK929" s="4">
        <v>521</v>
      </c>
      <c r="GL929" s="4">
        <v>503</v>
      </c>
      <c r="GM929" s="4">
        <v>484</v>
      </c>
      <c r="GN929" s="4">
        <v>466</v>
      </c>
      <c r="GO929" s="4">
        <v>448</v>
      </c>
      <c r="GP929" s="4">
        <v>430</v>
      </c>
      <c r="GQ929" s="4">
        <v>412</v>
      </c>
      <c r="GR929" s="4">
        <v>394</v>
      </c>
      <c r="GS929" s="4">
        <v>376</v>
      </c>
      <c r="GT929" s="4">
        <v>357</v>
      </c>
      <c r="GU929" s="4">
        <v>339</v>
      </c>
      <c r="GV929" s="4">
        <v>321</v>
      </c>
      <c r="GW929" s="4">
        <v>523</v>
      </c>
      <c r="GX929" s="4">
        <v>507</v>
      </c>
      <c r="GY929" s="4">
        <v>491</v>
      </c>
      <c r="GZ929" s="4">
        <v>475</v>
      </c>
      <c r="HA929" s="4">
        <v>458</v>
      </c>
      <c r="HB929" s="4">
        <v>442</v>
      </c>
      <c r="HC929" s="19">
        <v>12.5</v>
      </c>
      <c r="HD929" s="19">
        <v>11.4</v>
      </c>
      <c r="HE929" s="19">
        <v>14.7</v>
      </c>
      <c r="HF929" s="19">
        <v>14.7</v>
      </c>
      <c r="HG929" s="19">
        <v>17.4</v>
      </c>
      <c r="HH929" s="19">
        <v>18.7</v>
      </c>
      <c r="HI929" s="19">
        <v>25.9</v>
      </c>
      <c r="HJ929" s="19">
        <v>27.2</v>
      </c>
      <c r="HK929" s="19">
        <v>28.9</v>
      </c>
      <c r="HL929" s="19">
        <v>27.9</v>
      </c>
      <c r="HM929" s="19">
        <v>26.9</v>
      </c>
      <c r="HN929" s="19">
        <v>25.9</v>
      </c>
      <c r="HO929" s="19">
        <v>24.9</v>
      </c>
      <c r="HP929" s="19">
        <v>23.9</v>
      </c>
      <c r="HQ929" s="19">
        <v>22.9</v>
      </c>
      <c r="HR929" s="19">
        <v>21.9</v>
      </c>
      <c r="HS929" s="19">
        <v>20.9</v>
      </c>
      <c r="HT929" s="19">
        <v>19.8</v>
      </c>
      <c r="HU929" s="19">
        <v>19.9</v>
      </c>
      <c r="HV929" s="19">
        <v>20.1</v>
      </c>
      <c r="HW929" s="19">
        <v>32.7</v>
      </c>
      <c r="HX929" s="19">
        <v>31.7</v>
      </c>
      <c r="HY929" s="19">
        <v>30.7</v>
      </c>
      <c r="HZ929" s="19">
        <v>29.7</v>
      </c>
      <c r="IA929" s="19">
        <v>28.6</v>
      </c>
      <c r="IB929" s="19">
        <v>27.6</v>
      </c>
    </row>
    <row r="930">
      <c r="A930" s="2" t="s">
        <v>4795</v>
      </c>
      <c r="B930" s="2" t="s">
        <v>736</v>
      </c>
      <c r="C930" s="2" t="s">
        <v>762</v>
      </c>
      <c r="D930" s="2" t="s">
        <v>1185</v>
      </c>
      <c r="E930" s="2" t="s">
        <v>2612</v>
      </c>
      <c r="F930" s="2" t="s">
        <v>4796</v>
      </c>
      <c r="G930" s="2" t="s">
        <v>4796</v>
      </c>
      <c r="H930" s="2" t="s">
        <v>4796</v>
      </c>
      <c r="I930" s="2" t="s">
        <v>4797</v>
      </c>
      <c r="J930" s="2" t="s">
        <v>741</v>
      </c>
      <c r="K930" s="2" t="s">
        <v>4798</v>
      </c>
      <c r="L930" s="3">
        <v>52.38</v>
      </c>
      <c r="M930" s="3">
        <v>55</v>
      </c>
      <c r="N930" s="3">
        <v>109.99</v>
      </c>
      <c r="O930" s="2" t="s">
        <v>230</v>
      </c>
      <c r="P930" s="2" t="s">
        <v>721</v>
      </c>
      <c r="Q930" s="2" t="s">
        <v>232</v>
      </c>
      <c r="R930" s="2" t="s">
        <v>233</v>
      </c>
      <c r="S930" s="2" t="s">
        <v>233</v>
      </c>
      <c r="T930" s="2" t="s">
        <v>233</v>
      </c>
      <c r="U930" s="2" t="s">
        <v>329</v>
      </c>
      <c r="V930" s="2" t="s">
        <v>744</v>
      </c>
      <c r="W930" s="2" t="s">
        <v>620</v>
      </c>
      <c r="X930" s="2" t="s">
        <v>877</v>
      </c>
      <c r="Y930" s="2" t="s">
        <v>4492</v>
      </c>
      <c r="Z930" s="4">
        <v>31</v>
      </c>
      <c r="AA930" s="4">
        <f>=ROUNDDOWN(15.5,0)</f>
      </c>
      <c r="AB930" s="5">
        <v>2</v>
      </c>
      <c r="AC930" s="2" t="s">
        <v>233</v>
      </c>
      <c r="AD930" s="4"/>
      <c r="AE930" s="4"/>
      <c r="AF930" s="6">
        <v>63</v>
      </c>
      <c r="AG930" s="6"/>
      <c r="AH930" s="7">
        <v>1</v>
      </c>
      <c r="AI930" s="4"/>
      <c r="AJ930" s="4">
        <f>=ROUNDDOWN({0},0)</f>
      </c>
      <c r="AK930" s="5"/>
      <c r="AL930" s="2" t="s">
        <v>233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/>
      <c r="AW930" s="8"/>
      <c r="AX930" s="4"/>
      <c r="AY930" s="8"/>
      <c r="AZ930" s="7"/>
      <c r="BA930" s="7"/>
      <c r="BB930" s="7"/>
      <c r="BC930" s="4"/>
      <c r="BD930" s="8"/>
      <c r="BE930" s="4"/>
      <c r="BF930" s="8"/>
      <c r="BG930" s="7"/>
      <c r="BH930" s="7"/>
      <c r="BI930" s="7"/>
      <c r="BJ930" s="4">
        <v>9</v>
      </c>
      <c r="BK930" s="8">
        <v>510.95</v>
      </c>
      <c r="BL930" s="2" t="s">
        <v>4799</v>
      </c>
      <c r="BM930" s="7"/>
      <c r="BN930" s="7"/>
      <c r="BO930" s="4"/>
      <c r="BP930" s="8"/>
      <c r="BQ930" s="4"/>
      <c r="BR930" s="8"/>
      <c r="BS930" s="7"/>
      <c r="BT930" s="7"/>
      <c r="BU930" s="2" t="s">
        <v>4800</v>
      </c>
      <c r="BV930" s="2" t="s">
        <v>233</v>
      </c>
      <c r="BW930" s="2" t="s">
        <v>233</v>
      </c>
      <c r="BX930" s="2" t="s">
        <v>241</v>
      </c>
      <c r="BY930" s="2" t="s">
        <v>242</v>
      </c>
      <c r="BZ930" s="2" t="s">
        <v>230</v>
      </c>
      <c r="CA930" s="2" t="s">
        <v>4209</v>
      </c>
      <c r="CB930" s="2" t="s">
        <v>233</v>
      </c>
      <c r="CC930" s="2" t="s">
        <v>245</v>
      </c>
      <c r="CD930" s="2" t="s">
        <v>233</v>
      </c>
      <c r="CE930" s="4"/>
      <c r="CF930" s="4">
        <v>31</v>
      </c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>
        <v>40</v>
      </c>
      <c r="GD930" s="4">
        <v>26</v>
      </c>
      <c r="GE930" s="4">
        <v>24</v>
      </c>
      <c r="GF930" s="4">
        <v>22</v>
      </c>
      <c r="GG930" s="4">
        <v>20</v>
      </c>
      <c r="GH930" s="4">
        <v>18</v>
      </c>
      <c r="GI930" s="4">
        <v>16</v>
      </c>
      <c r="GJ930" s="4">
        <v>14</v>
      </c>
      <c r="GK930" s="4">
        <v>12</v>
      </c>
      <c r="GL930" s="4">
        <v>10</v>
      </c>
      <c r="GM930" s="4">
        <v>8</v>
      </c>
      <c r="GN930" s="4">
        <v>6</v>
      </c>
      <c r="GO930" s="4">
        <v>4</v>
      </c>
      <c r="GP930" s="4">
        <v>2</v>
      </c>
      <c r="GQ930" s="4"/>
      <c r="GR930" s="4"/>
      <c r="GS930" s="4"/>
      <c r="GT930" s="4">
        <v>93</v>
      </c>
      <c r="GU930" s="4">
        <v>88</v>
      </c>
      <c r="GV930" s="4">
        <v>86</v>
      </c>
      <c r="GW930" s="4">
        <v>84</v>
      </c>
      <c r="GX930" s="4">
        <v>82</v>
      </c>
      <c r="GY930" s="4">
        <v>80</v>
      </c>
      <c r="GZ930" s="4">
        <v>78</v>
      </c>
      <c r="HA930" s="4">
        <v>76</v>
      </c>
      <c r="HB930" s="4">
        <v>74</v>
      </c>
      <c r="HC930" s="19">
        <v>8</v>
      </c>
      <c r="HD930" s="19">
        <v>13</v>
      </c>
      <c r="HE930" s="19">
        <v>12</v>
      </c>
      <c r="HF930" s="19">
        <v>11</v>
      </c>
      <c r="HG930" s="19">
        <v>10</v>
      </c>
      <c r="HH930" s="19">
        <v>9</v>
      </c>
      <c r="HI930" s="19">
        <v>8</v>
      </c>
      <c r="HJ930" s="19">
        <v>7</v>
      </c>
      <c r="HK930" s="19">
        <v>6</v>
      </c>
      <c r="HL930" s="19">
        <v>5</v>
      </c>
      <c r="HM930" s="19">
        <v>4</v>
      </c>
      <c r="HN930" s="19">
        <v>3</v>
      </c>
      <c r="HO930" s="19">
        <v>2</v>
      </c>
      <c r="HP930" s="19">
        <v>2</v>
      </c>
      <c r="HQ930" s="20">
        <v>0</v>
      </c>
      <c r="HR930" s="20">
        <v>0</v>
      </c>
      <c r="HS930" s="20">
        <v>0</v>
      </c>
      <c r="HT930" s="19">
        <v>31</v>
      </c>
      <c r="HU930" s="19">
        <v>44</v>
      </c>
      <c r="HV930" s="19">
        <v>43</v>
      </c>
      <c r="HW930" s="19">
        <v>42</v>
      </c>
      <c r="HX930" s="19">
        <v>41</v>
      </c>
      <c r="HY930" s="19">
        <v>40</v>
      </c>
      <c r="HZ930" s="19">
        <v>39</v>
      </c>
      <c r="IA930" s="19">
        <v>38</v>
      </c>
      <c r="IB930" s="19">
        <v>37</v>
      </c>
    </row>
    <row r="931">
      <c r="A931" s="2" t="s">
        <v>4801</v>
      </c>
      <c r="B931" s="2" t="s">
        <v>825</v>
      </c>
      <c r="C931" s="2" t="s">
        <v>1411</v>
      </c>
      <c r="D931" s="2" t="s">
        <v>884</v>
      </c>
      <c r="E931" s="2" t="s">
        <v>885</v>
      </c>
      <c r="F931" s="2" t="s">
        <v>4802</v>
      </c>
      <c r="G931" s="2" t="s">
        <v>4803</v>
      </c>
      <c r="H931" s="2" t="s">
        <v>4804</v>
      </c>
      <c r="I931" s="2" t="s">
        <v>4805</v>
      </c>
      <c r="J931" s="2" t="s">
        <v>1052</v>
      </c>
      <c r="K931" s="2" t="s">
        <v>651</v>
      </c>
      <c r="L931" s="3">
        <v>35.2</v>
      </c>
      <c r="M931" s="3">
        <v>36.96</v>
      </c>
      <c r="N931" s="3">
        <v>79.99</v>
      </c>
      <c r="O931" s="2" t="s">
        <v>230</v>
      </c>
      <c r="P931" s="2" t="s">
        <v>721</v>
      </c>
      <c r="Q931" s="2" t="s">
        <v>232</v>
      </c>
      <c r="R931" s="2" t="s">
        <v>233</v>
      </c>
      <c r="S931" s="2" t="s">
        <v>4806</v>
      </c>
      <c r="T931" s="2" t="s">
        <v>469</v>
      </c>
      <c r="U931" s="2" t="s">
        <v>287</v>
      </c>
      <c r="V931" s="2" t="s">
        <v>349</v>
      </c>
      <c r="W931" s="2" t="s">
        <v>237</v>
      </c>
      <c r="X931" s="2" t="s">
        <v>233</v>
      </c>
      <c r="Y931" s="2" t="s">
        <v>238</v>
      </c>
      <c r="Z931" s="4">
        <v>200</v>
      </c>
      <c r="AA931" s="4">
        <f>=ROUNDDOWN(28.5714285714286,0)</f>
      </c>
      <c r="AB931" s="5">
        <v>7</v>
      </c>
      <c r="AC931" s="2" t="s">
        <v>233</v>
      </c>
      <c r="AD931" s="4"/>
      <c r="AE931" s="4"/>
      <c r="AF931" s="6">
        <v>64</v>
      </c>
      <c r="AG931" s="6"/>
      <c r="AH931" s="7">
        <v>1</v>
      </c>
      <c r="AI931" s="4"/>
      <c r="AJ931" s="4">
        <f>=ROUNDDOWN({0},0)</f>
      </c>
      <c r="AK931" s="5"/>
      <c r="AL931" s="2" t="s">
        <v>233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/>
      <c r="AW931" s="8"/>
      <c r="AX931" s="4"/>
      <c r="AY931" s="8"/>
      <c r="AZ931" s="7"/>
      <c r="BA931" s="7"/>
      <c r="BB931" s="7"/>
      <c r="BC931" s="4"/>
      <c r="BD931" s="8"/>
      <c r="BE931" s="4"/>
      <c r="BF931" s="8"/>
      <c r="BG931" s="7"/>
      <c r="BH931" s="7"/>
      <c r="BI931" s="7"/>
      <c r="BJ931" s="4">
        <v>9</v>
      </c>
      <c r="BK931" s="8">
        <v>325.22</v>
      </c>
      <c r="BL931" s="2" t="s">
        <v>4807</v>
      </c>
      <c r="BM931" s="7"/>
      <c r="BN931" s="7"/>
      <c r="BO931" s="4"/>
      <c r="BP931" s="8"/>
      <c r="BQ931" s="4"/>
      <c r="BR931" s="8"/>
      <c r="BS931" s="7"/>
      <c r="BT931" s="7"/>
      <c r="BU931" s="2" t="s">
        <v>4808</v>
      </c>
      <c r="BV931" s="2" t="s">
        <v>233</v>
      </c>
      <c r="BW931" s="2" t="s">
        <v>233</v>
      </c>
      <c r="BX931" s="2" t="s">
        <v>241</v>
      </c>
      <c r="BY931" s="2" t="s">
        <v>242</v>
      </c>
      <c r="BZ931" s="2" t="s">
        <v>230</v>
      </c>
      <c r="CA931" s="2" t="s">
        <v>243</v>
      </c>
      <c r="CB931" s="2" t="s">
        <v>4809</v>
      </c>
      <c r="CC931" s="2" t="s">
        <v>245</v>
      </c>
      <c r="CD931" s="2" t="s">
        <v>233</v>
      </c>
      <c r="CE931" s="4">
        <v>200</v>
      </c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>
        <v>202</v>
      </c>
      <c r="GD931" s="4">
        <v>191</v>
      </c>
      <c r="GE931" s="4">
        <v>182</v>
      </c>
      <c r="GF931" s="4">
        <v>173</v>
      </c>
      <c r="GG931" s="4">
        <v>164</v>
      </c>
      <c r="GH931" s="4">
        <v>155</v>
      </c>
      <c r="GI931" s="4">
        <v>146</v>
      </c>
      <c r="GJ931" s="4">
        <v>137</v>
      </c>
      <c r="GK931" s="4">
        <v>128</v>
      </c>
      <c r="GL931" s="4">
        <v>119</v>
      </c>
      <c r="GM931" s="4">
        <v>112</v>
      </c>
      <c r="GN931" s="4">
        <v>105</v>
      </c>
      <c r="GO931" s="4">
        <v>98</v>
      </c>
      <c r="GP931" s="4">
        <v>91</v>
      </c>
      <c r="GQ931" s="4">
        <v>84</v>
      </c>
      <c r="GR931" s="4">
        <v>77</v>
      </c>
      <c r="GS931" s="4">
        <v>70</v>
      </c>
      <c r="GT931" s="4">
        <v>62</v>
      </c>
      <c r="GU931" s="4">
        <v>55</v>
      </c>
      <c r="GV931" s="4">
        <v>48</v>
      </c>
      <c r="GW931" s="4">
        <v>41</v>
      </c>
      <c r="GX931" s="4">
        <v>34</v>
      </c>
      <c r="GY931" s="4">
        <v>27</v>
      </c>
      <c r="GZ931" s="4">
        <v>20</v>
      </c>
      <c r="HA931" s="4">
        <v>234</v>
      </c>
      <c r="HB931" s="4">
        <v>216</v>
      </c>
      <c r="HC931" s="19">
        <v>20.2</v>
      </c>
      <c r="HD931" s="19">
        <v>21.2</v>
      </c>
      <c r="HE931" s="19">
        <v>20.2</v>
      </c>
      <c r="HF931" s="19">
        <v>19.2</v>
      </c>
      <c r="HG931" s="19">
        <v>18.2</v>
      </c>
      <c r="HH931" s="19">
        <v>17.2</v>
      </c>
      <c r="HI931" s="19">
        <v>18.3</v>
      </c>
      <c r="HJ931" s="19">
        <v>17.1</v>
      </c>
      <c r="HK931" s="19">
        <v>16</v>
      </c>
      <c r="HL931" s="19">
        <v>17</v>
      </c>
      <c r="HM931" s="19">
        <v>16</v>
      </c>
      <c r="HN931" s="19">
        <v>15</v>
      </c>
      <c r="HO931" s="19">
        <v>14</v>
      </c>
      <c r="HP931" s="19">
        <v>13</v>
      </c>
      <c r="HQ931" s="19">
        <v>12</v>
      </c>
      <c r="HR931" s="19">
        <v>11</v>
      </c>
      <c r="HS931" s="19">
        <v>10</v>
      </c>
      <c r="HT931" s="19">
        <v>8.9</v>
      </c>
      <c r="HU931" s="19">
        <v>7.9</v>
      </c>
      <c r="HV931" s="19">
        <v>6.9</v>
      </c>
      <c r="HW931" s="19">
        <v>4.1</v>
      </c>
      <c r="HX931" s="19">
        <v>2.8</v>
      </c>
      <c r="HY931" s="19">
        <v>1.8</v>
      </c>
      <c r="HZ931" s="19">
        <v>1.1</v>
      </c>
      <c r="IA931" s="19">
        <v>13</v>
      </c>
      <c r="IB931" s="19">
        <v>12</v>
      </c>
    </row>
    <row r="932">
      <c r="A932" s="2" t="s">
        <v>4810</v>
      </c>
      <c r="B932" s="2" t="s">
        <v>736</v>
      </c>
      <c r="C932" s="2" t="s">
        <v>280</v>
      </c>
      <c r="D932" s="2" t="s">
        <v>1197</v>
      </c>
      <c r="E932" s="2" t="s">
        <v>1198</v>
      </c>
      <c r="F932" s="2" t="s">
        <v>4811</v>
      </c>
      <c r="G932" s="2" t="s">
        <v>4811</v>
      </c>
      <c r="H932" s="2" t="s">
        <v>4811</v>
      </c>
      <c r="I932" s="2" t="s">
        <v>4812</v>
      </c>
      <c r="J932" s="2" t="s">
        <v>741</v>
      </c>
      <c r="K932" s="2" t="s">
        <v>4813</v>
      </c>
      <c r="L932" s="3">
        <v>40.47</v>
      </c>
      <c r="M932" s="3">
        <v>42.49</v>
      </c>
      <c r="N932" s="3">
        <v>84.99</v>
      </c>
      <c r="O932" s="2" t="s">
        <v>230</v>
      </c>
      <c r="P932" s="2" t="s">
        <v>231</v>
      </c>
      <c r="Q932" s="2" t="s">
        <v>232</v>
      </c>
      <c r="R932" s="2" t="s">
        <v>233</v>
      </c>
      <c r="S932" s="2" t="s">
        <v>233</v>
      </c>
      <c r="T932" s="2" t="s">
        <v>233</v>
      </c>
      <c r="U932" s="2" t="s">
        <v>329</v>
      </c>
      <c r="V932" s="2" t="s">
        <v>1201</v>
      </c>
      <c r="W932" s="2" t="s">
        <v>818</v>
      </c>
      <c r="X932" s="2" t="s">
        <v>916</v>
      </c>
      <c r="Y932" s="2" t="s">
        <v>2662</v>
      </c>
      <c r="Z932" s="4">
        <v>67</v>
      </c>
      <c r="AA932" s="4">
        <f>=ROUNDDOWN(16.75,0)</f>
      </c>
      <c r="AB932" s="5">
        <v>4</v>
      </c>
      <c r="AC932" s="2" t="s">
        <v>1203</v>
      </c>
      <c r="AD932" s="4">
        <v>100</v>
      </c>
      <c r="AE932" s="4">
        <v>100</v>
      </c>
      <c r="AF932" s="6">
        <v>63</v>
      </c>
      <c r="AG932" s="6"/>
      <c r="AH932" s="7">
        <v>0.9677</v>
      </c>
      <c r="AI932" s="4"/>
      <c r="AJ932" s="4">
        <f>=ROUNDDOWN({0},0)</f>
      </c>
      <c r="AK932" s="5"/>
      <c r="AL932" s="2" t="s">
        <v>233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/>
      <c r="BD932" s="8"/>
      <c r="BE932" s="4"/>
      <c r="BF932" s="8"/>
      <c r="BG932" s="7"/>
      <c r="BH932" s="7"/>
      <c r="BI932" s="7"/>
      <c r="BJ932" s="4">
        <v>33</v>
      </c>
      <c r="BK932" s="8">
        <v>1879.03</v>
      </c>
      <c r="BL932" s="2" t="s">
        <v>4814</v>
      </c>
      <c r="BM932" s="7"/>
      <c r="BN932" s="7"/>
      <c r="BO932" s="4"/>
      <c r="BP932" s="8"/>
      <c r="BQ932" s="4"/>
      <c r="BR932" s="8"/>
      <c r="BS932" s="7"/>
      <c r="BT932" s="7"/>
      <c r="BU932" s="2" t="s">
        <v>4815</v>
      </c>
      <c r="BV932" s="2" t="s">
        <v>233</v>
      </c>
      <c r="BW932" s="2" t="s">
        <v>233</v>
      </c>
      <c r="BX932" s="2" t="s">
        <v>241</v>
      </c>
      <c r="BY932" s="2" t="s">
        <v>242</v>
      </c>
      <c r="BZ932" s="2" t="s">
        <v>230</v>
      </c>
      <c r="CA932" s="2" t="s">
        <v>2672</v>
      </c>
      <c r="CB932" s="2" t="s">
        <v>4816</v>
      </c>
      <c r="CC932" s="2" t="s">
        <v>245</v>
      </c>
      <c r="CD932" s="2" t="s">
        <v>233</v>
      </c>
      <c r="CE932" s="4"/>
      <c r="CF932" s="4">
        <v>67</v>
      </c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>
        <v>100</v>
      </c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>
        <v>78</v>
      </c>
      <c r="GD932" s="4">
        <v>69</v>
      </c>
      <c r="GE932" s="4">
        <v>65</v>
      </c>
      <c r="GF932" s="4">
        <v>60</v>
      </c>
      <c r="GG932" s="4">
        <v>54</v>
      </c>
      <c r="GH932" s="4">
        <v>49</v>
      </c>
      <c r="GI932" s="4">
        <v>44</v>
      </c>
      <c r="GJ932" s="4">
        <v>40</v>
      </c>
      <c r="GK932" s="4">
        <v>36</v>
      </c>
      <c r="GL932" s="4">
        <v>32</v>
      </c>
      <c r="GM932" s="4">
        <v>28</v>
      </c>
      <c r="GN932" s="4">
        <v>24</v>
      </c>
      <c r="GO932" s="4">
        <v>20</v>
      </c>
      <c r="GP932" s="4">
        <v>16</v>
      </c>
      <c r="GQ932" s="4">
        <v>112</v>
      </c>
      <c r="GR932" s="4">
        <v>108</v>
      </c>
      <c r="GS932" s="4">
        <v>104</v>
      </c>
      <c r="GT932" s="4">
        <v>99</v>
      </c>
      <c r="GU932" s="4">
        <v>95</v>
      </c>
      <c r="GV932" s="4">
        <v>91</v>
      </c>
      <c r="GW932" s="4">
        <v>87</v>
      </c>
      <c r="GX932" s="4">
        <v>83</v>
      </c>
      <c r="GY932" s="4">
        <v>79</v>
      </c>
      <c r="GZ932" s="4">
        <v>75</v>
      </c>
      <c r="HA932" s="4">
        <v>71</v>
      </c>
      <c r="HB932" s="4">
        <v>67</v>
      </c>
      <c r="HC932" s="19">
        <v>13</v>
      </c>
      <c r="HD932" s="19">
        <v>13.8</v>
      </c>
      <c r="HE932" s="19">
        <v>13</v>
      </c>
      <c r="HF932" s="19">
        <v>12</v>
      </c>
      <c r="HG932" s="19">
        <v>13.5</v>
      </c>
      <c r="HH932" s="19">
        <v>12.3</v>
      </c>
      <c r="HI932" s="19">
        <v>11</v>
      </c>
      <c r="HJ932" s="19">
        <v>10</v>
      </c>
      <c r="HK932" s="19">
        <v>9</v>
      </c>
      <c r="HL932" s="19">
        <v>8</v>
      </c>
      <c r="HM932" s="19">
        <v>7</v>
      </c>
      <c r="HN932" s="19">
        <v>6</v>
      </c>
      <c r="HO932" s="19">
        <v>5</v>
      </c>
      <c r="HP932" s="19">
        <v>4</v>
      </c>
      <c r="HQ932" s="19">
        <v>28</v>
      </c>
      <c r="HR932" s="19">
        <v>27</v>
      </c>
      <c r="HS932" s="19">
        <v>26</v>
      </c>
      <c r="HT932" s="19">
        <v>24.8</v>
      </c>
      <c r="HU932" s="19">
        <v>23.8</v>
      </c>
      <c r="HV932" s="19">
        <v>22.8</v>
      </c>
      <c r="HW932" s="19">
        <v>21.8</v>
      </c>
      <c r="HX932" s="19">
        <v>20.8</v>
      </c>
      <c r="HY932" s="19">
        <v>19.8</v>
      </c>
      <c r="HZ932" s="19">
        <v>18.8</v>
      </c>
      <c r="IA932" s="19">
        <v>17.8</v>
      </c>
      <c r="IB932" s="19">
        <v>16.8</v>
      </c>
    </row>
    <row r="933">
      <c r="A933" s="2" t="s">
        <v>4817</v>
      </c>
      <c r="B933" s="2" t="s">
        <v>279</v>
      </c>
      <c r="C933" s="2" t="s">
        <v>280</v>
      </c>
      <c r="D933" s="2" t="s">
        <v>281</v>
      </c>
      <c r="E933" s="2" t="s">
        <v>282</v>
      </c>
      <c r="F933" s="2" t="s">
        <v>4818</v>
      </c>
      <c r="G933" s="2" t="s">
        <v>4818</v>
      </c>
      <c r="H933" s="2" t="s">
        <v>4818</v>
      </c>
      <c r="I933" s="2" t="s">
        <v>4819</v>
      </c>
      <c r="J933" s="2" t="s">
        <v>228</v>
      </c>
      <c r="K933" s="2" t="s">
        <v>434</v>
      </c>
      <c r="L933" s="3">
        <v>21.6</v>
      </c>
      <c r="M933" s="3">
        <v>22.68</v>
      </c>
      <c r="N933" s="3">
        <v>47.99</v>
      </c>
      <c r="O933" s="2" t="s">
        <v>230</v>
      </c>
      <c r="P933" s="2" t="s">
        <v>231</v>
      </c>
      <c r="Q933" s="2" t="s">
        <v>232</v>
      </c>
      <c r="R933" s="2" t="s">
        <v>233</v>
      </c>
      <c r="S933" s="2" t="s">
        <v>4820</v>
      </c>
      <c r="T933" s="2" t="s">
        <v>348</v>
      </c>
      <c r="U933" s="2" t="s">
        <v>781</v>
      </c>
      <c r="V933" s="2" t="s">
        <v>236</v>
      </c>
      <c r="W933" s="2" t="s">
        <v>237</v>
      </c>
      <c r="X933" s="2" t="s">
        <v>233</v>
      </c>
      <c r="Y933" s="2" t="s">
        <v>4821</v>
      </c>
      <c r="Z933" s="4">
        <v>74</v>
      </c>
      <c r="AA933" s="4">
        <f>=ROUNDDOWN(37,0)</f>
      </c>
      <c r="AB933" s="5">
        <v>2</v>
      </c>
      <c r="AC933" s="2" t="s">
        <v>178</v>
      </c>
      <c r="AD933" s="4">
        <v>50</v>
      </c>
      <c r="AE933" s="4">
        <v>90</v>
      </c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233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233</v>
      </c>
      <c r="AW933" s="8" t="s">
        <v>233</v>
      </c>
      <c r="AX933" s="4" t="s">
        <v>233</v>
      </c>
      <c r="AY933" s="8" t="s">
        <v>233</v>
      </c>
      <c r="AZ933" s="7" t="s">
        <v>233</v>
      </c>
      <c r="BA933" s="7" t="s">
        <v>233</v>
      </c>
      <c r="BB933" s="7"/>
      <c r="BC933" s="4" t="s">
        <v>233</v>
      </c>
      <c r="BD933" s="8" t="s">
        <v>233</v>
      </c>
      <c r="BE933" s="4" t="s">
        <v>233</v>
      </c>
      <c r="BF933" s="8" t="s">
        <v>233</v>
      </c>
      <c r="BG933" s="7" t="s">
        <v>233</v>
      </c>
      <c r="BH933" s="7" t="s">
        <v>233</v>
      </c>
      <c r="BI933" s="7"/>
      <c r="BJ933" s="4">
        <v>8</v>
      </c>
      <c r="BK933" s="8">
        <v>194.46</v>
      </c>
      <c r="BL933" s="2" t="s">
        <v>4822</v>
      </c>
      <c r="BM933" s="7"/>
      <c r="BN933" s="7"/>
      <c r="BO933" s="4"/>
      <c r="BP933" s="8"/>
      <c r="BQ933" s="4"/>
      <c r="BR933" s="8"/>
      <c r="BS933" s="7"/>
      <c r="BT933" s="7"/>
      <c r="BU933" s="2" t="s">
        <v>4823</v>
      </c>
      <c r="BV933" s="2" t="s">
        <v>233</v>
      </c>
      <c r="BW933" s="2" t="s">
        <v>233</v>
      </c>
      <c r="BX933" s="2" t="s">
        <v>241</v>
      </c>
      <c r="BY933" s="2" t="s">
        <v>242</v>
      </c>
      <c r="BZ933" s="2" t="s">
        <v>230</v>
      </c>
      <c r="CA933" s="2" t="s">
        <v>4824</v>
      </c>
      <c r="CB933" s="2" t="s">
        <v>4825</v>
      </c>
      <c r="CC933" s="2" t="s">
        <v>245</v>
      </c>
      <c r="CD933" s="2" t="s">
        <v>233</v>
      </c>
      <c r="CE933" s="4">
        <v>74</v>
      </c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>
        <v>50</v>
      </c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>
        <v>40</v>
      </c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>
        <v>77</v>
      </c>
      <c r="GD933" s="4">
        <v>73</v>
      </c>
      <c r="GE933" s="4">
        <v>71</v>
      </c>
      <c r="GF933" s="4">
        <v>68</v>
      </c>
      <c r="GG933" s="4">
        <v>63</v>
      </c>
      <c r="GH933" s="4">
        <v>58</v>
      </c>
      <c r="GI933" s="4">
        <v>54</v>
      </c>
      <c r="GJ933" s="4">
        <v>52</v>
      </c>
      <c r="GK933" s="4">
        <v>100</v>
      </c>
      <c r="GL933" s="4">
        <v>98</v>
      </c>
      <c r="GM933" s="4">
        <v>96</v>
      </c>
      <c r="GN933" s="4">
        <v>94</v>
      </c>
      <c r="GO933" s="4">
        <v>132</v>
      </c>
      <c r="GP933" s="4">
        <v>130</v>
      </c>
      <c r="GQ933" s="4">
        <v>128</v>
      </c>
      <c r="GR933" s="4">
        <v>126</v>
      </c>
      <c r="GS933" s="4">
        <v>124</v>
      </c>
      <c r="GT933" s="4">
        <v>122</v>
      </c>
      <c r="GU933" s="4">
        <v>120</v>
      </c>
      <c r="GV933" s="4">
        <v>118</v>
      </c>
      <c r="GW933" s="4">
        <v>116</v>
      </c>
      <c r="GX933" s="4">
        <v>114</v>
      </c>
      <c r="GY933" s="4">
        <v>112</v>
      </c>
      <c r="GZ933" s="4">
        <v>110</v>
      </c>
      <c r="HA933" s="4">
        <v>108</v>
      </c>
      <c r="HB933" s="4">
        <v>106</v>
      </c>
      <c r="HC933" s="19">
        <v>19.3</v>
      </c>
      <c r="HD933" s="19">
        <v>18.3</v>
      </c>
      <c r="HE933" s="19">
        <v>17.8</v>
      </c>
      <c r="HF933" s="19">
        <v>17</v>
      </c>
      <c r="HG933" s="19">
        <v>21</v>
      </c>
      <c r="HH933" s="19">
        <v>29</v>
      </c>
      <c r="HI933" s="19">
        <v>27</v>
      </c>
      <c r="HJ933" s="19">
        <v>26</v>
      </c>
      <c r="HK933" s="19">
        <v>50</v>
      </c>
      <c r="HL933" s="19">
        <v>49</v>
      </c>
      <c r="HM933" s="19">
        <v>48</v>
      </c>
      <c r="HN933" s="19">
        <v>47</v>
      </c>
      <c r="HO933" s="19">
        <v>66</v>
      </c>
      <c r="HP933" s="19">
        <v>65</v>
      </c>
      <c r="HQ933" s="19">
        <v>64</v>
      </c>
      <c r="HR933" s="19">
        <v>63</v>
      </c>
      <c r="HS933" s="19">
        <v>62</v>
      </c>
      <c r="HT933" s="19">
        <v>61</v>
      </c>
      <c r="HU933" s="19">
        <v>60</v>
      </c>
      <c r="HV933" s="19">
        <v>59</v>
      </c>
      <c r="HW933" s="19">
        <v>58</v>
      </c>
      <c r="HX933" s="19">
        <v>57</v>
      </c>
      <c r="HY933" s="19">
        <v>56</v>
      </c>
      <c r="HZ933" s="19">
        <v>55</v>
      </c>
      <c r="IA933" s="19">
        <v>54</v>
      </c>
      <c r="IB933" s="19">
        <v>53</v>
      </c>
    </row>
    <row r="934">
      <c r="A934" s="2" t="s">
        <v>4826</v>
      </c>
      <c r="B934" s="2" t="s">
        <v>279</v>
      </c>
      <c r="C934" s="2" t="s">
        <v>280</v>
      </c>
      <c r="D934" s="2" t="s">
        <v>281</v>
      </c>
      <c r="E934" s="2" t="s">
        <v>282</v>
      </c>
      <c r="F934" s="2" t="s">
        <v>4818</v>
      </c>
      <c r="G934" s="2" t="s">
        <v>4818</v>
      </c>
      <c r="H934" s="2" t="s">
        <v>4818</v>
      </c>
      <c r="I934" s="2" t="s">
        <v>4819</v>
      </c>
      <c r="J934" s="2" t="s">
        <v>252</v>
      </c>
      <c r="K934" s="2" t="s">
        <v>434</v>
      </c>
      <c r="L934" s="3">
        <v>27</v>
      </c>
      <c r="M934" s="3">
        <v>28.35</v>
      </c>
      <c r="N934" s="3">
        <v>59.99</v>
      </c>
      <c r="O934" s="2" t="s">
        <v>230</v>
      </c>
      <c r="P934" s="2" t="s">
        <v>231</v>
      </c>
      <c r="Q934" s="2" t="s">
        <v>232</v>
      </c>
      <c r="R934" s="2" t="s">
        <v>233</v>
      </c>
      <c r="S934" s="2" t="s">
        <v>4820</v>
      </c>
      <c r="T934" s="2" t="s">
        <v>348</v>
      </c>
      <c r="U934" s="2" t="s">
        <v>287</v>
      </c>
      <c r="V934" s="2" t="s">
        <v>236</v>
      </c>
      <c r="W934" s="2" t="s">
        <v>237</v>
      </c>
      <c r="X934" s="2" t="s">
        <v>233</v>
      </c>
      <c r="Y934" s="2" t="s">
        <v>4821</v>
      </c>
      <c r="Z934" s="4">
        <v>54</v>
      </c>
      <c r="AA934" s="4">
        <f>=ROUNDDOWN(22.5,0)</f>
      </c>
      <c r="AB934" s="5">
        <v>2.4</v>
      </c>
      <c r="AC934" s="2" t="s">
        <v>138</v>
      </c>
      <c r="AD934" s="4">
        <v>3</v>
      </c>
      <c r="AE934" s="4">
        <v>123</v>
      </c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233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233</v>
      </c>
      <c r="AW934" s="8" t="s">
        <v>233</v>
      </c>
      <c r="AX934" s="4" t="s">
        <v>233</v>
      </c>
      <c r="AY934" s="8" t="s">
        <v>233</v>
      </c>
      <c r="AZ934" s="7" t="s">
        <v>233</v>
      </c>
      <c r="BA934" s="7" t="s">
        <v>233</v>
      </c>
      <c r="BB934" s="7"/>
      <c r="BC934" s="4" t="s">
        <v>233</v>
      </c>
      <c r="BD934" s="8" t="s">
        <v>233</v>
      </c>
      <c r="BE934" s="4" t="s">
        <v>233</v>
      </c>
      <c r="BF934" s="8" t="s">
        <v>233</v>
      </c>
      <c r="BG934" s="7" t="s">
        <v>233</v>
      </c>
      <c r="BH934" s="7" t="s">
        <v>233</v>
      </c>
      <c r="BI934" s="7"/>
      <c r="BJ934" s="4">
        <v>8</v>
      </c>
      <c r="BK934" s="8">
        <v>235.21</v>
      </c>
      <c r="BL934" s="2" t="s">
        <v>538</v>
      </c>
      <c r="BM934" s="7"/>
      <c r="BN934" s="7"/>
      <c r="BO934" s="4"/>
      <c r="BP934" s="8"/>
      <c r="BQ934" s="4"/>
      <c r="BR934" s="8"/>
      <c r="BS934" s="7"/>
      <c r="BT934" s="7"/>
      <c r="BU934" s="2" t="s">
        <v>4823</v>
      </c>
      <c r="BV934" s="2" t="s">
        <v>233</v>
      </c>
      <c r="BW934" s="2" t="s">
        <v>233</v>
      </c>
      <c r="BX934" s="2" t="s">
        <v>241</v>
      </c>
      <c r="BY934" s="2" t="s">
        <v>242</v>
      </c>
      <c r="BZ934" s="2" t="s">
        <v>230</v>
      </c>
      <c r="CA934" s="2" t="s">
        <v>4824</v>
      </c>
      <c r="CB934" s="2" t="s">
        <v>4827</v>
      </c>
      <c r="CC934" s="2" t="s">
        <v>245</v>
      </c>
      <c r="CD934" s="2" t="s">
        <v>233</v>
      </c>
      <c r="CE934" s="4">
        <v>54</v>
      </c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>
        <v>3</v>
      </c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>
        <v>80</v>
      </c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>
        <v>40</v>
      </c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>
        <v>55</v>
      </c>
      <c r="GD934" s="4">
        <v>53</v>
      </c>
      <c r="GE934" s="4">
        <v>54</v>
      </c>
      <c r="GF934" s="4">
        <v>51</v>
      </c>
      <c r="GG934" s="4">
        <v>46</v>
      </c>
      <c r="GH934" s="4">
        <v>41</v>
      </c>
      <c r="GI934" s="4">
        <v>37</v>
      </c>
      <c r="GJ934" s="4">
        <v>35</v>
      </c>
      <c r="GK934" s="4">
        <v>113</v>
      </c>
      <c r="GL934" s="4">
        <v>111</v>
      </c>
      <c r="GM934" s="4">
        <v>109</v>
      </c>
      <c r="GN934" s="4">
        <v>107</v>
      </c>
      <c r="GO934" s="4">
        <v>145</v>
      </c>
      <c r="GP934" s="4">
        <v>143</v>
      </c>
      <c r="GQ934" s="4">
        <v>141</v>
      </c>
      <c r="GR934" s="4">
        <v>139</v>
      </c>
      <c r="GS934" s="4">
        <v>137</v>
      </c>
      <c r="GT934" s="4">
        <v>135</v>
      </c>
      <c r="GU934" s="4">
        <v>133</v>
      </c>
      <c r="GV934" s="4">
        <v>131</v>
      </c>
      <c r="GW934" s="4">
        <v>129</v>
      </c>
      <c r="GX934" s="4">
        <v>127</v>
      </c>
      <c r="GY934" s="4">
        <v>125</v>
      </c>
      <c r="GZ934" s="4">
        <v>123</v>
      </c>
      <c r="HA934" s="4">
        <v>121</v>
      </c>
      <c r="HB934" s="4">
        <v>119</v>
      </c>
      <c r="HC934" s="19">
        <v>18.3</v>
      </c>
      <c r="HD934" s="19">
        <v>13.3</v>
      </c>
      <c r="HE934" s="19">
        <v>13.5</v>
      </c>
      <c r="HF934" s="19">
        <v>12.8</v>
      </c>
      <c r="HG934" s="19">
        <v>15.3</v>
      </c>
      <c r="HH934" s="19">
        <v>20.5</v>
      </c>
      <c r="HI934" s="19">
        <v>18.5</v>
      </c>
      <c r="HJ934" s="19">
        <v>17.5</v>
      </c>
      <c r="HK934" s="19">
        <v>56.5</v>
      </c>
      <c r="HL934" s="19">
        <v>55.5</v>
      </c>
      <c r="HM934" s="19">
        <v>54.5</v>
      </c>
      <c r="HN934" s="19">
        <v>53.5</v>
      </c>
      <c r="HO934" s="19">
        <v>72.5</v>
      </c>
      <c r="HP934" s="19">
        <v>71.5</v>
      </c>
      <c r="HQ934" s="19">
        <v>70.5</v>
      </c>
      <c r="HR934" s="19">
        <v>69.5</v>
      </c>
      <c r="HS934" s="19">
        <v>68.5</v>
      </c>
      <c r="HT934" s="19">
        <v>67.5</v>
      </c>
      <c r="HU934" s="19">
        <v>66.5</v>
      </c>
      <c r="HV934" s="19">
        <v>65.5</v>
      </c>
      <c r="HW934" s="19">
        <v>64.5</v>
      </c>
      <c r="HX934" s="19">
        <v>63.5</v>
      </c>
      <c r="HY934" s="19">
        <v>62.5</v>
      </c>
      <c r="HZ934" s="19">
        <v>61.5</v>
      </c>
      <c r="IA934" s="19">
        <v>60.5</v>
      </c>
      <c r="IB934" s="19">
        <v>59.5</v>
      </c>
    </row>
    <row r="935">
      <c r="A935" s="2" t="s">
        <v>4828</v>
      </c>
      <c r="B935" s="2" t="s">
        <v>279</v>
      </c>
      <c r="C935" s="2" t="s">
        <v>280</v>
      </c>
      <c r="D935" s="2" t="s">
        <v>281</v>
      </c>
      <c r="E935" s="2" t="s">
        <v>282</v>
      </c>
      <c r="F935" s="2" t="s">
        <v>4818</v>
      </c>
      <c r="G935" s="2" t="s">
        <v>4818</v>
      </c>
      <c r="H935" s="2" t="s">
        <v>4818</v>
      </c>
      <c r="I935" s="2" t="s">
        <v>4819</v>
      </c>
      <c r="J935" s="2" t="s">
        <v>336</v>
      </c>
      <c r="K935" s="2" t="s">
        <v>434</v>
      </c>
      <c r="L935" s="3">
        <v>29.9</v>
      </c>
      <c r="M935" s="3">
        <v>31.4</v>
      </c>
      <c r="N935" s="3">
        <v>64.99</v>
      </c>
      <c r="O935" s="2" t="s">
        <v>230</v>
      </c>
      <c r="P935" s="2" t="s">
        <v>231</v>
      </c>
      <c r="Q935" s="2" t="s">
        <v>232</v>
      </c>
      <c r="R935" s="2" t="s">
        <v>233</v>
      </c>
      <c r="S935" s="2" t="s">
        <v>4820</v>
      </c>
      <c r="T935" s="2" t="s">
        <v>348</v>
      </c>
      <c r="U935" s="2" t="s">
        <v>287</v>
      </c>
      <c r="V935" s="2" t="s">
        <v>236</v>
      </c>
      <c r="W935" s="2" t="s">
        <v>237</v>
      </c>
      <c r="X935" s="2" t="s">
        <v>233</v>
      </c>
      <c r="Y935" s="2" t="s">
        <v>4821</v>
      </c>
      <c r="Z935" s="4">
        <v>88</v>
      </c>
      <c r="AA935" s="4">
        <f>=ROUNDDOWN(9.56521739130435,0)</f>
      </c>
      <c r="AB935" s="5">
        <v>9.2</v>
      </c>
      <c r="AC935" s="2" t="s">
        <v>138</v>
      </c>
      <c r="AD935" s="4">
        <v>22</v>
      </c>
      <c r="AE935" s="4">
        <v>282</v>
      </c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233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233</v>
      </c>
      <c r="AW935" s="8" t="s">
        <v>233</v>
      </c>
      <c r="AX935" s="4" t="s">
        <v>233</v>
      </c>
      <c r="AY935" s="8" t="s">
        <v>233</v>
      </c>
      <c r="AZ935" s="7" t="s">
        <v>233</v>
      </c>
      <c r="BA935" s="7" t="s">
        <v>233</v>
      </c>
      <c r="BB935" s="7"/>
      <c r="BC935" s="4" t="s">
        <v>233</v>
      </c>
      <c r="BD935" s="8" t="s">
        <v>233</v>
      </c>
      <c r="BE935" s="4" t="s">
        <v>233</v>
      </c>
      <c r="BF935" s="8" t="s">
        <v>233</v>
      </c>
      <c r="BG935" s="7" t="s">
        <v>233</v>
      </c>
      <c r="BH935" s="7" t="s">
        <v>233</v>
      </c>
      <c r="BI935" s="7"/>
      <c r="BJ935" s="4">
        <v>54</v>
      </c>
      <c r="BK935" s="8">
        <v>1743.53</v>
      </c>
      <c r="BL935" s="2" t="s">
        <v>4829</v>
      </c>
      <c r="BM935" s="7"/>
      <c r="BN935" s="7"/>
      <c r="BO935" s="4"/>
      <c r="BP935" s="8"/>
      <c r="BQ935" s="4"/>
      <c r="BR935" s="8"/>
      <c r="BS935" s="7"/>
      <c r="BT935" s="7"/>
      <c r="BU935" s="2" t="s">
        <v>4823</v>
      </c>
      <c r="BV935" s="2" t="s">
        <v>233</v>
      </c>
      <c r="BW935" s="2" t="s">
        <v>233</v>
      </c>
      <c r="BX935" s="2" t="s">
        <v>241</v>
      </c>
      <c r="BY935" s="2" t="s">
        <v>242</v>
      </c>
      <c r="BZ935" s="2" t="s">
        <v>230</v>
      </c>
      <c r="CA935" s="2" t="s">
        <v>4824</v>
      </c>
      <c r="CB935" s="2" t="s">
        <v>4830</v>
      </c>
      <c r="CC935" s="2" t="s">
        <v>245</v>
      </c>
      <c r="CD935" s="2" t="s">
        <v>233</v>
      </c>
      <c r="CE935" s="4">
        <v>88</v>
      </c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>
        <v>22</v>
      </c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>
        <v>100</v>
      </c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>
        <v>160</v>
      </c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>
        <v>92</v>
      </c>
      <c r="GD935" s="4">
        <v>83</v>
      </c>
      <c r="GE935" s="4">
        <v>96</v>
      </c>
      <c r="GF935" s="4">
        <v>86</v>
      </c>
      <c r="GG935" s="4">
        <v>65</v>
      </c>
      <c r="GH935" s="4">
        <v>45</v>
      </c>
      <c r="GI935" s="4">
        <v>29</v>
      </c>
      <c r="GJ935" s="4">
        <v>20</v>
      </c>
      <c r="GK935" s="4">
        <v>114</v>
      </c>
      <c r="GL935" s="4">
        <v>105</v>
      </c>
      <c r="GM935" s="4">
        <v>96</v>
      </c>
      <c r="GN935" s="4">
        <v>87</v>
      </c>
      <c r="GO935" s="4">
        <v>238</v>
      </c>
      <c r="GP935" s="4">
        <v>229</v>
      </c>
      <c r="GQ935" s="4">
        <v>220</v>
      </c>
      <c r="GR935" s="4">
        <v>211</v>
      </c>
      <c r="GS935" s="4">
        <v>202</v>
      </c>
      <c r="GT935" s="4">
        <v>193</v>
      </c>
      <c r="GU935" s="4">
        <v>184</v>
      </c>
      <c r="GV935" s="4">
        <v>175</v>
      </c>
      <c r="GW935" s="4">
        <v>166</v>
      </c>
      <c r="GX935" s="4">
        <v>157</v>
      </c>
      <c r="GY935" s="4">
        <v>148</v>
      </c>
      <c r="GZ935" s="4">
        <v>139</v>
      </c>
      <c r="HA935" s="4">
        <v>130</v>
      </c>
      <c r="HB935" s="4">
        <v>121</v>
      </c>
      <c r="HC935" s="19">
        <v>7.7</v>
      </c>
      <c r="HD935" s="19">
        <v>5.5</v>
      </c>
      <c r="HE935" s="19">
        <v>5.6</v>
      </c>
      <c r="HF935" s="19">
        <v>5.4</v>
      </c>
      <c r="HG935" s="19">
        <v>5</v>
      </c>
      <c r="HH935" s="19">
        <v>4.5</v>
      </c>
      <c r="HI935" s="19">
        <v>3.6</v>
      </c>
      <c r="HJ935" s="19">
        <v>2.5</v>
      </c>
      <c r="HK935" s="19">
        <v>12.7</v>
      </c>
      <c r="HL935" s="19">
        <v>11.7</v>
      </c>
      <c r="HM935" s="19">
        <v>10.7</v>
      </c>
      <c r="HN935" s="19">
        <v>9.7</v>
      </c>
      <c r="HO935" s="19">
        <v>26.4</v>
      </c>
      <c r="HP935" s="19">
        <v>25.4</v>
      </c>
      <c r="HQ935" s="19">
        <v>24.4</v>
      </c>
      <c r="HR935" s="19">
        <v>23.4</v>
      </c>
      <c r="HS935" s="19">
        <v>22.4</v>
      </c>
      <c r="HT935" s="19">
        <v>21.4</v>
      </c>
      <c r="HU935" s="19">
        <v>20.4</v>
      </c>
      <c r="HV935" s="19">
        <v>19.4</v>
      </c>
      <c r="HW935" s="19">
        <v>18.4</v>
      </c>
      <c r="HX935" s="19">
        <v>17.4</v>
      </c>
      <c r="HY935" s="19">
        <v>16.4</v>
      </c>
      <c r="HZ935" s="19">
        <v>15.4</v>
      </c>
      <c r="IA935" s="19">
        <v>14.4</v>
      </c>
      <c r="IB935" s="19">
        <v>13.4</v>
      </c>
    </row>
    <row r="936">
      <c r="A936" s="2" t="s">
        <v>4831</v>
      </c>
      <c r="B936" s="2" t="s">
        <v>279</v>
      </c>
      <c r="C936" s="2" t="s">
        <v>280</v>
      </c>
      <c r="D936" s="2" t="s">
        <v>281</v>
      </c>
      <c r="E936" s="2" t="s">
        <v>282</v>
      </c>
      <c r="F936" s="2" t="s">
        <v>4818</v>
      </c>
      <c r="G936" s="2" t="s">
        <v>4818</v>
      </c>
      <c r="H936" s="2" t="s">
        <v>4818</v>
      </c>
      <c r="I936" s="2" t="s">
        <v>4819</v>
      </c>
      <c r="J936" s="2" t="s">
        <v>285</v>
      </c>
      <c r="K936" s="2" t="s">
        <v>434</v>
      </c>
      <c r="L936" s="3">
        <v>32.2</v>
      </c>
      <c r="M936" s="3">
        <v>33.81</v>
      </c>
      <c r="N936" s="3">
        <v>69.99</v>
      </c>
      <c r="O936" s="2" t="s">
        <v>230</v>
      </c>
      <c r="P936" s="2" t="s">
        <v>231</v>
      </c>
      <c r="Q936" s="2" t="s">
        <v>232</v>
      </c>
      <c r="R936" s="2" t="s">
        <v>233</v>
      </c>
      <c r="S936" s="2" t="s">
        <v>4820</v>
      </c>
      <c r="T936" s="2" t="s">
        <v>348</v>
      </c>
      <c r="U936" s="2" t="s">
        <v>287</v>
      </c>
      <c r="V936" s="2" t="s">
        <v>236</v>
      </c>
      <c r="W936" s="2" t="s">
        <v>237</v>
      </c>
      <c r="X936" s="2" t="s">
        <v>233</v>
      </c>
      <c r="Y936" s="2" t="s">
        <v>4821</v>
      </c>
      <c r="Z936" s="4">
        <v>3</v>
      </c>
      <c r="AA936" s="4">
        <f>=ROUNDDOWN(0.75,0)</f>
      </c>
      <c r="AB936" s="5">
        <v>4</v>
      </c>
      <c r="AC936" s="2" t="s">
        <v>178</v>
      </c>
      <c r="AD936" s="4">
        <v>40</v>
      </c>
      <c r="AE936" s="4">
        <v>70</v>
      </c>
      <c r="AF936" s="6">
        <v>65</v>
      </c>
      <c r="AG936" s="6"/>
      <c r="AH936" s="7">
        <v>0</v>
      </c>
      <c r="AI936" s="4"/>
      <c r="AJ936" s="4">
        <f>=ROUNDDOWN({0},0)</f>
      </c>
      <c r="AK936" s="5"/>
      <c r="AL936" s="2" t="s">
        <v>233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233</v>
      </c>
      <c r="AW936" s="8" t="s">
        <v>233</v>
      </c>
      <c r="AX936" s="4" t="s">
        <v>233</v>
      </c>
      <c r="AY936" s="8" t="s">
        <v>233</v>
      </c>
      <c r="AZ936" s="7" t="s">
        <v>233</v>
      </c>
      <c r="BA936" s="7" t="s">
        <v>233</v>
      </c>
      <c r="BB936" s="7"/>
      <c r="BC936" s="4" t="s">
        <v>233</v>
      </c>
      <c r="BD936" s="8" t="s">
        <v>233</v>
      </c>
      <c r="BE936" s="4" t="s">
        <v>233</v>
      </c>
      <c r="BF936" s="8" t="s">
        <v>233</v>
      </c>
      <c r="BG936" s="7" t="s">
        <v>233</v>
      </c>
      <c r="BH936" s="7" t="s">
        <v>233</v>
      </c>
      <c r="BI936" s="7"/>
      <c r="BJ936" s="4"/>
      <c r="BK936" s="8"/>
      <c r="BL936" s="2" t="s">
        <v>233</v>
      </c>
      <c r="BM936" s="7"/>
      <c r="BN936" s="7"/>
      <c r="BO936" s="4"/>
      <c r="BP936" s="8"/>
      <c r="BQ936" s="4"/>
      <c r="BR936" s="8"/>
      <c r="BS936" s="7"/>
      <c r="BT936" s="7"/>
      <c r="BU936" s="2" t="s">
        <v>4823</v>
      </c>
      <c r="BV936" s="2" t="s">
        <v>233</v>
      </c>
      <c r="BW936" s="2" t="s">
        <v>233</v>
      </c>
      <c r="BX936" s="2" t="s">
        <v>241</v>
      </c>
      <c r="BY936" s="2" t="s">
        <v>242</v>
      </c>
      <c r="BZ936" s="2" t="s">
        <v>230</v>
      </c>
      <c r="CA936" s="2" t="s">
        <v>4824</v>
      </c>
      <c r="CB936" s="2" t="s">
        <v>4832</v>
      </c>
      <c r="CC936" s="2" t="s">
        <v>245</v>
      </c>
      <c r="CD936" s="2" t="s">
        <v>233</v>
      </c>
      <c r="CE936" s="4">
        <v>3</v>
      </c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>
        <v>40</v>
      </c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>
        <v>30</v>
      </c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>
        <v>3</v>
      </c>
      <c r="GD936" s="4">
        <v>1</v>
      </c>
      <c r="GE936" s="4"/>
      <c r="GF936" s="4"/>
      <c r="GG936" s="4"/>
      <c r="GH936" s="4"/>
      <c r="GI936" s="4"/>
      <c r="GJ936" s="4"/>
      <c r="GK936" s="4">
        <v>40</v>
      </c>
      <c r="GL936" s="4">
        <v>36</v>
      </c>
      <c r="GM936" s="4">
        <v>32</v>
      </c>
      <c r="GN936" s="4">
        <v>28</v>
      </c>
      <c r="GO936" s="4">
        <v>54</v>
      </c>
      <c r="GP936" s="4">
        <v>50</v>
      </c>
      <c r="GQ936" s="4">
        <v>46</v>
      </c>
      <c r="GR936" s="4">
        <v>42</v>
      </c>
      <c r="GS936" s="4">
        <v>38</v>
      </c>
      <c r="GT936" s="4">
        <v>34</v>
      </c>
      <c r="GU936" s="4">
        <v>30</v>
      </c>
      <c r="GV936" s="4">
        <v>68</v>
      </c>
      <c r="GW936" s="4">
        <v>64</v>
      </c>
      <c r="GX936" s="4">
        <v>60</v>
      </c>
      <c r="GY936" s="4">
        <v>56</v>
      </c>
      <c r="GZ936" s="4">
        <v>52</v>
      </c>
      <c r="HA936" s="4">
        <v>48</v>
      </c>
      <c r="HB936" s="4">
        <v>44</v>
      </c>
      <c r="HC936" s="19">
        <v>0.6</v>
      </c>
      <c r="HD936" s="19">
        <v>0.1</v>
      </c>
      <c r="HE936" s="20">
        <v>0</v>
      </c>
      <c r="HF936" s="20">
        <v>0</v>
      </c>
      <c r="HG936" s="20">
        <v>0</v>
      </c>
      <c r="HH936" s="20">
        <v>0</v>
      </c>
      <c r="HI936" s="20">
        <v>0</v>
      </c>
      <c r="HJ936" s="20">
        <v>0</v>
      </c>
      <c r="HK936" s="19">
        <v>10</v>
      </c>
      <c r="HL936" s="19">
        <v>9</v>
      </c>
      <c r="HM936" s="19">
        <v>8</v>
      </c>
      <c r="HN936" s="19">
        <v>7</v>
      </c>
      <c r="HO936" s="19">
        <v>13.5</v>
      </c>
      <c r="HP936" s="19">
        <v>12.5</v>
      </c>
      <c r="HQ936" s="19">
        <v>11.5</v>
      </c>
      <c r="HR936" s="19">
        <v>10.5</v>
      </c>
      <c r="HS936" s="19">
        <v>9.5</v>
      </c>
      <c r="HT936" s="19">
        <v>8.5</v>
      </c>
      <c r="HU936" s="19">
        <v>7.5</v>
      </c>
      <c r="HV936" s="19">
        <v>17</v>
      </c>
      <c r="HW936" s="19">
        <v>16</v>
      </c>
      <c r="HX936" s="19">
        <v>15</v>
      </c>
      <c r="HY936" s="19">
        <v>14</v>
      </c>
      <c r="HZ936" s="19">
        <v>13</v>
      </c>
      <c r="IA936" s="19">
        <v>12</v>
      </c>
      <c r="IB936" s="19">
        <v>11</v>
      </c>
    </row>
    <row r="937">
      <c r="A937" s="2" t="s">
        <v>4833</v>
      </c>
      <c r="B937" s="2" t="s">
        <v>279</v>
      </c>
      <c r="C937" s="2" t="s">
        <v>280</v>
      </c>
      <c r="D937" s="2" t="s">
        <v>281</v>
      </c>
      <c r="E937" s="2" t="s">
        <v>282</v>
      </c>
      <c r="F937" s="2" t="s">
        <v>4818</v>
      </c>
      <c r="G937" s="2" t="s">
        <v>4818</v>
      </c>
      <c r="H937" s="2" t="s">
        <v>4818</v>
      </c>
      <c r="I937" s="2" t="s">
        <v>4819</v>
      </c>
      <c r="J937" s="2" t="s">
        <v>228</v>
      </c>
      <c r="K937" s="2" t="s">
        <v>300</v>
      </c>
      <c r="L937" s="3">
        <v>21.6</v>
      </c>
      <c r="M937" s="3">
        <v>22.68</v>
      </c>
      <c r="N937" s="3">
        <v>47.99</v>
      </c>
      <c r="O937" s="2" t="s">
        <v>230</v>
      </c>
      <c r="P937" s="2" t="s">
        <v>231</v>
      </c>
      <c r="Q937" s="2" t="s">
        <v>232</v>
      </c>
      <c r="R937" s="2" t="s">
        <v>233</v>
      </c>
      <c r="S937" s="2" t="s">
        <v>4834</v>
      </c>
      <c r="T937" s="2" t="s">
        <v>348</v>
      </c>
      <c r="U937" s="2" t="s">
        <v>781</v>
      </c>
      <c r="V937" s="2" t="s">
        <v>236</v>
      </c>
      <c r="W937" s="2" t="s">
        <v>237</v>
      </c>
      <c r="X937" s="2" t="s">
        <v>233</v>
      </c>
      <c r="Y937" s="2" t="s">
        <v>4821</v>
      </c>
      <c r="Z937" s="4">
        <v>100</v>
      </c>
      <c r="AA937" s="4">
        <f>=ROUNDDOWN(50,0)</f>
      </c>
      <c r="AB937" s="5">
        <v>2</v>
      </c>
      <c r="AC937" s="2" t="s">
        <v>138</v>
      </c>
      <c r="AD937" s="4">
        <v>80</v>
      </c>
      <c r="AE937" s="4">
        <v>80</v>
      </c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233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233</v>
      </c>
      <c r="AW937" s="8" t="s">
        <v>233</v>
      </c>
      <c r="AX937" s="4" t="s">
        <v>233</v>
      </c>
      <c r="AY937" s="8" t="s">
        <v>233</v>
      </c>
      <c r="AZ937" s="7" t="s">
        <v>233</v>
      </c>
      <c r="BA937" s="7" t="s">
        <v>233</v>
      </c>
      <c r="BB937" s="7"/>
      <c r="BC937" s="4" t="s">
        <v>233</v>
      </c>
      <c r="BD937" s="8" t="s">
        <v>233</v>
      </c>
      <c r="BE937" s="4" t="s">
        <v>233</v>
      </c>
      <c r="BF937" s="8" t="s">
        <v>233</v>
      </c>
      <c r="BG937" s="7" t="s">
        <v>233</v>
      </c>
      <c r="BH937" s="7" t="s">
        <v>233</v>
      </c>
      <c r="BI937" s="7"/>
      <c r="BJ937" s="4">
        <v>8</v>
      </c>
      <c r="BK937" s="8">
        <v>186.82</v>
      </c>
      <c r="BL937" s="2" t="s">
        <v>507</v>
      </c>
      <c r="BM937" s="7"/>
      <c r="BN937" s="7"/>
      <c r="BO937" s="4"/>
      <c r="BP937" s="8"/>
      <c r="BQ937" s="4"/>
      <c r="BR937" s="8"/>
      <c r="BS937" s="7"/>
      <c r="BT937" s="7"/>
      <c r="BU937" s="2" t="s">
        <v>4823</v>
      </c>
      <c r="BV937" s="2" t="s">
        <v>233</v>
      </c>
      <c r="BW937" s="2" t="s">
        <v>233</v>
      </c>
      <c r="BX937" s="2" t="s">
        <v>241</v>
      </c>
      <c r="BY937" s="2" t="s">
        <v>242</v>
      </c>
      <c r="BZ937" s="2" t="s">
        <v>230</v>
      </c>
      <c r="CA937" s="2" t="s">
        <v>4824</v>
      </c>
      <c r="CB937" s="2" t="s">
        <v>2397</v>
      </c>
      <c r="CC937" s="2" t="s">
        <v>245</v>
      </c>
      <c r="CD937" s="2" t="s">
        <v>233</v>
      </c>
      <c r="CE937" s="4">
        <v>100</v>
      </c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>
        <v>80</v>
      </c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>
        <v>100</v>
      </c>
      <c r="GD937" s="4">
        <v>99</v>
      </c>
      <c r="GE937" s="4">
        <v>177</v>
      </c>
      <c r="GF937" s="4">
        <v>174</v>
      </c>
      <c r="GG937" s="4">
        <v>169</v>
      </c>
      <c r="GH937" s="4">
        <v>164</v>
      </c>
      <c r="GI937" s="4">
        <v>160</v>
      </c>
      <c r="GJ937" s="4">
        <v>158</v>
      </c>
      <c r="GK937" s="4">
        <v>156</v>
      </c>
      <c r="GL937" s="4">
        <v>154</v>
      </c>
      <c r="GM937" s="4">
        <v>152</v>
      </c>
      <c r="GN937" s="4">
        <v>150</v>
      </c>
      <c r="GO937" s="4">
        <v>148</v>
      </c>
      <c r="GP937" s="4">
        <v>146</v>
      </c>
      <c r="GQ937" s="4">
        <v>144</v>
      </c>
      <c r="GR937" s="4">
        <v>142</v>
      </c>
      <c r="GS937" s="4">
        <v>140</v>
      </c>
      <c r="GT937" s="4">
        <v>138</v>
      </c>
      <c r="GU937" s="4">
        <v>136</v>
      </c>
      <c r="GV937" s="4">
        <v>134</v>
      </c>
      <c r="GW937" s="4">
        <v>132</v>
      </c>
      <c r="GX937" s="4">
        <v>130</v>
      </c>
      <c r="GY937" s="4">
        <v>128</v>
      </c>
      <c r="GZ937" s="4">
        <v>126</v>
      </c>
      <c r="HA937" s="4">
        <v>124</v>
      </c>
      <c r="HB937" s="4">
        <v>122</v>
      </c>
      <c r="HC937" s="19">
        <v>33.3</v>
      </c>
      <c r="HD937" s="19">
        <v>24.8</v>
      </c>
      <c r="HE937" s="19">
        <v>44.3</v>
      </c>
      <c r="HF937" s="19">
        <v>43.5</v>
      </c>
      <c r="HG937" s="19">
        <v>56.3</v>
      </c>
      <c r="HH937" s="19">
        <v>82</v>
      </c>
      <c r="HI937" s="19">
        <v>80</v>
      </c>
      <c r="HJ937" s="19">
        <v>79</v>
      </c>
      <c r="HK937" s="19">
        <v>78</v>
      </c>
      <c r="HL937" s="19">
        <v>77</v>
      </c>
      <c r="HM937" s="19">
        <v>76</v>
      </c>
      <c r="HN937" s="19">
        <v>75</v>
      </c>
      <c r="HO937" s="19">
        <v>74</v>
      </c>
      <c r="HP937" s="19">
        <v>73</v>
      </c>
      <c r="HQ937" s="19">
        <v>72</v>
      </c>
      <c r="HR937" s="19">
        <v>71</v>
      </c>
      <c r="HS937" s="19">
        <v>70</v>
      </c>
      <c r="HT937" s="19">
        <v>69</v>
      </c>
      <c r="HU937" s="19">
        <v>68</v>
      </c>
      <c r="HV937" s="19">
        <v>67</v>
      </c>
      <c r="HW937" s="19">
        <v>66</v>
      </c>
      <c r="HX937" s="19">
        <v>65</v>
      </c>
      <c r="HY937" s="19">
        <v>64</v>
      </c>
      <c r="HZ937" s="19">
        <v>63</v>
      </c>
      <c r="IA937" s="19">
        <v>62</v>
      </c>
      <c r="IB937" s="19">
        <v>61</v>
      </c>
    </row>
    <row r="938">
      <c r="A938" s="2" t="s">
        <v>4835</v>
      </c>
      <c r="B938" s="2" t="s">
        <v>279</v>
      </c>
      <c r="C938" s="2" t="s">
        <v>280</v>
      </c>
      <c r="D938" s="2" t="s">
        <v>281</v>
      </c>
      <c r="E938" s="2" t="s">
        <v>282</v>
      </c>
      <c r="F938" s="2" t="s">
        <v>4818</v>
      </c>
      <c r="G938" s="2" t="s">
        <v>4818</v>
      </c>
      <c r="H938" s="2" t="s">
        <v>4818</v>
      </c>
      <c r="I938" s="2" t="s">
        <v>4819</v>
      </c>
      <c r="J938" s="2" t="s">
        <v>252</v>
      </c>
      <c r="K938" s="2" t="s">
        <v>300</v>
      </c>
      <c r="L938" s="3">
        <v>27</v>
      </c>
      <c r="M938" s="3">
        <v>28.35</v>
      </c>
      <c r="N938" s="3">
        <v>59.99</v>
      </c>
      <c r="O938" s="2" t="s">
        <v>230</v>
      </c>
      <c r="P938" s="2" t="s">
        <v>231</v>
      </c>
      <c r="Q938" s="2" t="s">
        <v>232</v>
      </c>
      <c r="R938" s="2" t="s">
        <v>233</v>
      </c>
      <c r="S938" s="2" t="s">
        <v>4834</v>
      </c>
      <c r="T938" s="2" t="s">
        <v>348</v>
      </c>
      <c r="U938" s="2" t="s">
        <v>287</v>
      </c>
      <c r="V938" s="2" t="s">
        <v>236</v>
      </c>
      <c r="W938" s="2" t="s">
        <v>237</v>
      </c>
      <c r="X938" s="2" t="s">
        <v>233</v>
      </c>
      <c r="Y938" s="2" t="s">
        <v>4821</v>
      </c>
      <c r="Z938" s="4">
        <v>74</v>
      </c>
      <c r="AA938" s="4">
        <f>=ROUNDDOWN(20.5555555555556,0)</f>
      </c>
      <c r="AB938" s="5">
        <v>3.6</v>
      </c>
      <c r="AC938" s="2" t="s">
        <v>138</v>
      </c>
      <c r="AD938" s="4">
        <v>60</v>
      </c>
      <c r="AE938" s="4">
        <v>60</v>
      </c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233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233</v>
      </c>
      <c r="AW938" s="8" t="s">
        <v>233</v>
      </c>
      <c r="AX938" s="4" t="s">
        <v>233</v>
      </c>
      <c r="AY938" s="8" t="s">
        <v>233</v>
      </c>
      <c r="AZ938" s="7" t="s">
        <v>233</v>
      </c>
      <c r="BA938" s="7" t="s">
        <v>233</v>
      </c>
      <c r="BB938" s="7"/>
      <c r="BC938" s="4" t="s">
        <v>233</v>
      </c>
      <c r="BD938" s="8" t="s">
        <v>233</v>
      </c>
      <c r="BE938" s="4" t="s">
        <v>233</v>
      </c>
      <c r="BF938" s="8" t="s">
        <v>233</v>
      </c>
      <c r="BG938" s="7" t="s">
        <v>233</v>
      </c>
      <c r="BH938" s="7" t="s">
        <v>233</v>
      </c>
      <c r="BI938" s="7"/>
      <c r="BJ938" s="4">
        <v>12</v>
      </c>
      <c r="BK938" s="8">
        <v>358.53</v>
      </c>
      <c r="BL938" s="2" t="s">
        <v>1339</v>
      </c>
      <c r="BM938" s="7"/>
      <c r="BN938" s="7"/>
      <c r="BO938" s="4"/>
      <c r="BP938" s="8"/>
      <c r="BQ938" s="4"/>
      <c r="BR938" s="8"/>
      <c r="BS938" s="7"/>
      <c r="BT938" s="7"/>
      <c r="BU938" s="2" t="s">
        <v>4823</v>
      </c>
      <c r="BV938" s="2" t="s">
        <v>233</v>
      </c>
      <c r="BW938" s="2" t="s">
        <v>233</v>
      </c>
      <c r="BX938" s="2" t="s">
        <v>241</v>
      </c>
      <c r="BY938" s="2" t="s">
        <v>242</v>
      </c>
      <c r="BZ938" s="2" t="s">
        <v>230</v>
      </c>
      <c r="CA938" s="2" t="s">
        <v>4824</v>
      </c>
      <c r="CB938" s="2" t="s">
        <v>4836</v>
      </c>
      <c r="CC938" s="2" t="s">
        <v>245</v>
      </c>
      <c r="CD938" s="2" t="s">
        <v>233</v>
      </c>
      <c r="CE938" s="4">
        <v>74</v>
      </c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>
        <v>60</v>
      </c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>
        <v>76</v>
      </c>
      <c r="GD938" s="4">
        <v>72</v>
      </c>
      <c r="GE938" s="4">
        <v>128</v>
      </c>
      <c r="GF938" s="4">
        <v>123</v>
      </c>
      <c r="GG938" s="4">
        <v>112</v>
      </c>
      <c r="GH938" s="4">
        <v>102</v>
      </c>
      <c r="GI938" s="4">
        <v>94</v>
      </c>
      <c r="GJ938" s="4">
        <v>90</v>
      </c>
      <c r="GK938" s="4">
        <v>87</v>
      </c>
      <c r="GL938" s="4">
        <v>83</v>
      </c>
      <c r="GM938" s="4">
        <v>79</v>
      </c>
      <c r="GN938" s="4">
        <v>75</v>
      </c>
      <c r="GO938" s="4">
        <v>71</v>
      </c>
      <c r="GP938" s="4">
        <v>67</v>
      </c>
      <c r="GQ938" s="4">
        <v>63</v>
      </c>
      <c r="GR938" s="4">
        <v>59</v>
      </c>
      <c r="GS938" s="4">
        <v>55</v>
      </c>
      <c r="GT938" s="4">
        <v>51</v>
      </c>
      <c r="GU938" s="4">
        <v>47</v>
      </c>
      <c r="GV938" s="4">
        <v>43</v>
      </c>
      <c r="GW938" s="4">
        <v>39</v>
      </c>
      <c r="GX938" s="4">
        <v>35</v>
      </c>
      <c r="GY938" s="4">
        <v>31</v>
      </c>
      <c r="GZ938" s="4">
        <v>27</v>
      </c>
      <c r="HA938" s="4">
        <v>23</v>
      </c>
      <c r="HB938" s="4">
        <v>44</v>
      </c>
      <c r="HC938" s="19">
        <v>12.7</v>
      </c>
      <c r="HD938" s="19">
        <v>9</v>
      </c>
      <c r="HE938" s="19">
        <v>16</v>
      </c>
      <c r="HF938" s="19">
        <v>15.4</v>
      </c>
      <c r="HG938" s="19">
        <v>18.7</v>
      </c>
      <c r="HH938" s="19">
        <v>20.4</v>
      </c>
      <c r="HI938" s="19">
        <v>23.5</v>
      </c>
      <c r="HJ938" s="19">
        <v>22.5</v>
      </c>
      <c r="HK938" s="19">
        <v>21.8</v>
      </c>
      <c r="HL938" s="19">
        <v>20.8</v>
      </c>
      <c r="HM938" s="19">
        <v>19.8</v>
      </c>
      <c r="HN938" s="19">
        <v>18.8</v>
      </c>
      <c r="HO938" s="19">
        <v>17.8</v>
      </c>
      <c r="HP938" s="19">
        <v>16.8</v>
      </c>
      <c r="HQ938" s="19">
        <v>15.8</v>
      </c>
      <c r="HR938" s="19">
        <v>14.8</v>
      </c>
      <c r="HS938" s="19">
        <v>13.8</v>
      </c>
      <c r="HT938" s="19">
        <v>12.8</v>
      </c>
      <c r="HU938" s="19">
        <v>11.8</v>
      </c>
      <c r="HV938" s="19">
        <v>10.8</v>
      </c>
      <c r="HW938" s="19">
        <v>9.8</v>
      </c>
      <c r="HX938" s="19">
        <v>8.8</v>
      </c>
      <c r="HY938" s="19">
        <v>7.8</v>
      </c>
      <c r="HZ938" s="19">
        <v>6.8</v>
      </c>
      <c r="IA938" s="19">
        <v>5.8</v>
      </c>
      <c r="IB938" s="19">
        <v>11</v>
      </c>
    </row>
    <row r="939">
      <c r="A939" s="2" t="s">
        <v>4837</v>
      </c>
      <c r="B939" s="2" t="s">
        <v>279</v>
      </c>
      <c r="C939" s="2" t="s">
        <v>280</v>
      </c>
      <c r="D939" s="2" t="s">
        <v>281</v>
      </c>
      <c r="E939" s="2" t="s">
        <v>282</v>
      </c>
      <c r="F939" s="2" t="s">
        <v>4818</v>
      </c>
      <c r="G939" s="2" t="s">
        <v>4818</v>
      </c>
      <c r="H939" s="2" t="s">
        <v>4818</v>
      </c>
      <c r="I939" s="2" t="s">
        <v>4819</v>
      </c>
      <c r="J939" s="2" t="s">
        <v>336</v>
      </c>
      <c r="K939" s="2" t="s">
        <v>300</v>
      </c>
      <c r="L939" s="3">
        <v>29.9</v>
      </c>
      <c r="M939" s="3">
        <v>31.4</v>
      </c>
      <c r="N939" s="3">
        <v>64.99</v>
      </c>
      <c r="O939" s="2" t="s">
        <v>230</v>
      </c>
      <c r="P939" s="2" t="s">
        <v>231</v>
      </c>
      <c r="Q939" s="2" t="s">
        <v>232</v>
      </c>
      <c r="R939" s="2" t="s">
        <v>233</v>
      </c>
      <c r="S939" s="2" t="s">
        <v>4834</v>
      </c>
      <c r="T939" s="2" t="s">
        <v>348</v>
      </c>
      <c r="U939" s="2" t="s">
        <v>287</v>
      </c>
      <c r="V939" s="2" t="s">
        <v>236</v>
      </c>
      <c r="W939" s="2" t="s">
        <v>237</v>
      </c>
      <c r="X939" s="2" t="s">
        <v>233</v>
      </c>
      <c r="Y939" s="2" t="s">
        <v>4821</v>
      </c>
      <c r="Z939" s="4">
        <v>43</v>
      </c>
      <c r="AA939" s="4">
        <f>=ROUNDDOWN(5.375,0)</f>
      </c>
      <c r="AB939" s="5">
        <v>8</v>
      </c>
      <c r="AC939" s="2" t="s">
        <v>138</v>
      </c>
      <c r="AD939" s="4">
        <v>186</v>
      </c>
      <c r="AE939" s="4">
        <v>186</v>
      </c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233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233</v>
      </c>
      <c r="AW939" s="8" t="s">
        <v>233</v>
      </c>
      <c r="AX939" s="4" t="s">
        <v>233</v>
      </c>
      <c r="AY939" s="8" t="s">
        <v>233</v>
      </c>
      <c r="AZ939" s="7" t="s">
        <v>233</v>
      </c>
      <c r="BA939" s="7" t="s">
        <v>233</v>
      </c>
      <c r="BB939" s="7"/>
      <c r="BC939" s="4" t="s">
        <v>233</v>
      </c>
      <c r="BD939" s="8" t="s">
        <v>233</v>
      </c>
      <c r="BE939" s="4" t="s">
        <v>233</v>
      </c>
      <c r="BF939" s="8" t="s">
        <v>233</v>
      </c>
      <c r="BG939" s="7" t="s">
        <v>233</v>
      </c>
      <c r="BH939" s="7" t="s">
        <v>233</v>
      </c>
      <c r="BI939" s="7"/>
      <c r="BJ939" s="4">
        <v>35</v>
      </c>
      <c r="BK939" s="8">
        <v>1162.03</v>
      </c>
      <c r="BL939" s="2" t="s">
        <v>4838</v>
      </c>
      <c r="BM939" s="7"/>
      <c r="BN939" s="7"/>
      <c r="BO939" s="4"/>
      <c r="BP939" s="8"/>
      <c r="BQ939" s="4"/>
      <c r="BR939" s="8"/>
      <c r="BS939" s="7"/>
      <c r="BT939" s="7"/>
      <c r="BU939" s="2" t="s">
        <v>4823</v>
      </c>
      <c r="BV939" s="2" t="s">
        <v>233</v>
      </c>
      <c r="BW939" s="2" t="s">
        <v>233</v>
      </c>
      <c r="BX939" s="2" t="s">
        <v>241</v>
      </c>
      <c r="BY939" s="2" t="s">
        <v>242</v>
      </c>
      <c r="BZ939" s="2" t="s">
        <v>230</v>
      </c>
      <c r="CA939" s="2" t="s">
        <v>4824</v>
      </c>
      <c r="CB939" s="2" t="s">
        <v>4839</v>
      </c>
      <c r="CC939" s="2" t="s">
        <v>245</v>
      </c>
      <c r="CD939" s="2" t="s">
        <v>233</v>
      </c>
      <c r="CE939" s="4">
        <v>43</v>
      </c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>
        <v>186</v>
      </c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>
        <v>44</v>
      </c>
      <c r="GD939" s="4">
        <v>39</v>
      </c>
      <c r="GE939" s="4">
        <v>217</v>
      </c>
      <c r="GF939" s="4">
        <v>208</v>
      </c>
      <c r="GG939" s="4">
        <v>190</v>
      </c>
      <c r="GH939" s="4">
        <v>172</v>
      </c>
      <c r="GI939" s="4">
        <v>158</v>
      </c>
      <c r="GJ939" s="4">
        <v>150</v>
      </c>
      <c r="GK939" s="4">
        <v>144</v>
      </c>
      <c r="GL939" s="4">
        <v>136</v>
      </c>
      <c r="GM939" s="4">
        <v>128</v>
      </c>
      <c r="GN939" s="4">
        <v>120</v>
      </c>
      <c r="GO939" s="4">
        <v>112</v>
      </c>
      <c r="GP939" s="4">
        <v>104</v>
      </c>
      <c r="GQ939" s="4">
        <v>96</v>
      </c>
      <c r="GR939" s="4">
        <v>88</v>
      </c>
      <c r="GS939" s="4">
        <v>80</v>
      </c>
      <c r="GT939" s="4">
        <v>72</v>
      </c>
      <c r="GU939" s="4">
        <v>64</v>
      </c>
      <c r="GV939" s="4">
        <v>56</v>
      </c>
      <c r="GW939" s="4">
        <v>48</v>
      </c>
      <c r="GX939" s="4">
        <v>40</v>
      </c>
      <c r="GY939" s="4">
        <v>32</v>
      </c>
      <c r="GZ939" s="4">
        <v>24</v>
      </c>
      <c r="HA939" s="4">
        <v>16</v>
      </c>
      <c r="HB939" s="4">
        <v>88</v>
      </c>
      <c r="HC939" s="19">
        <v>4.4</v>
      </c>
      <c r="HD939" s="19">
        <v>3</v>
      </c>
      <c r="HE939" s="19">
        <v>14.5</v>
      </c>
      <c r="HF939" s="19">
        <v>14.9</v>
      </c>
      <c r="HG939" s="19">
        <v>15.8</v>
      </c>
      <c r="HH939" s="19">
        <v>19.1</v>
      </c>
      <c r="HI939" s="19">
        <v>19.8</v>
      </c>
      <c r="HJ939" s="19">
        <v>18.8</v>
      </c>
      <c r="HK939" s="19">
        <v>18</v>
      </c>
      <c r="HL939" s="19">
        <v>17</v>
      </c>
      <c r="HM939" s="19">
        <v>16</v>
      </c>
      <c r="HN939" s="19">
        <v>15</v>
      </c>
      <c r="HO939" s="19">
        <v>14</v>
      </c>
      <c r="HP939" s="19">
        <v>13</v>
      </c>
      <c r="HQ939" s="19">
        <v>12</v>
      </c>
      <c r="HR939" s="19">
        <v>11</v>
      </c>
      <c r="HS939" s="19">
        <v>10</v>
      </c>
      <c r="HT939" s="19">
        <v>9</v>
      </c>
      <c r="HU939" s="19">
        <v>8</v>
      </c>
      <c r="HV939" s="19">
        <v>7</v>
      </c>
      <c r="HW939" s="19">
        <v>6</v>
      </c>
      <c r="HX939" s="19">
        <v>5</v>
      </c>
      <c r="HY939" s="19">
        <v>4</v>
      </c>
      <c r="HZ939" s="19">
        <v>3</v>
      </c>
      <c r="IA939" s="19">
        <v>2</v>
      </c>
      <c r="IB939" s="19">
        <v>11</v>
      </c>
    </row>
    <row r="940">
      <c r="A940" s="2" t="s">
        <v>4840</v>
      </c>
      <c r="B940" s="2" t="s">
        <v>279</v>
      </c>
      <c r="C940" s="2" t="s">
        <v>280</v>
      </c>
      <c r="D940" s="2" t="s">
        <v>281</v>
      </c>
      <c r="E940" s="2" t="s">
        <v>282</v>
      </c>
      <c r="F940" s="2" t="s">
        <v>4818</v>
      </c>
      <c r="G940" s="2" t="s">
        <v>4818</v>
      </c>
      <c r="H940" s="2" t="s">
        <v>4818</v>
      </c>
      <c r="I940" s="2" t="s">
        <v>4819</v>
      </c>
      <c r="J940" s="2" t="s">
        <v>256</v>
      </c>
      <c r="K940" s="2" t="s">
        <v>300</v>
      </c>
      <c r="L940" s="3">
        <v>32.2</v>
      </c>
      <c r="M940" s="3">
        <v>33.81</v>
      </c>
      <c r="N940" s="3">
        <v>69.99</v>
      </c>
      <c r="O940" s="2" t="s">
        <v>230</v>
      </c>
      <c r="P940" s="2" t="s">
        <v>231</v>
      </c>
      <c r="Q940" s="2" t="s">
        <v>232</v>
      </c>
      <c r="R940" s="2" t="s">
        <v>233</v>
      </c>
      <c r="S940" s="2" t="s">
        <v>4834</v>
      </c>
      <c r="T940" s="2" t="s">
        <v>348</v>
      </c>
      <c r="U940" s="2" t="s">
        <v>287</v>
      </c>
      <c r="V940" s="2" t="s">
        <v>236</v>
      </c>
      <c r="W940" s="2" t="s">
        <v>237</v>
      </c>
      <c r="X940" s="2" t="s">
        <v>233</v>
      </c>
      <c r="Y940" s="2" t="s">
        <v>4821</v>
      </c>
      <c r="Z940" s="4">
        <v>173</v>
      </c>
      <c r="AA940" s="4">
        <f>=ROUNDDOWN(28.8333333333333,0)</f>
      </c>
      <c r="AB940" s="5">
        <v>6</v>
      </c>
      <c r="AC940" s="2" t="s">
        <v>138</v>
      </c>
      <c r="AD940" s="4">
        <v>120</v>
      </c>
      <c r="AE940" s="4">
        <v>120</v>
      </c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233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233</v>
      </c>
      <c r="AW940" s="8" t="s">
        <v>233</v>
      </c>
      <c r="AX940" s="4" t="s">
        <v>233</v>
      </c>
      <c r="AY940" s="8" t="s">
        <v>233</v>
      </c>
      <c r="AZ940" s="7" t="s">
        <v>233</v>
      </c>
      <c r="BA940" s="7" t="s">
        <v>233</v>
      </c>
      <c r="BB940" s="7"/>
      <c r="BC940" s="4" t="s">
        <v>233</v>
      </c>
      <c r="BD940" s="8" t="s">
        <v>233</v>
      </c>
      <c r="BE940" s="4" t="s">
        <v>233</v>
      </c>
      <c r="BF940" s="8" t="s">
        <v>233</v>
      </c>
      <c r="BG940" s="7" t="s">
        <v>233</v>
      </c>
      <c r="BH940" s="7" t="s">
        <v>233</v>
      </c>
      <c r="BI940" s="7"/>
      <c r="BJ940" s="4">
        <v>10</v>
      </c>
      <c r="BK940" s="8">
        <v>350.98</v>
      </c>
      <c r="BL940" s="2" t="s">
        <v>538</v>
      </c>
      <c r="BM940" s="7"/>
      <c r="BN940" s="7"/>
      <c r="BO940" s="4"/>
      <c r="BP940" s="8"/>
      <c r="BQ940" s="4"/>
      <c r="BR940" s="8"/>
      <c r="BS940" s="7"/>
      <c r="BT940" s="7"/>
      <c r="BU940" s="2" t="s">
        <v>4823</v>
      </c>
      <c r="BV940" s="2" t="s">
        <v>233</v>
      </c>
      <c r="BW940" s="2" t="s">
        <v>233</v>
      </c>
      <c r="BX940" s="2" t="s">
        <v>241</v>
      </c>
      <c r="BY940" s="2" t="s">
        <v>242</v>
      </c>
      <c r="BZ940" s="2" t="s">
        <v>230</v>
      </c>
      <c r="CA940" s="2" t="s">
        <v>4824</v>
      </c>
      <c r="CB940" s="2" t="s">
        <v>4841</v>
      </c>
      <c r="CC940" s="2" t="s">
        <v>245</v>
      </c>
      <c r="CD940" s="2" t="s">
        <v>233</v>
      </c>
      <c r="CE940" s="4">
        <v>173</v>
      </c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>
        <v>120</v>
      </c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>
        <v>174</v>
      </c>
      <c r="GD940" s="4">
        <v>169</v>
      </c>
      <c r="GE940" s="4">
        <v>282</v>
      </c>
      <c r="GF940" s="4">
        <v>274</v>
      </c>
      <c r="GG940" s="4">
        <v>258</v>
      </c>
      <c r="GH940" s="4">
        <v>243</v>
      </c>
      <c r="GI940" s="4">
        <v>230</v>
      </c>
      <c r="GJ940" s="4">
        <v>223</v>
      </c>
      <c r="GK940" s="4">
        <v>218</v>
      </c>
      <c r="GL940" s="4">
        <v>212</v>
      </c>
      <c r="GM940" s="4">
        <v>206</v>
      </c>
      <c r="GN940" s="4">
        <v>200</v>
      </c>
      <c r="GO940" s="4">
        <v>194</v>
      </c>
      <c r="GP940" s="4">
        <v>188</v>
      </c>
      <c r="GQ940" s="4">
        <v>182</v>
      </c>
      <c r="GR940" s="4">
        <v>176</v>
      </c>
      <c r="GS940" s="4">
        <v>170</v>
      </c>
      <c r="GT940" s="4">
        <v>164</v>
      </c>
      <c r="GU940" s="4">
        <v>158</v>
      </c>
      <c r="GV940" s="4">
        <v>152</v>
      </c>
      <c r="GW940" s="4">
        <v>146</v>
      </c>
      <c r="GX940" s="4">
        <v>140</v>
      </c>
      <c r="GY940" s="4">
        <v>134</v>
      </c>
      <c r="GZ940" s="4">
        <v>128</v>
      </c>
      <c r="HA940" s="4">
        <v>122</v>
      </c>
      <c r="HB940" s="4">
        <v>116</v>
      </c>
      <c r="HC940" s="19">
        <v>19.3</v>
      </c>
      <c r="HD940" s="19">
        <v>14.1</v>
      </c>
      <c r="HE940" s="19">
        <v>21.7</v>
      </c>
      <c r="HF940" s="19">
        <v>21.1</v>
      </c>
      <c r="HG940" s="19">
        <v>25.8</v>
      </c>
      <c r="HH940" s="19">
        <v>30.4</v>
      </c>
      <c r="HI940" s="19">
        <v>38.3</v>
      </c>
      <c r="HJ940" s="19">
        <v>37.2</v>
      </c>
      <c r="HK940" s="19">
        <v>36.3</v>
      </c>
      <c r="HL940" s="19">
        <v>35.3</v>
      </c>
      <c r="HM940" s="19">
        <v>34.3</v>
      </c>
      <c r="HN940" s="19">
        <v>33.3</v>
      </c>
      <c r="HO940" s="19">
        <v>32.3</v>
      </c>
      <c r="HP940" s="19">
        <v>31.3</v>
      </c>
      <c r="HQ940" s="19">
        <v>30.3</v>
      </c>
      <c r="HR940" s="19">
        <v>29.3</v>
      </c>
      <c r="HS940" s="19">
        <v>28.3</v>
      </c>
      <c r="HT940" s="19">
        <v>27.3</v>
      </c>
      <c r="HU940" s="19">
        <v>26.3</v>
      </c>
      <c r="HV940" s="19">
        <v>25.3</v>
      </c>
      <c r="HW940" s="19">
        <v>24.3</v>
      </c>
      <c r="HX940" s="19">
        <v>23.3</v>
      </c>
      <c r="HY940" s="19">
        <v>22.3</v>
      </c>
      <c r="HZ940" s="19">
        <v>21.3</v>
      </c>
      <c r="IA940" s="19">
        <v>20.3</v>
      </c>
      <c r="IB940" s="19">
        <v>19.3</v>
      </c>
    </row>
    <row r="941">
      <c r="A941" s="2" t="s">
        <v>4842</v>
      </c>
      <c r="B941" s="2" t="s">
        <v>279</v>
      </c>
      <c r="C941" s="2" t="s">
        <v>280</v>
      </c>
      <c r="D941" s="2" t="s">
        <v>281</v>
      </c>
      <c r="E941" s="2" t="s">
        <v>282</v>
      </c>
      <c r="F941" s="2" t="s">
        <v>4818</v>
      </c>
      <c r="G941" s="2" t="s">
        <v>4818</v>
      </c>
      <c r="H941" s="2" t="s">
        <v>4818</v>
      </c>
      <c r="I941" s="2" t="s">
        <v>4819</v>
      </c>
      <c r="J941" s="2" t="s">
        <v>285</v>
      </c>
      <c r="K941" s="2" t="s">
        <v>300</v>
      </c>
      <c r="L941" s="3">
        <v>32.2</v>
      </c>
      <c r="M941" s="3">
        <v>33.81</v>
      </c>
      <c r="N941" s="3">
        <v>69.99</v>
      </c>
      <c r="O941" s="2" t="s">
        <v>230</v>
      </c>
      <c r="P941" s="2" t="s">
        <v>231</v>
      </c>
      <c r="Q941" s="2" t="s">
        <v>232</v>
      </c>
      <c r="R941" s="2" t="s">
        <v>233</v>
      </c>
      <c r="S941" s="2" t="s">
        <v>4834</v>
      </c>
      <c r="T941" s="2" t="s">
        <v>348</v>
      </c>
      <c r="U941" s="2" t="s">
        <v>287</v>
      </c>
      <c r="V941" s="2" t="s">
        <v>236</v>
      </c>
      <c r="W941" s="2" t="s">
        <v>237</v>
      </c>
      <c r="X941" s="2" t="s">
        <v>233</v>
      </c>
      <c r="Y941" s="2" t="s">
        <v>4821</v>
      </c>
      <c r="Z941" s="4">
        <v>88</v>
      </c>
      <c r="AA941" s="4">
        <f>=ROUNDDOWN(25.8823529411765,0)</f>
      </c>
      <c r="AB941" s="5">
        <v>3.4</v>
      </c>
      <c r="AC941" s="2" t="s">
        <v>233</v>
      </c>
      <c r="AD941" s="4"/>
      <c r="AE941" s="4"/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233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233</v>
      </c>
      <c r="AW941" s="8" t="s">
        <v>233</v>
      </c>
      <c r="AX941" s="4" t="s">
        <v>233</v>
      </c>
      <c r="AY941" s="8" t="s">
        <v>233</v>
      </c>
      <c r="AZ941" s="7" t="s">
        <v>233</v>
      </c>
      <c r="BA941" s="7" t="s">
        <v>233</v>
      </c>
      <c r="BB941" s="7"/>
      <c r="BC941" s="4" t="s">
        <v>233</v>
      </c>
      <c r="BD941" s="8" t="s">
        <v>233</v>
      </c>
      <c r="BE941" s="4" t="s">
        <v>233</v>
      </c>
      <c r="BF941" s="8" t="s">
        <v>233</v>
      </c>
      <c r="BG941" s="7" t="s">
        <v>233</v>
      </c>
      <c r="BH941" s="7" t="s">
        <v>233</v>
      </c>
      <c r="BI941" s="7"/>
      <c r="BJ941" s="4">
        <v>14</v>
      </c>
      <c r="BK941" s="8">
        <v>491.24</v>
      </c>
      <c r="BL941" s="2" t="s">
        <v>3329</v>
      </c>
      <c r="BM941" s="7"/>
      <c r="BN941" s="7"/>
      <c r="BO941" s="4"/>
      <c r="BP941" s="8"/>
      <c r="BQ941" s="4"/>
      <c r="BR941" s="8"/>
      <c r="BS941" s="7"/>
      <c r="BT941" s="7"/>
      <c r="BU941" s="2" t="s">
        <v>4823</v>
      </c>
      <c r="BV941" s="2" t="s">
        <v>233</v>
      </c>
      <c r="BW941" s="2" t="s">
        <v>233</v>
      </c>
      <c r="BX941" s="2" t="s">
        <v>241</v>
      </c>
      <c r="BY941" s="2" t="s">
        <v>242</v>
      </c>
      <c r="BZ941" s="2" t="s">
        <v>230</v>
      </c>
      <c r="CA941" s="2" t="s">
        <v>4824</v>
      </c>
      <c r="CB941" s="2" t="s">
        <v>4843</v>
      </c>
      <c r="CC941" s="2" t="s">
        <v>245</v>
      </c>
      <c r="CD941" s="2" t="s">
        <v>233</v>
      </c>
      <c r="CE941" s="4">
        <v>88</v>
      </c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>
        <v>89</v>
      </c>
      <c r="GD941" s="4">
        <v>86</v>
      </c>
      <c r="GE941" s="4">
        <v>83</v>
      </c>
      <c r="GF941" s="4">
        <v>79</v>
      </c>
      <c r="GG941" s="4">
        <v>71</v>
      </c>
      <c r="GH941" s="4">
        <v>64</v>
      </c>
      <c r="GI941" s="4">
        <v>58</v>
      </c>
      <c r="GJ941" s="4">
        <v>55</v>
      </c>
      <c r="GK941" s="4">
        <v>53</v>
      </c>
      <c r="GL941" s="4">
        <v>50</v>
      </c>
      <c r="GM941" s="4">
        <v>47</v>
      </c>
      <c r="GN941" s="4">
        <v>44</v>
      </c>
      <c r="GO941" s="4">
        <v>41</v>
      </c>
      <c r="GP941" s="4">
        <v>38</v>
      </c>
      <c r="GQ941" s="4">
        <v>35</v>
      </c>
      <c r="GR941" s="4">
        <v>32</v>
      </c>
      <c r="GS941" s="4">
        <v>29</v>
      </c>
      <c r="GT941" s="4">
        <v>26</v>
      </c>
      <c r="GU941" s="4">
        <v>23</v>
      </c>
      <c r="GV941" s="4">
        <v>20</v>
      </c>
      <c r="GW941" s="4">
        <v>17</v>
      </c>
      <c r="GX941" s="4">
        <v>14</v>
      </c>
      <c r="GY941" s="4">
        <v>11</v>
      </c>
      <c r="GZ941" s="4">
        <v>8</v>
      </c>
      <c r="HA941" s="4">
        <v>5</v>
      </c>
      <c r="HB941" s="4">
        <v>33</v>
      </c>
      <c r="HC941" s="19">
        <v>22.3</v>
      </c>
      <c r="HD941" s="19">
        <v>14.3</v>
      </c>
      <c r="HE941" s="19">
        <v>13.8</v>
      </c>
      <c r="HF941" s="19">
        <v>13.2</v>
      </c>
      <c r="HG941" s="19">
        <v>17.8</v>
      </c>
      <c r="HH941" s="19">
        <v>16</v>
      </c>
      <c r="HI941" s="19">
        <v>19.3</v>
      </c>
      <c r="HJ941" s="19">
        <v>18.3</v>
      </c>
      <c r="HK941" s="19">
        <v>17.7</v>
      </c>
      <c r="HL941" s="19">
        <v>16.7</v>
      </c>
      <c r="HM941" s="19">
        <v>15.7</v>
      </c>
      <c r="HN941" s="19">
        <v>14.7</v>
      </c>
      <c r="HO941" s="19">
        <v>13.7</v>
      </c>
      <c r="HP941" s="19">
        <v>12.7</v>
      </c>
      <c r="HQ941" s="19">
        <v>11.7</v>
      </c>
      <c r="HR941" s="19">
        <v>10.7</v>
      </c>
      <c r="HS941" s="19">
        <v>9.7</v>
      </c>
      <c r="HT941" s="19">
        <v>8.7</v>
      </c>
      <c r="HU941" s="19">
        <v>7.7</v>
      </c>
      <c r="HV941" s="19">
        <v>6.7</v>
      </c>
      <c r="HW941" s="19">
        <v>5.7</v>
      </c>
      <c r="HX941" s="19">
        <v>4.7</v>
      </c>
      <c r="HY941" s="19">
        <v>3.7</v>
      </c>
      <c r="HZ941" s="19">
        <v>2.7</v>
      </c>
      <c r="IA941" s="19">
        <v>1.7</v>
      </c>
      <c r="IB941" s="19">
        <v>11</v>
      </c>
    </row>
    <row r="942">
      <c r="A942" s="2" t="s">
        <v>4844</v>
      </c>
      <c r="B942" s="2" t="s">
        <v>279</v>
      </c>
      <c r="C942" s="2" t="s">
        <v>280</v>
      </c>
      <c r="D942" s="2" t="s">
        <v>281</v>
      </c>
      <c r="E942" s="2" t="s">
        <v>282</v>
      </c>
      <c r="F942" s="2" t="s">
        <v>4818</v>
      </c>
      <c r="G942" s="2" t="s">
        <v>4818</v>
      </c>
      <c r="H942" s="2" t="s">
        <v>4818</v>
      </c>
      <c r="I942" s="2" t="s">
        <v>4819</v>
      </c>
      <c r="J942" s="2" t="s">
        <v>252</v>
      </c>
      <c r="K942" s="2" t="s">
        <v>452</v>
      </c>
      <c r="L942" s="3">
        <v>27</v>
      </c>
      <c r="M942" s="3">
        <v>28.35</v>
      </c>
      <c r="N942" s="3">
        <v>59.99</v>
      </c>
      <c r="O942" s="2" t="s">
        <v>230</v>
      </c>
      <c r="P942" s="2" t="s">
        <v>231</v>
      </c>
      <c r="Q942" s="2" t="s">
        <v>232</v>
      </c>
      <c r="R942" s="2" t="s">
        <v>233</v>
      </c>
      <c r="S942" s="2" t="s">
        <v>4845</v>
      </c>
      <c r="T942" s="2" t="s">
        <v>348</v>
      </c>
      <c r="U942" s="2" t="s">
        <v>287</v>
      </c>
      <c r="V942" s="2" t="s">
        <v>236</v>
      </c>
      <c r="W942" s="2" t="s">
        <v>237</v>
      </c>
      <c r="X942" s="2" t="s">
        <v>233</v>
      </c>
      <c r="Y942" s="2" t="s">
        <v>4821</v>
      </c>
      <c r="Z942" s="4">
        <v>64</v>
      </c>
      <c r="AA942" s="4">
        <f>=ROUNDDOWN(22.8571428571429,0)</f>
      </c>
      <c r="AB942" s="5">
        <v>2.8</v>
      </c>
      <c r="AC942" s="2" t="s">
        <v>178</v>
      </c>
      <c r="AD942" s="4">
        <v>50</v>
      </c>
      <c r="AE942" s="4">
        <v>110</v>
      </c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233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233</v>
      </c>
      <c r="AW942" s="8" t="s">
        <v>233</v>
      </c>
      <c r="AX942" s="4" t="s">
        <v>233</v>
      </c>
      <c r="AY942" s="8" t="s">
        <v>233</v>
      </c>
      <c r="AZ942" s="7" t="s">
        <v>233</v>
      </c>
      <c r="BA942" s="7" t="s">
        <v>233</v>
      </c>
      <c r="BB942" s="7"/>
      <c r="BC942" s="4" t="s">
        <v>233</v>
      </c>
      <c r="BD942" s="8" t="s">
        <v>233</v>
      </c>
      <c r="BE942" s="4" t="s">
        <v>233</v>
      </c>
      <c r="BF942" s="8" t="s">
        <v>233</v>
      </c>
      <c r="BG942" s="7" t="s">
        <v>233</v>
      </c>
      <c r="BH942" s="7" t="s">
        <v>233</v>
      </c>
      <c r="BI942" s="7"/>
      <c r="BJ942" s="4">
        <v>11</v>
      </c>
      <c r="BK942" s="8">
        <v>318.63</v>
      </c>
      <c r="BL942" s="2" t="s">
        <v>504</v>
      </c>
      <c r="BM942" s="7"/>
      <c r="BN942" s="7"/>
      <c r="BO942" s="4"/>
      <c r="BP942" s="8"/>
      <c r="BQ942" s="4"/>
      <c r="BR942" s="8"/>
      <c r="BS942" s="7"/>
      <c r="BT942" s="7"/>
      <c r="BU942" s="2" t="s">
        <v>4823</v>
      </c>
      <c r="BV942" s="2" t="s">
        <v>233</v>
      </c>
      <c r="BW942" s="2" t="s">
        <v>233</v>
      </c>
      <c r="BX942" s="2" t="s">
        <v>241</v>
      </c>
      <c r="BY942" s="2" t="s">
        <v>242</v>
      </c>
      <c r="BZ942" s="2" t="s">
        <v>230</v>
      </c>
      <c r="CA942" s="2" t="s">
        <v>4824</v>
      </c>
      <c r="CB942" s="2" t="s">
        <v>4591</v>
      </c>
      <c r="CC942" s="2" t="s">
        <v>245</v>
      </c>
      <c r="CD942" s="2" t="s">
        <v>233</v>
      </c>
      <c r="CE942" s="4">
        <v>64</v>
      </c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>
        <v>50</v>
      </c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>
        <v>60</v>
      </c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>
        <v>67</v>
      </c>
      <c r="GD942" s="4">
        <v>62</v>
      </c>
      <c r="GE942" s="4">
        <v>59</v>
      </c>
      <c r="GF942" s="4">
        <v>55</v>
      </c>
      <c r="GG942" s="4">
        <v>47</v>
      </c>
      <c r="GH942" s="4">
        <v>39</v>
      </c>
      <c r="GI942" s="4">
        <v>33</v>
      </c>
      <c r="GJ942" s="4">
        <v>30</v>
      </c>
      <c r="GK942" s="4">
        <v>78</v>
      </c>
      <c r="GL942" s="4">
        <v>75</v>
      </c>
      <c r="GM942" s="4">
        <v>72</v>
      </c>
      <c r="GN942" s="4">
        <v>69</v>
      </c>
      <c r="GO942" s="4">
        <v>126</v>
      </c>
      <c r="GP942" s="4">
        <v>123</v>
      </c>
      <c r="GQ942" s="4">
        <v>120</v>
      </c>
      <c r="GR942" s="4">
        <v>117</v>
      </c>
      <c r="GS942" s="4">
        <v>114</v>
      </c>
      <c r="GT942" s="4">
        <v>111</v>
      </c>
      <c r="GU942" s="4">
        <v>108</v>
      </c>
      <c r="GV942" s="4">
        <v>105</v>
      </c>
      <c r="GW942" s="4">
        <v>102</v>
      </c>
      <c r="GX942" s="4">
        <v>99</v>
      </c>
      <c r="GY942" s="4">
        <v>96</v>
      </c>
      <c r="GZ942" s="4">
        <v>93</v>
      </c>
      <c r="HA942" s="4">
        <v>90</v>
      </c>
      <c r="HB942" s="4">
        <v>87</v>
      </c>
      <c r="HC942" s="19">
        <v>13.4</v>
      </c>
      <c r="HD942" s="19">
        <v>10.3</v>
      </c>
      <c r="HE942" s="19">
        <v>9.8</v>
      </c>
      <c r="HF942" s="19">
        <v>9.2</v>
      </c>
      <c r="HG942" s="19">
        <v>9.4</v>
      </c>
      <c r="HH942" s="19">
        <v>9.8</v>
      </c>
      <c r="HI942" s="19">
        <v>11</v>
      </c>
      <c r="HJ942" s="19">
        <v>10</v>
      </c>
      <c r="HK942" s="19">
        <v>26</v>
      </c>
      <c r="HL942" s="19">
        <v>25</v>
      </c>
      <c r="HM942" s="19">
        <v>24</v>
      </c>
      <c r="HN942" s="19">
        <v>23</v>
      </c>
      <c r="HO942" s="19">
        <v>42</v>
      </c>
      <c r="HP942" s="19">
        <v>41</v>
      </c>
      <c r="HQ942" s="19">
        <v>40</v>
      </c>
      <c r="HR942" s="19">
        <v>39</v>
      </c>
      <c r="HS942" s="19">
        <v>38</v>
      </c>
      <c r="HT942" s="19">
        <v>37</v>
      </c>
      <c r="HU942" s="19">
        <v>36</v>
      </c>
      <c r="HV942" s="19">
        <v>35</v>
      </c>
      <c r="HW942" s="19">
        <v>34</v>
      </c>
      <c r="HX942" s="19">
        <v>33</v>
      </c>
      <c r="HY942" s="19">
        <v>32</v>
      </c>
      <c r="HZ942" s="19">
        <v>31</v>
      </c>
      <c r="IA942" s="19">
        <v>30</v>
      </c>
      <c r="IB942" s="19">
        <v>29</v>
      </c>
    </row>
    <row r="943">
      <c r="A943" s="2" t="s">
        <v>4846</v>
      </c>
      <c r="B943" s="2" t="s">
        <v>279</v>
      </c>
      <c r="C943" s="2" t="s">
        <v>280</v>
      </c>
      <c r="D943" s="2" t="s">
        <v>281</v>
      </c>
      <c r="E943" s="2" t="s">
        <v>282</v>
      </c>
      <c r="F943" s="2" t="s">
        <v>4818</v>
      </c>
      <c r="G943" s="2" t="s">
        <v>4818</v>
      </c>
      <c r="H943" s="2" t="s">
        <v>4818</v>
      </c>
      <c r="I943" s="2" t="s">
        <v>4819</v>
      </c>
      <c r="J943" s="2" t="s">
        <v>256</v>
      </c>
      <c r="K943" s="2" t="s">
        <v>452</v>
      </c>
      <c r="L943" s="3">
        <v>32.2</v>
      </c>
      <c r="M943" s="3">
        <v>33.81</v>
      </c>
      <c r="N943" s="3">
        <v>69.99</v>
      </c>
      <c r="O943" s="2" t="s">
        <v>230</v>
      </c>
      <c r="P943" s="2" t="s">
        <v>231</v>
      </c>
      <c r="Q943" s="2" t="s">
        <v>232</v>
      </c>
      <c r="R943" s="2" t="s">
        <v>233</v>
      </c>
      <c r="S943" s="2" t="s">
        <v>4845</v>
      </c>
      <c r="T943" s="2" t="s">
        <v>348</v>
      </c>
      <c r="U943" s="2" t="s">
        <v>287</v>
      </c>
      <c r="V943" s="2" t="s">
        <v>236</v>
      </c>
      <c r="W943" s="2" t="s">
        <v>237</v>
      </c>
      <c r="X943" s="2" t="s">
        <v>233</v>
      </c>
      <c r="Y943" s="2" t="s">
        <v>4821</v>
      </c>
      <c r="Z943" s="4">
        <v>100</v>
      </c>
      <c r="AA943" s="4">
        <f>=ROUNDDOWN(14.2857142857143,0)</f>
      </c>
      <c r="AB943" s="5">
        <v>7</v>
      </c>
      <c r="AC943" s="2" t="s">
        <v>138</v>
      </c>
      <c r="AD943" s="4">
        <v>130</v>
      </c>
      <c r="AE943" s="4">
        <v>260</v>
      </c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233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233</v>
      </c>
      <c r="AW943" s="8" t="s">
        <v>233</v>
      </c>
      <c r="AX943" s="4" t="s">
        <v>233</v>
      </c>
      <c r="AY943" s="8" t="s">
        <v>233</v>
      </c>
      <c r="AZ943" s="7" t="s">
        <v>233</v>
      </c>
      <c r="BA943" s="7" t="s">
        <v>233</v>
      </c>
      <c r="BB943" s="7"/>
      <c r="BC943" s="4" t="s">
        <v>233</v>
      </c>
      <c r="BD943" s="8" t="s">
        <v>233</v>
      </c>
      <c r="BE943" s="4" t="s">
        <v>233</v>
      </c>
      <c r="BF943" s="8" t="s">
        <v>233</v>
      </c>
      <c r="BG943" s="7" t="s">
        <v>233</v>
      </c>
      <c r="BH943" s="7" t="s">
        <v>233</v>
      </c>
      <c r="BI943" s="7"/>
      <c r="BJ943" s="4">
        <v>25</v>
      </c>
      <c r="BK943" s="8">
        <v>873.98</v>
      </c>
      <c r="BL943" s="2" t="s">
        <v>562</v>
      </c>
      <c r="BM943" s="7"/>
      <c r="BN943" s="7"/>
      <c r="BO943" s="4"/>
      <c r="BP943" s="8"/>
      <c r="BQ943" s="4"/>
      <c r="BR943" s="8"/>
      <c r="BS943" s="7"/>
      <c r="BT943" s="7"/>
      <c r="BU943" s="2" t="s">
        <v>4823</v>
      </c>
      <c r="BV943" s="2" t="s">
        <v>233</v>
      </c>
      <c r="BW943" s="2" t="s">
        <v>233</v>
      </c>
      <c r="BX943" s="2" t="s">
        <v>241</v>
      </c>
      <c r="BY943" s="2" t="s">
        <v>242</v>
      </c>
      <c r="BZ943" s="2" t="s">
        <v>230</v>
      </c>
      <c r="CA943" s="2" t="s">
        <v>4824</v>
      </c>
      <c r="CB943" s="2" t="s">
        <v>3736</v>
      </c>
      <c r="CC943" s="2" t="s">
        <v>245</v>
      </c>
      <c r="CD943" s="2" t="s">
        <v>233</v>
      </c>
      <c r="CE943" s="4">
        <v>100</v>
      </c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>
        <v>130</v>
      </c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>
        <v>20</v>
      </c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>
        <v>110</v>
      </c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>
        <v>103</v>
      </c>
      <c r="GD943" s="4">
        <v>96</v>
      </c>
      <c r="GE943" s="4">
        <v>218</v>
      </c>
      <c r="GF943" s="4">
        <v>209</v>
      </c>
      <c r="GG943" s="4">
        <v>190</v>
      </c>
      <c r="GH943" s="4">
        <v>172</v>
      </c>
      <c r="GI943" s="4">
        <v>157</v>
      </c>
      <c r="GJ943" s="4">
        <v>149</v>
      </c>
      <c r="GK943" s="4">
        <v>163</v>
      </c>
      <c r="GL943" s="4">
        <v>156</v>
      </c>
      <c r="GM943" s="4">
        <v>149</v>
      </c>
      <c r="GN943" s="4">
        <v>142</v>
      </c>
      <c r="GO943" s="4">
        <v>245</v>
      </c>
      <c r="GP943" s="4">
        <v>238</v>
      </c>
      <c r="GQ943" s="4">
        <v>231</v>
      </c>
      <c r="GR943" s="4">
        <v>224</v>
      </c>
      <c r="GS943" s="4">
        <v>217</v>
      </c>
      <c r="GT943" s="4">
        <v>210</v>
      </c>
      <c r="GU943" s="4">
        <v>203</v>
      </c>
      <c r="GV943" s="4">
        <v>196</v>
      </c>
      <c r="GW943" s="4">
        <v>189</v>
      </c>
      <c r="GX943" s="4">
        <v>182</v>
      </c>
      <c r="GY943" s="4">
        <v>175</v>
      </c>
      <c r="GZ943" s="4">
        <v>168</v>
      </c>
      <c r="HA943" s="4">
        <v>161</v>
      </c>
      <c r="HB943" s="4">
        <v>154</v>
      </c>
      <c r="HC943" s="19">
        <v>9.4</v>
      </c>
      <c r="HD943" s="19">
        <v>6.9</v>
      </c>
      <c r="HE943" s="19">
        <v>14.5</v>
      </c>
      <c r="HF943" s="19">
        <v>13.9</v>
      </c>
      <c r="HG943" s="19">
        <v>15.8</v>
      </c>
      <c r="HH943" s="19">
        <v>19.1</v>
      </c>
      <c r="HI943" s="19">
        <v>22.4</v>
      </c>
      <c r="HJ943" s="19">
        <v>21.3</v>
      </c>
      <c r="HK943" s="19">
        <v>23.3</v>
      </c>
      <c r="HL943" s="19">
        <v>22.3</v>
      </c>
      <c r="HM943" s="19">
        <v>21.3</v>
      </c>
      <c r="HN943" s="19">
        <v>20.3</v>
      </c>
      <c r="HO943" s="19">
        <v>35</v>
      </c>
      <c r="HP943" s="19">
        <v>34</v>
      </c>
      <c r="HQ943" s="19">
        <v>33</v>
      </c>
      <c r="HR943" s="19">
        <v>32</v>
      </c>
      <c r="HS943" s="19">
        <v>31</v>
      </c>
      <c r="HT943" s="19">
        <v>30</v>
      </c>
      <c r="HU943" s="19">
        <v>29</v>
      </c>
      <c r="HV943" s="19">
        <v>28</v>
      </c>
      <c r="HW943" s="19">
        <v>27</v>
      </c>
      <c r="HX943" s="19">
        <v>26</v>
      </c>
      <c r="HY943" s="19">
        <v>25</v>
      </c>
      <c r="HZ943" s="19">
        <v>24</v>
      </c>
      <c r="IA943" s="19">
        <v>23</v>
      </c>
      <c r="IB943" s="19">
        <v>22</v>
      </c>
    </row>
    <row r="944">
      <c r="A944" s="2" t="s">
        <v>4847</v>
      </c>
      <c r="B944" s="2" t="s">
        <v>279</v>
      </c>
      <c r="C944" s="2" t="s">
        <v>280</v>
      </c>
      <c r="D944" s="2" t="s">
        <v>281</v>
      </c>
      <c r="E944" s="2" t="s">
        <v>282</v>
      </c>
      <c r="F944" s="2" t="s">
        <v>4818</v>
      </c>
      <c r="G944" s="2" t="s">
        <v>4818</v>
      </c>
      <c r="H944" s="2" t="s">
        <v>4818</v>
      </c>
      <c r="I944" s="2" t="s">
        <v>4819</v>
      </c>
      <c r="J944" s="2" t="s">
        <v>256</v>
      </c>
      <c r="K944" s="2" t="s">
        <v>689</v>
      </c>
      <c r="L944" s="3">
        <v>32.2</v>
      </c>
      <c r="M944" s="3">
        <v>33.81</v>
      </c>
      <c r="N944" s="3">
        <v>69.99</v>
      </c>
      <c r="O944" s="2" t="s">
        <v>230</v>
      </c>
      <c r="P944" s="2" t="s">
        <v>231</v>
      </c>
      <c r="Q944" s="2" t="s">
        <v>232</v>
      </c>
      <c r="R944" s="2" t="s">
        <v>233</v>
      </c>
      <c r="S944" s="2" t="s">
        <v>4848</v>
      </c>
      <c r="T944" s="2" t="s">
        <v>348</v>
      </c>
      <c r="U944" s="2" t="s">
        <v>287</v>
      </c>
      <c r="V944" s="2" t="s">
        <v>236</v>
      </c>
      <c r="W944" s="2" t="s">
        <v>237</v>
      </c>
      <c r="X944" s="2" t="s">
        <v>233</v>
      </c>
      <c r="Y944" s="2" t="s">
        <v>4821</v>
      </c>
      <c r="Z944" s="4">
        <v>100</v>
      </c>
      <c r="AA944" s="4">
        <f>=ROUNDDOWN(25,0)</f>
      </c>
      <c r="AB944" s="5">
        <v>4</v>
      </c>
      <c r="AC944" s="2" t="s">
        <v>138</v>
      </c>
      <c r="AD944" s="4">
        <v>70</v>
      </c>
      <c r="AE944" s="4">
        <v>150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233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233</v>
      </c>
      <c r="AW944" s="8" t="s">
        <v>233</v>
      </c>
      <c r="AX944" s="4" t="s">
        <v>233</v>
      </c>
      <c r="AY944" s="8" t="s">
        <v>233</v>
      </c>
      <c r="AZ944" s="7" t="s">
        <v>233</v>
      </c>
      <c r="BA944" s="7" t="s">
        <v>233</v>
      </c>
      <c r="BB944" s="7"/>
      <c r="BC944" s="4" t="s">
        <v>233</v>
      </c>
      <c r="BD944" s="8" t="s">
        <v>233</v>
      </c>
      <c r="BE944" s="4" t="s">
        <v>233</v>
      </c>
      <c r="BF944" s="8" t="s">
        <v>233</v>
      </c>
      <c r="BG944" s="7" t="s">
        <v>233</v>
      </c>
      <c r="BH944" s="7" t="s">
        <v>233</v>
      </c>
      <c r="BI944" s="7"/>
      <c r="BJ944" s="4">
        <v>20</v>
      </c>
      <c r="BK944" s="8">
        <v>720.44</v>
      </c>
      <c r="BL944" s="2" t="s">
        <v>562</v>
      </c>
      <c r="BM944" s="7"/>
      <c r="BN944" s="7"/>
      <c r="BO944" s="4"/>
      <c r="BP944" s="8"/>
      <c r="BQ944" s="4"/>
      <c r="BR944" s="8"/>
      <c r="BS944" s="7"/>
      <c r="BT944" s="7"/>
      <c r="BU944" s="2" t="s">
        <v>4823</v>
      </c>
      <c r="BV944" s="2" t="s">
        <v>233</v>
      </c>
      <c r="BW944" s="2" t="s">
        <v>233</v>
      </c>
      <c r="BX944" s="2" t="s">
        <v>241</v>
      </c>
      <c r="BY944" s="2" t="s">
        <v>242</v>
      </c>
      <c r="BZ944" s="2" t="s">
        <v>230</v>
      </c>
      <c r="CA944" s="2" t="s">
        <v>4824</v>
      </c>
      <c r="CB944" s="2" t="s">
        <v>2397</v>
      </c>
      <c r="CC944" s="2" t="s">
        <v>245</v>
      </c>
      <c r="CD944" s="2" t="s">
        <v>233</v>
      </c>
      <c r="CE944" s="4">
        <v>100</v>
      </c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>
        <v>70</v>
      </c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>
        <v>40</v>
      </c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>
        <v>40</v>
      </c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>
        <v>100</v>
      </c>
      <c r="GD944" s="4">
        <v>98</v>
      </c>
      <c r="GE944" s="4">
        <v>164</v>
      </c>
      <c r="GF944" s="4">
        <v>159</v>
      </c>
      <c r="GG944" s="4">
        <v>148</v>
      </c>
      <c r="GH944" s="4">
        <v>138</v>
      </c>
      <c r="GI944" s="4">
        <v>130</v>
      </c>
      <c r="GJ944" s="4">
        <v>126</v>
      </c>
      <c r="GK944" s="4">
        <v>163</v>
      </c>
      <c r="GL944" s="4">
        <v>159</v>
      </c>
      <c r="GM944" s="4">
        <v>155</v>
      </c>
      <c r="GN944" s="4">
        <v>151</v>
      </c>
      <c r="GO944" s="4">
        <v>187</v>
      </c>
      <c r="GP944" s="4">
        <v>183</v>
      </c>
      <c r="GQ944" s="4">
        <v>179</v>
      </c>
      <c r="GR944" s="4">
        <v>175</v>
      </c>
      <c r="GS944" s="4">
        <v>171</v>
      </c>
      <c r="GT944" s="4">
        <v>167</v>
      </c>
      <c r="GU944" s="4">
        <v>163</v>
      </c>
      <c r="GV944" s="4">
        <v>159</v>
      </c>
      <c r="GW944" s="4">
        <v>155</v>
      </c>
      <c r="GX944" s="4">
        <v>151</v>
      </c>
      <c r="GY944" s="4">
        <v>147</v>
      </c>
      <c r="GZ944" s="4">
        <v>143</v>
      </c>
      <c r="HA944" s="4">
        <v>139</v>
      </c>
      <c r="HB944" s="4">
        <v>135</v>
      </c>
      <c r="HC944" s="19">
        <v>16.7</v>
      </c>
      <c r="HD944" s="19">
        <v>12.3</v>
      </c>
      <c r="HE944" s="19">
        <v>20.5</v>
      </c>
      <c r="HF944" s="19">
        <v>19.9</v>
      </c>
      <c r="HG944" s="19">
        <v>24.7</v>
      </c>
      <c r="HH944" s="19">
        <v>27.6</v>
      </c>
      <c r="HI944" s="19">
        <v>32.5</v>
      </c>
      <c r="HJ944" s="19">
        <v>31.5</v>
      </c>
      <c r="HK944" s="19">
        <v>40.8</v>
      </c>
      <c r="HL944" s="19">
        <v>39.8</v>
      </c>
      <c r="HM944" s="19">
        <v>38.8</v>
      </c>
      <c r="HN944" s="19">
        <v>37.8</v>
      </c>
      <c r="HO944" s="19">
        <v>46.8</v>
      </c>
      <c r="HP944" s="19">
        <v>45.8</v>
      </c>
      <c r="HQ944" s="19">
        <v>44.8</v>
      </c>
      <c r="HR944" s="19">
        <v>43.8</v>
      </c>
      <c r="HS944" s="19">
        <v>42.8</v>
      </c>
      <c r="HT944" s="19">
        <v>41.8</v>
      </c>
      <c r="HU944" s="19">
        <v>40.8</v>
      </c>
      <c r="HV944" s="19">
        <v>39.8</v>
      </c>
      <c r="HW944" s="19">
        <v>38.8</v>
      </c>
      <c r="HX944" s="19">
        <v>37.8</v>
      </c>
      <c r="HY944" s="19">
        <v>36.8</v>
      </c>
      <c r="HZ944" s="19">
        <v>35.8</v>
      </c>
      <c r="IA944" s="19">
        <v>34.8</v>
      </c>
      <c r="IB944" s="19">
        <v>33.8</v>
      </c>
    </row>
    <row r="945">
      <c r="A945" s="2" t="s">
        <v>4849</v>
      </c>
      <c r="B945" s="2" t="s">
        <v>279</v>
      </c>
      <c r="C945" s="2" t="s">
        <v>280</v>
      </c>
      <c r="D945" s="2" t="s">
        <v>281</v>
      </c>
      <c r="E945" s="2" t="s">
        <v>282</v>
      </c>
      <c r="F945" s="2" t="s">
        <v>4818</v>
      </c>
      <c r="G945" s="2" t="s">
        <v>4818</v>
      </c>
      <c r="H945" s="2" t="s">
        <v>4818</v>
      </c>
      <c r="I945" s="2" t="s">
        <v>4819</v>
      </c>
      <c r="J945" s="2" t="s">
        <v>285</v>
      </c>
      <c r="K945" s="2" t="s">
        <v>689</v>
      </c>
      <c r="L945" s="3">
        <v>32.2</v>
      </c>
      <c r="M945" s="3">
        <v>33.81</v>
      </c>
      <c r="N945" s="3">
        <v>69.99</v>
      </c>
      <c r="O945" s="2" t="s">
        <v>230</v>
      </c>
      <c r="P945" s="2" t="s">
        <v>231</v>
      </c>
      <c r="Q945" s="2" t="s">
        <v>232</v>
      </c>
      <c r="R945" s="2" t="s">
        <v>233</v>
      </c>
      <c r="S945" s="2" t="s">
        <v>4848</v>
      </c>
      <c r="T945" s="2" t="s">
        <v>348</v>
      </c>
      <c r="U945" s="2" t="s">
        <v>287</v>
      </c>
      <c r="V945" s="2" t="s">
        <v>236</v>
      </c>
      <c r="W945" s="2" t="s">
        <v>237</v>
      </c>
      <c r="X945" s="2" t="s">
        <v>233</v>
      </c>
      <c r="Y945" s="2" t="s">
        <v>4821</v>
      </c>
      <c r="Z945" s="4">
        <v>35</v>
      </c>
      <c r="AA945" s="4">
        <f>=ROUNDDOWN(17.5,0)</f>
      </c>
      <c r="AB945" s="5">
        <v>2</v>
      </c>
      <c r="AC945" s="2" t="s">
        <v>138</v>
      </c>
      <c r="AD945" s="4">
        <v>30</v>
      </c>
      <c r="AE945" s="4">
        <v>130</v>
      </c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233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233</v>
      </c>
      <c r="AW945" s="8" t="s">
        <v>233</v>
      </c>
      <c r="AX945" s="4" t="s">
        <v>233</v>
      </c>
      <c r="AY945" s="8" t="s">
        <v>233</v>
      </c>
      <c r="AZ945" s="7" t="s">
        <v>233</v>
      </c>
      <c r="BA945" s="7" t="s">
        <v>233</v>
      </c>
      <c r="BB945" s="7"/>
      <c r="BC945" s="4" t="s">
        <v>233</v>
      </c>
      <c r="BD945" s="8" t="s">
        <v>233</v>
      </c>
      <c r="BE945" s="4" t="s">
        <v>233</v>
      </c>
      <c r="BF945" s="8" t="s">
        <v>233</v>
      </c>
      <c r="BG945" s="7" t="s">
        <v>233</v>
      </c>
      <c r="BH945" s="7" t="s">
        <v>233</v>
      </c>
      <c r="BI945" s="7"/>
      <c r="BJ945" s="4">
        <v>16</v>
      </c>
      <c r="BK945" s="8">
        <v>566.51</v>
      </c>
      <c r="BL945" s="2" t="s">
        <v>1596</v>
      </c>
      <c r="BM945" s="7"/>
      <c r="BN945" s="7"/>
      <c r="BO945" s="4"/>
      <c r="BP945" s="8"/>
      <c r="BQ945" s="4"/>
      <c r="BR945" s="8"/>
      <c r="BS945" s="7"/>
      <c r="BT945" s="7"/>
      <c r="BU945" s="2" t="s">
        <v>4823</v>
      </c>
      <c r="BV945" s="2" t="s">
        <v>233</v>
      </c>
      <c r="BW945" s="2" t="s">
        <v>233</v>
      </c>
      <c r="BX945" s="2" t="s">
        <v>241</v>
      </c>
      <c r="BY945" s="2" t="s">
        <v>242</v>
      </c>
      <c r="BZ945" s="2" t="s">
        <v>230</v>
      </c>
      <c r="CA945" s="2" t="s">
        <v>4824</v>
      </c>
      <c r="CB945" s="2" t="s">
        <v>3046</v>
      </c>
      <c r="CC945" s="2" t="s">
        <v>245</v>
      </c>
      <c r="CD945" s="2" t="s">
        <v>233</v>
      </c>
      <c r="CE945" s="4">
        <v>35</v>
      </c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>
        <v>30</v>
      </c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>
        <v>40</v>
      </c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>
        <v>60</v>
      </c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>
        <v>37</v>
      </c>
      <c r="GD945" s="4">
        <v>34</v>
      </c>
      <c r="GE945" s="4">
        <v>62</v>
      </c>
      <c r="GF945" s="4">
        <v>60</v>
      </c>
      <c r="GG945" s="4">
        <v>55</v>
      </c>
      <c r="GH945" s="4">
        <v>50</v>
      </c>
      <c r="GI945" s="4">
        <v>46</v>
      </c>
      <c r="GJ945" s="4">
        <v>44</v>
      </c>
      <c r="GK945" s="4">
        <v>82</v>
      </c>
      <c r="GL945" s="4">
        <v>80</v>
      </c>
      <c r="GM945" s="4">
        <v>78</v>
      </c>
      <c r="GN945" s="4">
        <v>76</v>
      </c>
      <c r="GO945" s="4">
        <v>134</v>
      </c>
      <c r="GP945" s="4">
        <v>132</v>
      </c>
      <c r="GQ945" s="4">
        <v>130</v>
      </c>
      <c r="GR945" s="4">
        <v>128</v>
      </c>
      <c r="GS945" s="4">
        <v>126</v>
      </c>
      <c r="GT945" s="4">
        <v>124</v>
      </c>
      <c r="GU945" s="4">
        <v>122</v>
      </c>
      <c r="GV945" s="4">
        <v>120</v>
      </c>
      <c r="GW945" s="4">
        <v>118</v>
      </c>
      <c r="GX945" s="4">
        <v>116</v>
      </c>
      <c r="GY945" s="4">
        <v>114</v>
      </c>
      <c r="GZ945" s="4">
        <v>112</v>
      </c>
      <c r="HA945" s="4">
        <v>110</v>
      </c>
      <c r="HB945" s="4">
        <v>108</v>
      </c>
      <c r="HC945" s="19">
        <v>12.3</v>
      </c>
      <c r="HD945" s="19">
        <v>8.5</v>
      </c>
      <c r="HE945" s="19">
        <v>15.5</v>
      </c>
      <c r="HF945" s="19">
        <v>15</v>
      </c>
      <c r="HG945" s="19">
        <v>18.3</v>
      </c>
      <c r="HH945" s="19">
        <v>25</v>
      </c>
      <c r="HI945" s="19">
        <v>23</v>
      </c>
      <c r="HJ945" s="19">
        <v>22</v>
      </c>
      <c r="HK945" s="19">
        <v>41</v>
      </c>
      <c r="HL945" s="19">
        <v>40</v>
      </c>
      <c r="HM945" s="19">
        <v>39</v>
      </c>
      <c r="HN945" s="19">
        <v>38</v>
      </c>
      <c r="HO945" s="19">
        <v>67</v>
      </c>
      <c r="HP945" s="19">
        <v>66</v>
      </c>
      <c r="HQ945" s="19">
        <v>65</v>
      </c>
      <c r="HR945" s="19">
        <v>64</v>
      </c>
      <c r="HS945" s="19">
        <v>63</v>
      </c>
      <c r="HT945" s="19">
        <v>62</v>
      </c>
      <c r="HU945" s="19">
        <v>61</v>
      </c>
      <c r="HV945" s="19">
        <v>60</v>
      </c>
      <c r="HW945" s="19">
        <v>59</v>
      </c>
      <c r="HX945" s="19">
        <v>58</v>
      </c>
      <c r="HY945" s="19">
        <v>57</v>
      </c>
      <c r="HZ945" s="19">
        <v>56</v>
      </c>
      <c r="IA945" s="19">
        <v>55</v>
      </c>
      <c r="IB945" s="19">
        <v>54</v>
      </c>
    </row>
    <row r="946">
      <c r="A946" s="2" t="s">
        <v>4850</v>
      </c>
      <c r="B946" s="2" t="s">
        <v>279</v>
      </c>
      <c r="C946" s="2" t="s">
        <v>280</v>
      </c>
      <c r="D946" s="2" t="s">
        <v>281</v>
      </c>
      <c r="E946" s="2" t="s">
        <v>282</v>
      </c>
      <c r="F946" s="2" t="s">
        <v>4818</v>
      </c>
      <c r="G946" s="2" t="s">
        <v>4818</v>
      </c>
      <c r="H946" s="2" t="s">
        <v>4818</v>
      </c>
      <c r="I946" s="2" t="s">
        <v>4819</v>
      </c>
      <c r="J946" s="2" t="s">
        <v>228</v>
      </c>
      <c r="K946" s="2" t="s">
        <v>651</v>
      </c>
      <c r="L946" s="3">
        <v>21.6</v>
      </c>
      <c r="M946" s="3">
        <v>22.68</v>
      </c>
      <c r="N946" s="3">
        <v>47.99</v>
      </c>
      <c r="O946" s="2" t="s">
        <v>230</v>
      </c>
      <c r="P946" s="2" t="s">
        <v>231</v>
      </c>
      <c r="Q946" s="2" t="s">
        <v>232</v>
      </c>
      <c r="R946" s="2" t="s">
        <v>233</v>
      </c>
      <c r="S946" s="2" t="s">
        <v>4851</v>
      </c>
      <c r="T946" s="2" t="s">
        <v>348</v>
      </c>
      <c r="U946" s="2" t="s">
        <v>781</v>
      </c>
      <c r="V946" s="2" t="s">
        <v>236</v>
      </c>
      <c r="W946" s="2" t="s">
        <v>237</v>
      </c>
      <c r="X946" s="2" t="s">
        <v>233</v>
      </c>
      <c r="Y946" s="2" t="s">
        <v>4821</v>
      </c>
      <c r="Z946" s="4">
        <v>27</v>
      </c>
      <c r="AA946" s="4">
        <f>=ROUNDDOWN(9,0)</f>
      </c>
      <c r="AB946" s="5">
        <v>3</v>
      </c>
      <c r="AC946" s="2" t="s">
        <v>138</v>
      </c>
      <c r="AD946" s="4">
        <v>80</v>
      </c>
      <c r="AE946" s="4">
        <v>80</v>
      </c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233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233</v>
      </c>
      <c r="AW946" s="8" t="s">
        <v>233</v>
      </c>
      <c r="AX946" s="4" t="s">
        <v>233</v>
      </c>
      <c r="AY946" s="8" t="s">
        <v>233</v>
      </c>
      <c r="AZ946" s="7" t="s">
        <v>233</v>
      </c>
      <c r="BA946" s="7" t="s">
        <v>233</v>
      </c>
      <c r="BB946" s="7"/>
      <c r="BC946" s="4" t="s">
        <v>233</v>
      </c>
      <c r="BD946" s="8" t="s">
        <v>233</v>
      </c>
      <c r="BE946" s="4" t="s">
        <v>233</v>
      </c>
      <c r="BF946" s="8" t="s">
        <v>233</v>
      </c>
      <c r="BG946" s="7" t="s">
        <v>233</v>
      </c>
      <c r="BH946" s="7" t="s">
        <v>233</v>
      </c>
      <c r="BI946" s="7"/>
      <c r="BJ946" s="4">
        <v>12</v>
      </c>
      <c r="BK946" s="8">
        <v>288.01</v>
      </c>
      <c r="BL946" s="2" t="s">
        <v>4313</v>
      </c>
      <c r="BM946" s="7"/>
      <c r="BN946" s="7"/>
      <c r="BO946" s="4"/>
      <c r="BP946" s="8"/>
      <c r="BQ946" s="4"/>
      <c r="BR946" s="8"/>
      <c r="BS946" s="7"/>
      <c r="BT946" s="7"/>
      <c r="BU946" s="2" t="s">
        <v>4823</v>
      </c>
      <c r="BV946" s="2" t="s">
        <v>233</v>
      </c>
      <c r="BW946" s="2" t="s">
        <v>233</v>
      </c>
      <c r="BX946" s="2" t="s">
        <v>241</v>
      </c>
      <c r="BY946" s="2" t="s">
        <v>242</v>
      </c>
      <c r="BZ946" s="2" t="s">
        <v>230</v>
      </c>
      <c r="CA946" s="2" t="s">
        <v>4824</v>
      </c>
      <c r="CB946" s="2" t="s">
        <v>4852</v>
      </c>
      <c r="CC946" s="2" t="s">
        <v>245</v>
      </c>
      <c r="CD946" s="2" t="s">
        <v>233</v>
      </c>
      <c r="CE946" s="4">
        <v>27</v>
      </c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>
        <v>80</v>
      </c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>
        <v>29</v>
      </c>
      <c r="GD946" s="4">
        <v>25</v>
      </c>
      <c r="GE946" s="4">
        <v>102</v>
      </c>
      <c r="GF946" s="4">
        <v>98</v>
      </c>
      <c r="GG946" s="4">
        <v>90</v>
      </c>
      <c r="GH946" s="4">
        <v>82</v>
      </c>
      <c r="GI946" s="4">
        <v>76</v>
      </c>
      <c r="GJ946" s="4">
        <v>73</v>
      </c>
      <c r="GK946" s="4">
        <v>71</v>
      </c>
      <c r="GL946" s="4">
        <v>68</v>
      </c>
      <c r="GM946" s="4">
        <v>65</v>
      </c>
      <c r="GN946" s="4">
        <v>62</v>
      </c>
      <c r="GO946" s="4">
        <v>59</v>
      </c>
      <c r="GP946" s="4">
        <v>56</v>
      </c>
      <c r="GQ946" s="4">
        <v>53</v>
      </c>
      <c r="GR946" s="4">
        <v>50</v>
      </c>
      <c r="GS946" s="4">
        <v>47</v>
      </c>
      <c r="GT946" s="4">
        <v>44</v>
      </c>
      <c r="GU946" s="4">
        <v>41</v>
      </c>
      <c r="GV946" s="4">
        <v>51</v>
      </c>
      <c r="GW946" s="4">
        <v>48</v>
      </c>
      <c r="GX946" s="4">
        <v>45</v>
      </c>
      <c r="GY946" s="4">
        <v>42</v>
      </c>
      <c r="GZ946" s="4">
        <v>39</v>
      </c>
      <c r="HA946" s="4">
        <v>36</v>
      </c>
      <c r="HB946" s="4">
        <v>33</v>
      </c>
      <c r="HC946" s="19">
        <v>5.8</v>
      </c>
      <c r="HD946" s="19">
        <v>4.2</v>
      </c>
      <c r="HE946" s="19">
        <v>17</v>
      </c>
      <c r="HF946" s="19">
        <v>16.3</v>
      </c>
      <c r="HG946" s="19">
        <v>18</v>
      </c>
      <c r="HH946" s="19">
        <v>20.5</v>
      </c>
      <c r="HI946" s="19">
        <v>25.3</v>
      </c>
      <c r="HJ946" s="19">
        <v>24.3</v>
      </c>
      <c r="HK946" s="19">
        <v>23.7</v>
      </c>
      <c r="HL946" s="19">
        <v>22.7</v>
      </c>
      <c r="HM946" s="19">
        <v>21.7</v>
      </c>
      <c r="HN946" s="19">
        <v>20.7</v>
      </c>
      <c r="HO946" s="19">
        <v>19.7</v>
      </c>
      <c r="HP946" s="19">
        <v>18.7</v>
      </c>
      <c r="HQ946" s="19">
        <v>17.7</v>
      </c>
      <c r="HR946" s="19">
        <v>16.7</v>
      </c>
      <c r="HS946" s="19">
        <v>15.7</v>
      </c>
      <c r="HT946" s="19">
        <v>14.7</v>
      </c>
      <c r="HU946" s="19">
        <v>13.7</v>
      </c>
      <c r="HV946" s="19">
        <v>17</v>
      </c>
      <c r="HW946" s="19">
        <v>16</v>
      </c>
      <c r="HX946" s="19">
        <v>15</v>
      </c>
      <c r="HY946" s="19">
        <v>14</v>
      </c>
      <c r="HZ946" s="19">
        <v>13</v>
      </c>
      <c r="IA946" s="19">
        <v>12</v>
      </c>
      <c r="IB946" s="19">
        <v>11</v>
      </c>
    </row>
    <row r="947">
      <c r="A947" s="2" t="s">
        <v>4853</v>
      </c>
      <c r="B947" s="2" t="s">
        <v>279</v>
      </c>
      <c r="C947" s="2" t="s">
        <v>280</v>
      </c>
      <c r="D947" s="2" t="s">
        <v>281</v>
      </c>
      <c r="E947" s="2" t="s">
        <v>282</v>
      </c>
      <c r="F947" s="2" t="s">
        <v>4818</v>
      </c>
      <c r="G947" s="2" t="s">
        <v>4818</v>
      </c>
      <c r="H947" s="2" t="s">
        <v>4818</v>
      </c>
      <c r="I947" s="2" t="s">
        <v>4819</v>
      </c>
      <c r="J947" s="2" t="s">
        <v>252</v>
      </c>
      <c r="K947" s="2" t="s">
        <v>651</v>
      </c>
      <c r="L947" s="3">
        <v>27</v>
      </c>
      <c r="M947" s="3">
        <v>28.35</v>
      </c>
      <c r="N947" s="3">
        <v>59.99</v>
      </c>
      <c r="O947" s="2" t="s">
        <v>230</v>
      </c>
      <c r="P947" s="2" t="s">
        <v>231</v>
      </c>
      <c r="Q947" s="2" t="s">
        <v>232</v>
      </c>
      <c r="R947" s="2" t="s">
        <v>233</v>
      </c>
      <c r="S947" s="2" t="s">
        <v>4851</v>
      </c>
      <c r="T947" s="2" t="s">
        <v>348</v>
      </c>
      <c r="U947" s="2" t="s">
        <v>287</v>
      </c>
      <c r="V947" s="2" t="s">
        <v>236</v>
      </c>
      <c r="W947" s="2" t="s">
        <v>237</v>
      </c>
      <c r="X947" s="2" t="s">
        <v>233</v>
      </c>
      <c r="Y947" s="2" t="s">
        <v>4821</v>
      </c>
      <c r="Z947" s="4">
        <v>87</v>
      </c>
      <c r="AA947" s="4">
        <f>=ROUNDDOWN(29,0)</f>
      </c>
      <c r="AB947" s="5">
        <v>3</v>
      </c>
      <c r="AC947" s="2" t="s">
        <v>138</v>
      </c>
      <c r="AD947" s="4">
        <v>80</v>
      </c>
      <c r="AE947" s="4">
        <v>80</v>
      </c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233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233</v>
      </c>
      <c r="AW947" s="8" t="s">
        <v>233</v>
      </c>
      <c r="AX947" s="4" t="s">
        <v>233</v>
      </c>
      <c r="AY947" s="8" t="s">
        <v>233</v>
      </c>
      <c r="AZ947" s="7" t="s">
        <v>233</v>
      </c>
      <c r="BA947" s="7" t="s">
        <v>233</v>
      </c>
      <c r="BB947" s="7"/>
      <c r="BC947" s="4" t="s">
        <v>233</v>
      </c>
      <c r="BD947" s="8" t="s">
        <v>233</v>
      </c>
      <c r="BE947" s="4" t="s">
        <v>233</v>
      </c>
      <c r="BF947" s="8" t="s">
        <v>233</v>
      </c>
      <c r="BG947" s="7" t="s">
        <v>233</v>
      </c>
      <c r="BH947" s="7" t="s">
        <v>233</v>
      </c>
      <c r="BI947" s="7"/>
      <c r="BJ947" s="4">
        <v>8</v>
      </c>
      <c r="BK947" s="8">
        <v>236.58</v>
      </c>
      <c r="BL947" s="2" t="s">
        <v>522</v>
      </c>
      <c r="BM947" s="7"/>
      <c r="BN947" s="7"/>
      <c r="BO947" s="4"/>
      <c r="BP947" s="8"/>
      <c r="BQ947" s="4"/>
      <c r="BR947" s="8"/>
      <c r="BS947" s="7"/>
      <c r="BT947" s="7"/>
      <c r="BU947" s="2" t="s">
        <v>4823</v>
      </c>
      <c r="BV947" s="2" t="s">
        <v>233</v>
      </c>
      <c r="BW947" s="2" t="s">
        <v>233</v>
      </c>
      <c r="BX947" s="2" t="s">
        <v>241</v>
      </c>
      <c r="BY947" s="2" t="s">
        <v>242</v>
      </c>
      <c r="BZ947" s="2" t="s">
        <v>230</v>
      </c>
      <c r="CA947" s="2" t="s">
        <v>4824</v>
      </c>
      <c r="CB947" s="2" t="s">
        <v>4854</v>
      </c>
      <c r="CC947" s="2" t="s">
        <v>245</v>
      </c>
      <c r="CD947" s="2" t="s">
        <v>233</v>
      </c>
      <c r="CE947" s="4">
        <v>87</v>
      </c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>
        <v>80</v>
      </c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>
        <v>87</v>
      </c>
      <c r="GD947" s="4">
        <v>85</v>
      </c>
      <c r="GE947" s="4">
        <v>162</v>
      </c>
      <c r="GF947" s="4">
        <v>158</v>
      </c>
      <c r="GG947" s="4">
        <v>150</v>
      </c>
      <c r="GH947" s="4">
        <v>142</v>
      </c>
      <c r="GI947" s="4">
        <v>136</v>
      </c>
      <c r="GJ947" s="4">
        <v>133</v>
      </c>
      <c r="GK947" s="4">
        <v>131</v>
      </c>
      <c r="GL947" s="4">
        <v>128</v>
      </c>
      <c r="GM947" s="4">
        <v>125</v>
      </c>
      <c r="GN947" s="4">
        <v>122</v>
      </c>
      <c r="GO947" s="4">
        <v>119</v>
      </c>
      <c r="GP947" s="4">
        <v>116</v>
      </c>
      <c r="GQ947" s="4">
        <v>113</v>
      </c>
      <c r="GR947" s="4">
        <v>110</v>
      </c>
      <c r="GS947" s="4">
        <v>107</v>
      </c>
      <c r="GT947" s="4">
        <v>104</v>
      </c>
      <c r="GU947" s="4">
        <v>101</v>
      </c>
      <c r="GV947" s="4">
        <v>98</v>
      </c>
      <c r="GW947" s="4">
        <v>95</v>
      </c>
      <c r="GX947" s="4">
        <v>92</v>
      </c>
      <c r="GY947" s="4">
        <v>89</v>
      </c>
      <c r="GZ947" s="4">
        <v>86</v>
      </c>
      <c r="HA947" s="4">
        <v>83</v>
      </c>
      <c r="HB947" s="4">
        <v>80</v>
      </c>
      <c r="HC947" s="19">
        <v>21.8</v>
      </c>
      <c r="HD947" s="19">
        <v>14.2</v>
      </c>
      <c r="HE947" s="19">
        <v>27</v>
      </c>
      <c r="HF947" s="19">
        <v>26.3</v>
      </c>
      <c r="HG947" s="19">
        <v>30</v>
      </c>
      <c r="HH947" s="19">
        <v>35.5</v>
      </c>
      <c r="HI947" s="19">
        <v>45.3</v>
      </c>
      <c r="HJ947" s="19">
        <v>44.3</v>
      </c>
      <c r="HK947" s="19">
        <v>43.7</v>
      </c>
      <c r="HL947" s="19">
        <v>42.7</v>
      </c>
      <c r="HM947" s="19">
        <v>41.7</v>
      </c>
      <c r="HN947" s="19">
        <v>40.7</v>
      </c>
      <c r="HO947" s="19">
        <v>39.7</v>
      </c>
      <c r="HP947" s="19">
        <v>38.7</v>
      </c>
      <c r="HQ947" s="19">
        <v>37.7</v>
      </c>
      <c r="HR947" s="19">
        <v>36.7</v>
      </c>
      <c r="HS947" s="19">
        <v>35.7</v>
      </c>
      <c r="HT947" s="19">
        <v>34.7</v>
      </c>
      <c r="HU947" s="19">
        <v>33.7</v>
      </c>
      <c r="HV947" s="19">
        <v>32.7</v>
      </c>
      <c r="HW947" s="19">
        <v>31.7</v>
      </c>
      <c r="HX947" s="19">
        <v>30.7</v>
      </c>
      <c r="HY947" s="19">
        <v>29.7</v>
      </c>
      <c r="HZ947" s="19">
        <v>28.7</v>
      </c>
      <c r="IA947" s="19">
        <v>27.7</v>
      </c>
      <c r="IB947" s="19">
        <v>26.7</v>
      </c>
    </row>
    <row r="948">
      <c r="A948" s="2" t="s">
        <v>4855</v>
      </c>
      <c r="B948" s="2" t="s">
        <v>279</v>
      </c>
      <c r="C948" s="2" t="s">
        <v>280</v>
      </c>
      <c r="D948" s="2" t="s">
        <v>281</v>
      </c>
      <c r="E948" s="2" t="s">
        <v>282</v>
      </c>
      <c r="F948" s="2" t="s">
        <v>4818</v>
      </c>
      <c r="G948" s="2" t="s">
        <v>4818</v>
      </c>
      <c r="H948" s="2" t="s">
        <v>4818</v>
      </c>
      <c r="I948" s="2" t="s">
        <v>4819</v>
      </c>
      <c r="J948" s="2" t="s">
        <v>285</v>
      </c>
      <c r="K948" s="2" t="s">
        <v>651</v>
      </c>
      <c r="L948" s="3">
        <v>32.2</v>
      </c>
      <c r="M948" s="3">
        <v>33.81</v>
      </c>
      <c r="N948" s="3">
        <v>69.99</v>
      </c>
      <c r="O948" s="2" t="s">
        <v>230</v>
      </c>
      <c r="P948" s="2" t="s">
        <v>231</v>
      </c>
      <c r="Q948" s="2" t="s">
        <v>232</v>
      </c>
      <c r="R948" s="2" t="s">
        <v>233</v>
      </c>
      <c r="S948" s="2" t="s">
        <v>4851</v>
      </c>
      <c r="T948" s="2" t="s">
        <v>348</v>
      </c>
      <c r="U948" s="2" t="s">
        <v>287</v>
      </c>
      <c r="V948" s="2" t="s">
        <v>236</v>
      </c>
      <c r="W948" s="2" t="s">
        <v>237</v>
      </c>
      <c r="X948" s="2" t="s">
        <v>233</v>
      </c>
      <c r="Y948" s="2" t="s">
        <v>4821</v>
      </c>
      <c r="Z948" s="4">
        <v>33</v>
      </c>
      <c r="AA948" s="4">
        <f>=ROUNDDOWN(9.42857142857143,0)</f>
      </c>
      <c r="AB948" s="5">
        <v>3.5</v>
      </c>
      <c r="AC948" s="2" t="s">
        <v>138</v>
      </c>
      <c r="AD948" s="4">
        <v>60</v>
      </c>
      <c r="AE948" s="4">
        <v>60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233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233</v>
      </c>
      <c r="AW948" s="8" t="s">
        <v>233</v>
      </c>
      <c r="AX948" s="4" t="s">
        <v>233</v>
      </c>
      <c r="AY948" s="8" t="s">
        <v>233</v>
      </c>
      <c r="AZ948" s="7" t="s">
        <v>233</v>
      </c>
      <c r="BA948" s="7" t="s">
        <v>233</v>
      </c>
      <c r="BB948" s="7"/>
      <c r="BC948" s="4" t="s">
        <v>233</v>
      </c>
      <c r="BD948" s="8" t="s">
        <v>233</v>
      </c>
      <c r="BE948" s="4" t="s">
        <v>233</v>
      </c>
      <c r="BF948" s="8" t="s">
        <v>233</v>
      </c>
      <c r="BG948" s="7" t="s">
        <v>233</v>
      </c>
      <c r="BH948" s="7" t="s">
        <v>233</v>
      </c>
      <c r="BI948" s="7"/>
      <c r="BJ948" s="4">
        <v>19</v>
      </c>
      <c r="BK948" s="8">
        <v>670.21</v>
      </c>
      <c r="BL948" s="2" t="s">
        <v>678</v>
      </c>
      <c r="BM948" s="7"/>
      <c r="BN948" s="7"/>
      <c r="BO948" s="4"/>
      <c r="BP948" s="8"/>
      <c r="BQ948" s="4"/>
      <c r="BR948" s="8"/>
      <c r="BS948" s="7"/>
      <c r="BT948" s="7"/>
      <c r="BU948" s="2" t="s">
        <v>4823</v>
      </c>
      <c r="BV948" s="2" t="s">
        <v>233</v>
      </c>
      <c r="BW948" s="2" t="s">
        <v>233</v>
      </c>
      <c r="BX948" s="2" t="s">
        <v>241</v>
      </c>
      <c r="BY948" s="2" t="s">
        <v>242</v>
      </c>
      <c r="BZ948" s="2" t="s">
        <v>230</v>
      </c>
      <c r="CA948" s="2" t="s">
        <v>4824</v>
      </c>
      <c r="CB948" s="2" t="s">
        <v>4856</v>
      </c>
      <c r="CC948" s="2" t="s">
        <v>245</v>
      </c>
      <c r="CD948" s="2" t="s">
        <v>233</v>
      </c>
      <c r="CE948" s="4">
        <v>33</v>
      </c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>
        <v>60</v>
      </c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>
        <v>34</v>
      </c>
      <c r="GD948" s="4">
        <v>31</v>
      </c>
      <c r="GE948" s="4">
        <v>87</v>
      </c>
      <c r="GF948" s="4">
        <v>82</v>
      </c>
      <c r="GG948" s="4">
        <v>72</v>
      </c>
      <c r="GH948" s="4">
        <v>63</v>
      </c>
      <c r="GI948" s="4">
        <v>55</v>
      </c>
      <c r="GJ948" s="4">
        <v>51</v>
      </c>
      <c r="GK948" s="4">
        <v>48</v>
      </c>
      <c r="GL948" s="4">
        <v>44</v>
      </c>
      <c r="GM948" s="4">
        <v>40</v>
      </c>
      <c r="GN948" s="4">
        <v>36</v>
      </c>
      <c r="GO948" s="4">
        <v>32</v>
      </c>
      <c r="GP948" s="4">
        <v>28</v>
      </c>
      <c r="GQ948" s="4">
        <v>24</v>
      </c>
      <c r="GR948" s="4">
        <v>20</v>
      </c>
      <c r="GS948" s="4">
        <v>16</v>
      </c>
      <c r="GT948" s="4">
        <v>12</v>
      </c>
      <c r="GU948" s="4">
        <v>8</v>
      </c>
      <c r="GV948" s="4">
        <v>68</v>
      </c>
      <c r="GW948" s="4">
        <v>64</v>
      </c>
      <c r="GX948" s="4">
        <v>60</v>
      </c>
      <c r="GY948" s="4">
        <v>56</v>
      </c>
      <c r="GZ948" s="4">
        <v>52</v>
      </c>
      <c r="HA948" s="4">
        <v>48</v>
      </c>
      <c r="HB948" s="4">
        <v>44</v>
      </c>
      <c r="HC948" s="19">
        <v>5.7</v>
      </c>
      <c r="HD948" s="19">
        <v>4.4</v>
      </c>
      <c r="HE948" s="19">
        <v>10.9</v>
      </c>
      <c r="HF948" s="19">
        <v>10.3</v>
      </c>
      <c r="HG948" s="19">
        <v>12</v>
      </c>
      <c r="HH948" s="19">
        <v>12.6</v>
      </c>
      <c r="HI948" s="19">
        <v>13.8</v>
      </c>
      <c r="HJ948" s="19">
        <v>12.8</v>
      </c>
      <c r="HK948" s="19">
        <v>12</v>
      </c>
      <c r="HL948" s="19">
        <v>11</v>
      </c>
      <c r="HM948" s="19">
        <v>10</v>
      </c>
      <c r="HN948" s="19">
        <v>9</v>
      </c>
      <c r="HO948" s="19">
        <v>8</v>
      </c>
      <c r="HP948" s="19">
        <v>7</v>
      </c>
      <c r="HQ948" s="19">
        <v>6</v>
      </c>
      <c r="HR948" s="19">
        <v>5</v>
      </c>
      <c r="HS948" s="19">
        <v>4</v>
      </c>
      <c r="HT948" s="19">
        <v>3</v>
      </c>
      <c r="HU948" s="19">
        <v>2</v>
      </c>
      <c r="HV948" s="19">
        <v>17</v>
      </c>
      <c r="HW948" s="19">
        <v>16</v>
      </c>
      <c r="HX948" s="19">
        <v>15</v>
      </c>
      <c r="HY948" s="19">
        <v>14</v>
      </c>
      <c r="HZ948" s="19">
        <v>13</v>
      </c>
      <c r="IA948" s="19">
        <v>12</v>
      </c>
      <c r="IB948" s="19">
        <v>11</v>
      </c>
    </row>
    <row r="949">
      <c r="A949" s="2" t="s">
        <v>4857</v>
      </c>
      <c r="B949" s="2" t="s">
        <v>279</v>
      </c>
      <c r="C949" s="2" t="s">
        <v>280</v>
      </c>
      <c r="D949" s="2" t="s">
        <v>281</v>
      </c>
      <c r="E949" s="2" t="s">
        <v>282</v>
      </c>
      <c r="F949" s="2" t="s">
        <v>4818</v>
      </c>
      <c r="G949" s="2" t="s">
        <v>4818</v>
      </c>
      <c r="H949" s="2" t="s">
        <v>4818</v>
      </c>
      <c r="I949" s="2" t="s">
        <v>4819</v>
      </c>
      <c r="J949" s="2" t="s">
        <v>228</v>
      </c>
      <c r="K949" s="2" t="s">
        <v>266</v>
      </c>
      <c r="L949" s="3">
        <v>21.6</v>
      </c>
      <c r="M949" s="3">
        <v>22.68</v>
      </c>
      <c r="N949" s="3">
        <v>47.99</v>
      </c>
      <c r="O949" s="2" t="s">
        <v>230</v>
      </c>
      <c r="P949" s="2" t="s">
        <v>231</v>
      </c>
      <c r="Q949" s="2" t="s">
        <v>232</v>
      </c>
      <c r="R949" s="2" t="s">
        <v>233</v>
      </c>
      <c r="S949" s="2" t="s">
        <v>4858</v>
      </c>
      <c r="T949" s="2" t="s">
        <v>348</v>
      </c>
      <c r="U949" s="2" t="s">
        <v>781</v>
      </c>
      <c r="V949" s="2" t="s">
        <v>236</v>
      </c>
      <c r="W949" s="2" t="s">
        <v>237</v>
      </c>
      <c r="X949" s="2" t="s">
        <v>233</v>
      </c>
      <c r="Y949" s="2" t="s">
        <v>4821</v>
      </c>
      <c r="Z949" s="4">
        <v>2</v>
      </c>
      <c r="AA949" s="4">
        <f>=ROUNDDOWN(0.232558139534884,0)</f>
      </c>
      <c r="AB949" s="5">
        <v>8.6</v>
      </c>
      <c r="AC949" s="2" t="s">
        <v>138</v>
      </c>
      <c r="AD949" s="4">
        <v>50</v>
      </c>
      <c r="AE949" s="4">
        <v>220</v>
      </c>
      <c r="AF949" s="6">
        <v>65</v>
      </c>
      <c r="AG949" s="6"/>
      <c r="AH949" s="7">
        <v>0.871</v>
      </c>
      <c r="AI949" s="4"/>
      <c r="AJ949" s="4">
        <f>=ROUNDDOWN({0},0)</f>
      </c>
      <c r="AK949" s="5"/>
      <c r="AL949" s="2" t="s">
        <v>233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233</v>
      </c>
      <c r="AW949" s="8" t="s">
        <v>233</v>
      </c>
      <c r="AX949" s="4" t="s">
        <v>233</v>
      </c>
      <c r="AY949" s="8" t="s">
        <v>233</v>
      </c>
      <c r="AZ949" s="7" t="s">
        <v>233</v>
      </c>
      <c r="BA949" s="7" t="s">
        <v>233</v>
      </c>
      <c r="BB949" s="7"/>
      <c r="BC949" s="4" t="s">
        <v>233</v>
      </c>
      <c r="BD949" s="8" t="s">
        <v>233</v>
      </c>
      <c r="BE949" s="4" t="s">
        <v>233</v>
      </c>
      <c r="BF949" s="8" t="s">
        <v>233</v>
      </c>
      <c r="BG949" s="7" t="s">
        <v>233</v>
      </c>
      <c r="BH949" s="7" t="s">
        <v>233</v>
      </c>
      <c r="BI949" s="7"/>
      <c r="BJ949" s="4">
        <v>58</v>
      </c>
      <c r="BK949" s="8">
        <v>1515.64</v>
      </c>
      <c r="BL949" s="2" t="s">
        <v>567</v>
      </c>
      <c r="BM949" s="7"/>
      <c r="BN949" s="7"/>
      <c r="BO949" s="4"/>
      <c r="BP949" s="8"/>
      <c r="BQ949" s="4"/>
      <c r="BR949" s="8"/>
      <c r="BS949" s="7"/>
      <c r="BT949" s="7"/>
      <c r="BU949" s="2" t="s">
        <v>4823</v>
      </c>
      <c r="BV949" s="2" t="s">
        <v>233</v>
      </c>
      <c r="BW949" s="2" t="s">
        <v>233</v>
      </c>
      <c r="BX949" s="2" t="s">
        <v>241</v>
      </c>
      <c r="BY949" s="2" t="s">
        <v>242</v>
      </c>
      <c r="BZ949" s="2" t="s">
        <v>230</v>
      </c>
      <c r="CA949" s="2" t="s">
        <v>4824</v>
      </c>
      <c r="CB949" s="2" t="s">
        <v>4859</v>
      </c>
      <c r="CC949" s="2" t="s">
        <v>245</v>
      </c>
      <c r="CD949" s="2" t="s">
        <v>233</v>
      </c>
      <c r="CE949" s="4">
        <v>2</v>
      </c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>
        <v>50</v>
      </c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>
        <v>80</v>
      </c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>
        <v>90</v>
      </c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>
        <v>9</v>
      </c>
      <c r="GD949" s="4"/>
      <c r="GE949" s="4">
        <v>50</v>
      </c>
      <c r="GF949" s="4">
        <v>38</v>
      </c>
      <c r="GG949" s="4">
        <v>14</v>
      </c>
      <c r="GH949" s="4"/>
      <c r="GI949" s="4"/>
      <c r="GJ949" s="4"/>
      <c r="GK949" s="4">
        <v>80</v>
      </c>
      <c r="GL949" s="4">
        <v>71</v>
      </c>
      <c r="GM949" s="4">
        <v>62</v>
      </c>
      <c r="GN949" s="4">
        <v>53</v>
      </c>
      <c r="GO949" s="4">
        <v>134</v>
      </c>
      <c r="GP949" s="4">
        <v>125</v>
      </c>
      <c r="GQ949" s="4">
        <v>116</v>
      </c>
      <c r="GR949" s="4">
        <v>107</v>
      </c>
      <c r="GS949" s="4">
        <v>98</v>
      </c>
      <c r="GT949" s="4">
        <v>89</v>
      </c>
      <c r="GU949" s="4">
        <v>80</v>
      </c>
      <c r="GV949" s="4">
        <v>71</v>
      </c>
      <c r="GW949" s="4">
        <v>62</v>
      </c>
      <c r="GX949" s="4">
        <v>53</v>
      </c>
      <c r="GY949" s="4">
        <v>44</v>
      </c>
      <c r="GZ949" s="4">
        <v>35</v>
      </c>
      <c r="HA949" s="4">
        <v>26</v>
      </c>
      <c r="HB949" s="4">
        <v>111</v>
      </c>
      <c r="HC949" s="19">
        <v>0.6</v>
      </c>
      <c r="HD949" s="20">
        <v>0</v>
      </c>
      <c r="HE949" s="19">
        <v>2.5</v>
      </c>
      <c r="HF949" s="19">
        <v>2</v>
      </c>
      <c r="HG949" s="19">
        <v>0.9</v>
      </c>
      <c r="HH949" s="20">
        <v>0</v>
      </c>
      <c r="HI949" s="20">
        <v>0</v>
      </c>
      <c r="HJ949" s="20">
        <v>0</v>
      </c>
      <c r="HK949" s="19">
        <v>8.9</v>
      </c>
      <c r="HL949" s="19">
        <v>7.9</v>
      </c>
      <c r="HM949" s="19">
        <v>6.9</v>
      </c>
      <c r="HN949" s="19">
        <v>5.9</v>
      </c>
      <c r="HO949" s="19">
        <v>14.9</v>
      </c>
      <c r="HP949" s="19">
        <v>13.9</v>
      </c>
      <c r="HQ949" s="19">
        <v>12.9</v>
      </c>
      <c r="HR949" s="19">
        <v>11.9</v>
      </c>
      <c r="HS949" s="19">
        <v>10.9</v>
      </c>
      <c r="HT949" s="19">
        <v>9.9</v>
      </c>
      <c r="HU949" s="19">
        <v>8.9</v>
      </c>
      <c r="HV949" s="19">
        <v>7.9</v>
      </c>
      <c r="HW949" s="19">
        <v>6.9</v>
      </c>
      <c r="HX949" s="19">
        <v>5.9</v>
      </c>
      <c r="HY949" s="19">
        <v>4.9</v>
      </c>
      <c r="HZ949" s="19">
        <v>3.9</v>
      </c>
      <c r="IA949" s="19">
        <v>2.9</v>
      </c>
      <c r="IB949" s="19">
        <v>12.3</v>
      </c>
    </row>
    <row r="950">
      <c r="A950" s="2" t="s">
        <v>4860</v>
      </c>
      <c r="B950" s="2" t="s">
        <v>279</v>
      </c>
      <c r="C950" s="2" t="s">
        <v>280</v>
      </c>
      <c r="D950" s="2" t="s">
        <v>281</v>
      </c>
      <c r="E950" s="2" t="s">
        <v>282</v>
      </c>
      <c r="F950" s="2" t="s">
        <v>4818</v>
      </c>
      <c r="G950" s="2" t="s">
        <v>4818</v>
      </c>
      <c r="H950" s="2" t="s">
        <v>4818</v>
      </c>
      <c r="I950" s="2" t="s">
        <v>4819</v>
      </c>
      <c r="J950" s="2" t="s">
        <v>252</v>
      </c>
      <c r="K950" s="2" t="s">
        <v>266</v>
      </c>
      <c r="L950" s="3">
        <v>27</v>
      </c>
      <c r="M950" s="3">
        <v>28.35</v>
      </c>
      <c r="N950" s="3">
        <v>59.99</v>
      </c>
      <c r="O950" s="2" t="s">
        <v>230</v>
      </c>
      <c r="P950" s="2" t="s">
        <v>231</v>
      </c>
      <c r="Q950" s="2" t="s">
        <v>232</v>
      </c>
      <c r="R950" s="2" t="s">
        <v>233</v>
      </c>
      <c r="S950" s="2" t="s">
        <v>4858</v>
      </c>
      <c r="T950" s="2" t="s">
        <v>348</v>
      </c>
      <c r="U950" s="2" t="s">
        <v>287</v>
      </c>
      <c r="V950" s="2" t="s">
        <v>236</v>
      </c>
      <c r="W950" s="2" t="s">
        <v>237</v>
      </c>
      <c r="X950" s="2" t="s">
        <v>233</v>
      </c>
      <c r="Y950" s="2" t="s">
        <v>4821</v>
      </c>
      <c r="Z950" s="4">
        <v>72</v>
      </c>
      <c r="AA950" s="4">
        <f>=ROUNDDOWN(12,0)</f>
      </c>
      <c r="AB950" s="5">
        <v>6</v>
      </c>
      <c r="AC950" s="2" t="s">
        <v>138</v>
      </c>
      <c r="AD950" s="4">
        <v>50</v>
      </c>
      <c r="AE950" s="4">
        <v>280</v>
      </c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233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233</v>
      </c>
      <c r="AW950" s="8" t="s">
        <v>233</v>
      </c>
      <c r="AX950" s="4" t="s">
        <v>233</v>
      </c>
      <c r="AY950" s="8" t="s">
        <v>233</v>
      </c>
      <c r="AZ950" s="7" t="s">
        <v>233</v>
      </c>
      <c r="BA950" s="7" t="s">
        <v>233</v>
      </c>
      <c r="BB950" s="7"/>
      <c r="BC950" s="4" t="s">
        <v>233</v>
      </c>
      <c r="BD950" s="8" t="s">
        <v>233</v>
      </c>
      <c r="BE950" s="4" t="s">
        <v>233</v>
      </c>
      <c r="BF950" s="8" t="s">
        <v>233</v>
      </c>
      <c r="BG950" s="7" t="s">
        <v>233</v>
      </c>
      <c r="BH950" s="7" t="s">
        <v>233</v>
      </c>
      <c r="BI950" s="7"/>
      <c r="BJ950" s="4">
        <v>22</v>
      </c>
      <c r="BK950" s="8">
        <v>669.64</v>
      </c>
      <c r="BL950" s="2" t="s">
        <v>504</v>
      </c>
      <c r="BM950" s="7"/>
      <c r="BN950" s="7"/>
      <c r="BO950" s="4"/>
      <c r="BP950" s="8"/>
      <c r="BQ950" s="4"/>
      <c r="BR950" s="8"/>
      <c r="BS950" s="7"/>
      <c r="BT950" s="7"/>
      <c r="BU950" s="2" t="s">
        <v>4823</v>
      </c>
      <c r="BV950" s="2" t="s">
        <v>233</v>
      </c>
      <c r="BW950" s="2" t="s">
        <v>233</v>
      </c>
      <c r="BX950" s="2" t="s">
        <v>241</v>
      </c>
      <c r="BY950" s="2" t="s">
        <v>242</v>
      </c>
      <c r="BZ950" s="2" t="s">
        <v>230</v>
      </c>
      <c r="CA950" s="2" t="s">
        <v>4824</v>
      </c>
      <c r="CB950" s="2" t="s">
        <v>4861</v>
      </c>
      <c r="CC950" s="2" t="s">
        <v>245</v>
      </c>
      <c r="CD950" s="2" t="s">
        <v>233</v>
      </c>
      <c r="CE950" s="4">
        <v>72</v>
      </c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>
        <v>50</v>
      </c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>
        <v>60</v>
      </c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>
        <v>170</v>
      </c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>
        <v>72</v>
      </c>
      <c r="GD950" s="4">
        <v>68</v>
      </c>
      <c r="GE950" s="4">
        <v>111</v>
      </c>
      <c r="GF950" s="4">
        <v>103</v>
      </c>
      <c r="GG950" s="4">
        <v>87</v>
      </c>
      <c r="GH950" s="4">
        <v>72</v>
      </c>
      <c r="GI950" s="4">
        <v>59</v>
      </c>
      <c r="GJ950" s="4">
        <v>52</v>
      </c>
      <c r="GK950" s="4">
        <v>107</v>
      </c>
      <c r="GL950" s="4">
        <v>101</v>
      </c>
      <c r="GM950" s="4">
        <v>95</v>
      </c>
      <c r="GN950" s="4">
        <v>89</v>
      </c>
      <c r="GO950" s="4">
        <v>253</v>
      </c>
      <c r="GP950" s="4">
        <v>247</v>
      </c>
      <c r="GQ950" s="4">
        <v>241</v>
      </c>
      <c r="GR950" s="4">
        <v>235</v>
      </c>
      <c r="GS950" s="4">
        <v>229</v>
      </c>
      <c r="GT950" s="4">
        <v>223</v>
      </c>
      <c r="GU950" s="4">
        <v>217</v>
      </c>
      <c r="GV950" s="4">
        <v>211</v>
      </c>
      <c r="GW950" s="4">
        <v>205</v>
      </c>
      <c r="GX950" s="4">
        <v>199</v>
      </c>
      <c r="GY950" s="4">
        <v>193</v>
      </c>
      <c r="GZ950" s="4">
        <v>187</v>
      </c>
      <c r="HA950" s="4">
        <v>181</v>
      </c>
      <c r="HB950" s="4">
        <v>175</v>
      </c>
      <c r="HC950" s="19">
        <v>8</v>
      </c>
      <c r="HD950" s="19">
        <v>5.7</v>
      </c>
      <c r="HE950" s="19">
        <v>8.5</v>
      </c>
      <c r="HF950" s="19">
        <v>7.9</v>
      </c>
      <c r="HG950" s="19">
        <v>8.7</v>
      </c>
      <c r="HH950" s="19">
        <v>9</v>
      </c>
      <c r="HI950" s="19">
        <v>9.8</v>
      </c>
      <c r="HJ950" s="19">
        <v>8.7</v>
      </c>
      <c r="HK950" s="19">
        <v>17.8</v>
      </c>
      <c r="HL950" s="19">
        <v>16.8</v>
      </c>
      <c r="HM950" s="19">
        <v>15.8</v>
      </c>
      <c r="HN950" s="19">
        <v>14.8</v>
      </c>
      <c r="HO950" s="19">
        <v>42.2</v>
      </c>
      <c r="HP950" s="19">
        <v>41.2</v>
      </c>
      <c r="HQ950" s="19">
        <v>40.2</v>
      </c>
      <c r="HR950" s="19">
        <v>39.2</v>
      </c>
      <c r="HS950" s="19">
        <v>38.2</v>
      </c>
      <c r="HT950" s="19">
        <v>37.2</v>
      </c>
      <c r="HU950" s="19">
        <v>36.2</v>
      </c>
      <c r="HV950" s="19">
        <v>35.2</v>
      </c>
      <c r="HW950" s="19">
        <v>34.2</v>
      </c>
      <c r="HX950" s="19">
        <v>33.2</v>
      </c>
      <c r="HY950" s="19">
        <v>32.2</v>
      </c>
      <c r="HZ950" s="19">
        <v>31.2</v>
      </c>
      <c r="IA950" s="19">
        <v>30.2</v>
      </c>
      <c r="IB950" s="19">
        <v>29.2</v>
      </c>
    </row>
    <row r="951">
      <c r="A951" s="2" t="s">
        <v>4862</v>
      </c>
      <c r="B951" s="2" t="s">
        <v>279</v>
      </c>
      <c r="C951" s="2" t="s">
        <v>280</v>
      </c>
      <c r="D951" s="2" t="s">
        <v>281</v>
      </c>
      <c r="E951" s="2" t="s">
        <v>282</v>
      </c>
      <c r="F951" s="2" t="s">
        <v>4818</v>
      </c>
      <c r="G951" s="2" t="s">
        <v>4818</v>
      </c>
      <c r="H951" s="2" t="s">
        <v>4818</v>
      </c>
      <c r="I951" s="2" t="s">
        <v>4819</v>
      </c>
      <c r="J951" s="2" t="s">
        <v>256</v>
      </c>
      <c r="K951" s="2" t="s">
        <v>266</v>
      </c>
      <c r="L951" s="3">
        <v>32.2</v>
      </c>
      <c r="M951" s="3">
        <v>33.81</v>
      </c>
      <c r="N951" s="3">
        <v>69.99</v>
      </c>
      <c r="O951" s="2" t="s">
        <v>230</v>
      </c>
      <c r="P951" s="2" t="s">
        <v>231</v>
      </c>
      <c r="Q951" s="2" t="s">
        <v>232</v>
      </c>
      <c r="R951" s="2" t="s">
        <v>233</v>
      </c>
      <c r="S951" s="2" t="s">
        <v>4858</v>
      </c>
      <c r="T951" s="2" t="s">
        <v>348</v>
      </c>
      <c r="U951" s="2" t="s">
        <v>287</v>
      </c>
      <c r="V951" s="2" t="s">
        <v>236</v>
      </c>
      <c r="W951" s="2" t="s">
        <v>237</v>
      </c>
      <c r="X951" s="2" t="s">
        <v>233</v>
      </c>
      <c r="Y951" s="2" t="s">
        <v>4821</v>
      </c>
      <c r="Z951" s="4">
        <v>221</v>
      </c>
      <c r="AA951" s="4">
        <f>=ROUNDDOWN(21.047619047619,0)</f>
      </c>
      <c r="AB951" s="5">
        <v>10.5</v>
      </c>
      <c r="AC951" s="2" t="s">
        <v>138</v>
      </c>
      <c r="AD951" s="4">
        <v>70</v>
      </c>
      <c r="AE951" s="4">
        <v>160</v>
      </c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233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233</v>
      </c>
      <c r="AW951" s="8" t="s">
        <v>233</v>
      </c>
      <c r="AX951" s="4" t="s">
        <v>233</v>
      </c>
      <c r="AY951" s="8" t="s">
        <v>233</v>
      </c>
      <c r="AZ951" s="7" t="s">
        <v>233</v>
      </c>
      <c r="BA951" s="7" t="s">
        <v>233</v>
      </c>
      <c r="BB951" s="7"/>
      <c r="BC951" s="4" t="s">
        <v>233</v>
      </c>
      <c r="BD951" s="8" t="s">
        <v>233</v>
      </c>
      <c r="BE951" s="4" t="s">
        <v>233</v>
      </c>
      <c r="BF951" s="8" t="s">
        <v>233</v>
      </c>
      <c r="BG951" s="7" t="s">
        <v>233</v>
      </c>
      <c r="BH951" s="7" t="s">
        <v>233</v>
      </c>
      <c r="BI951" s="7"/>
      <c r="BJ951" s="4">
        <v>40</v>
      </c>
      <c r="BK951" s="8">
        <v>1460.4</v>
      </c>
      <c r="BL951" s="2" t="s">
        <v>565</v>
      </c>
      <c r="BM951" s="7"/>
      <c r="BN951" s="7"/>
      <c r="BO951" s="4"/>
      <c r="BP951" s="8"/>
      <c r="BQ951" s="4"/>
      <c r="BR951" s="8"/>
      <c r="BS951" s="7"/>
      <c r="BT951" s="7"/>
      <c r="BU951" s="2" t="s">
        <v>4823</v>
      </c>
      <c r="BV951" s="2" t="s">
        <v>233</v>
      </c>
      <c r="BW951" s="2" t="s">
        <v>233</v>
      </c>
      <c r="BX951" s="2" t="s">
        <v>241</v>
      </c>
      <c r="BY951" s="2" t="s">
        <v>242</v>
      </c>
      <c r="BZ951" s="2" t="s">
        <v>230</v>
      </c>
      <c r="CA951" s="2" t="s">
        <v>4824</v>
      </c>
      <c r="CB951" s="2" t="s">
        <v>3736</v>
      </c>
      <c r="CC951" s="2" t="s">
        <v>245</v>
      </c>
      <c r="CD951" s="2" t="s">
        <v>233</v>
      </c>
      <c r="CE951" s="4">
        <v>221</v>
      </c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>
        <v>70</v>
      </c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>
        <v>90</v>
      </c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>
        <v>226</v>
      </c>
      <c r="GD951" s="4">
        <v>214</v>
      </c>
      <c r="GE951" s="4">
        <v>272</v>
      </c>
      <c r="GF951" s="4">
        <v>258</v>
      </c>
      <c r="GG951" s="4">
        <v>228</v>
      </c>
      <c r="GH951" s="4">
        <v>200</v>
      </c>
      <c r="GI951" s="4">
        <v>177</v>
      </c>
      <c r="GJ951" s="4">
        <v>165</v>
      </c>
      <c r="GK951" s="4">
        <v>156</v>
      </c>
      <c r="GL951" s="4">
        <v>145</v>
      </c>
      <c r="GM951" s="4">
        <v>134</v>
      </c>
      <c r="GN951" s="4">
        <v>123</v>
      </c>
      <c r="GO951" s="4">
        <v>202</v>
      </c>
      <c r="GP951" s="4">
        <v>191</v>
      </c>
      <c r="GQ951" s="4">
        <v>180</v>
      </c>
      <c r="GR951" s="4">
        <v>169</v>
      </c>
      <c r="GS951" s="4">
        <v>158</v>
      </c>
      <c r="GT951" s="4">
        <v>147</v>
      </c>
      <c r="GU951" s="4">
        <v>136</v>
      </c>
      <c r="GV951" s="4">
        <v>125</v>
      </c>
      <c r="GW951" s="4">
        <v>114</v>
      </c>
      <c r="GX951" s="4">
        <v>103</v>
      </c>
      <c r="GY951" s="4">
        <v>92</v>
      </c>
      <c r="GZ951" s="4">
        <v>81</v>
      </c>
      <c r="HA951" s="4">
        <v>70</v>
      </c>
      <c r="HB951" s="4">
        <v>121</v>
      </c>
      <c r="HC951" s="19">
        <v>13.3</v>
      </c>
      <c r="HD951" s="19">
        <v>10.2</v>
      </c>
      <c r="HE951" s="19">
        <v>11.3</v>
      </c>
      <c r="HF951" s="19">
        <v>11.2</v>
      </c>
      <c r="HG951" s="19">
        <v>12.7</v>
      </c>
      <c r="HH951" s="19">
        <v>14.3</v>
      </c>
      <c r="HI951" s="19">
        <v>16.1</v>
      </c>
      <c r="HJ951" s="19">
        <v>16.5</v>
      </c>
      <c r="HK951" s="19">
        <v>14.2</v>
      </c>
      <c r="HL951" s="19">
        <v>13.2</v>
      </c>
      <c r="HM951" s="19">
        <v>12.2</v>
      </c>
      <c r="HN951" s="19">
        <v>11.2</v>
      </c>
      <c r="HO951" s="19">
        <v>18.4</v>
      </c>
      <c r="HP951" s="19">
        <v>17.4</v>
      </c>
      <c r="HQ951" s="19">
        <v>16.4</v>
      </c>
      <c r="HR951" s="19">
        <v>15.4</v>
      </c>
      <c r="HS951" s="19">
        <v>14.4</v>
      </c>
      <c r="HT951" s="19">
        <v>13.4</v>
      </c>
      <c r="HU951" s="19">
        <v>12.4</v>
      </c>
      <c r="HV951" s="19">
        <v>11.4</v>
      </c>
      <c r="HW951" s="19">
        <v>10.4</v>
      </c>
      <c r="HX951" s="19">
        <v>9.4</v>
      </c>
      <c r="HY951" s="19">
        <v>8.4</v>
      </c>
      <c r="HZ951" s="19">
        <v>7.4</v>
      </c>
      <c r="IA951" s="19">
        <v>6.4</v>
      </c>
      <c r="IB951" s="19">
        <v>11</v>
      </c>
    </row>
    <row r="952">
      <c r="A952" s="2" t="s">
        <v>4863</v>
      </c>
      <c r="B952" s="2" t="s">
        <v>279</v>
      </c>
      <c r="C952" s="2" t="s">
        <v>280</v>
      </c>
      <c r="D952" s="2" t="s">
        <v>281</v>
      </c>
      <c r="E952" s="2" t="s">
        <v>282</v>
      </c>
      <c r="F952" s="2" t="s">
        <v>4818</v>
      </c>
      <c r="G952" s="2" t="s">
        <v>4818</v>
      </c>
      <c r="H952" s="2" t="s">
        <v>4818</v>
      </c>
      <c r="I952" s="2" t="s">
        <v>4819</v>
      </c>
      <c r="J952" s="2" t="s">
        <v>285</v>
      </c>
      <c r="K952" s="2" t="s">
        <v>266</v>
      </c>
      <c r="L952" s="3">
        <v>32.2</v>
      </c>
      <c r="M952" s="3">
        <v>33.81</v>
      </c>
      <c r="N952" s="3">
        <v>69.99</v>
      </c>
      <c r="O952" s="2" t="s">
        <v>230</v>
      </c>
      <c r="P952" s="2" t="s">
        <v>231</v>
      </c>
      <c r="Q952" s="2" t="s">
        <v>232</v>
      </c>
      <c r="R952" s="2" t="s">
        <v>233</v>
      </c>
      <c r="S952" s="2" t="s">
        <v>4858</v>
      </c>
      <c r="T952" s="2" t="s">
        <v>348</v>
      </c>
      <c r="U952" s="2" t="s">
        <v>287</v>
      </c>
      <c r="V952" s="2" t="s">
        <v>236</v>
      </c>
      <c r="W952" s="2" t="s">
        <v>237</v>
      </c>
      <c r="X952" s="2" t="s">
        <v>233</v>
      </c>
      <c r="Y952" s="2" t="s">
        <v>4821</v>
      </c>
      <c r="Z952" s="4">
        <v>62</v>
      </c>
      <c r="AA952" s="4">
        <f>=ROUNDDOWN(10.5084745762712,0)</f>
      </c>
      <c r="AB952" s="5">
        <v>5.9</v>
      </c>
      <c r="AC952" s="2" t="s">
        <v>138</v>
      </c>
      <c r="AD952" s="4">
        <v>30</v>
      </c>
      <c r="AE952" s="4">
        <v>120</v>
      </c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233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233</v>
      </c>
      <c r="AW952" s="8" t="s">
        <v>233</v>
      </c>
      <c r="AX952" s="4" t="s">
        <v>233</v>
      </c>
      <c r="AY952" s="8" t="s">
        <v>233</v>
      </c>
      <c r="AZ952" s="7" t="s">
        <v>233</v>
      </c>
      <c r="BA952" s="7" t="s">
        <v>233</v>
      </c>
      <c r="BB952" s="7"/>
      <c r="BC952" s="4" t="s">
        <v>233</v>
      </c>
      <c r="BD952" s="8" t="s">
        <v>233</v>
      </c>
      <c r="BE952" s="4" t="s">
        <v>233</v>
      </c>
      <c r="BF952" s="8" t="s">
        <v>233</v>
      </c>
      <c r="BG952" s="7" t="s">
        <v>233</v>
      </c>
      <c r="BH952" s="7" t="s">
        <v>233</v>
      </c>
      <c r="BI952" s="7"/>
      <c r="BJ952" s="4">
        <v>19</v>
      </c>
      <c r="BK952" s="8">
        <v>725.77</v>
      </c>
      <c r="BL952" s="2" t="s">
        <v>4864</v>
      </c>
      <c r="BM952" s="7"/>
      <c r="BN952" s="7"/>
      <c r="BO952" s="4"/>
      <c r="BP952" s="8"/>
      <c r="BQ952" s="4"/>
      <c r="BR952" s="8"/>
      <c r="BS952" s="7"/>
      <c r="BT952" s="7"/>
      <c r="BU952" s="2" t="s">
        <v>4823</v>
      </c>
      <c r="BV952" s="2" t="s">
        <v>233</v>
      </c>
      <c r="BW952" s="2" t="s">
        <v>233</v>
      </c>
      <c r="BX952" s="2" t="s">
        <v>241</v>
      </c>
      <c r="BY952" s="2" t="s">
        <v>242</v>
      </c>
      <c r="BZ952" s="2" t="s">
        <v>230</v>
      </c>
      <c r="CA952" s="2" t="s">
        <v>4824</v>
      </c>
      <c r="CB952" s="2" t="s">
        <v>4865</v>
      </c>
      <c r="CC952" s="2" t="s">
        <v>245</v>
      </c>
      <c r="CD952" s="2" t="s">
        <v>233</v>
      </c>
      <c r="CE952" s="4">
        <v>62</v>
      </c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>
        <v>30</v>
      </c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>
        <v>20</v>
      </c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>
        <v>70</v>
      </c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>
        <v>64</v>
      </c>
      <c r="GD952" s="4">
        <v>59</v>
      </c>
      <c r="GE952" s="4">
        <v>83</v>
      </c>
      <c r="GF952" s="4">
        <v>76</v>
      </c>
      <c r="GG952" s="4">
        <v>61</v>
      </c>
      <c r="GH952" s="4">
        <v>47</v>
      </c>
      <c r="GI952" s="4">
        <v>35</v>
      </c>
      <c r="GJ952" s="4">
        <v>29</v>
      </c>
      <c r="GK952" s="4">
        <v>44</v>
      </c>
      <c r="GL952" s="4">
        <v>38</v>
      </c>
      <c r="GM952" s="4">
        <v>32</v>
      </c>
      <c r="GN952" s="4">
        <v>26</v>
      </c>
      <c r="GO952" s="4">
        <v>90</v>
      </c>
      <c r="GP952" s="4">
        <v>84</v>
      </c>
      <c r="GQ952" s="4">
        <v>78</v>
      </c>
      <c r="GR952" s="4">
        <v>72</v>
      </c>
      <c r="GS952" s="4">
        <v>66</v>
      </c>
      <c r="GT952" s="4">
        <v>60</v>
      </c>
      <c r="GU952" s="4">
        <v>54</v>
      </c>
      <c r="GV952" s="4">
        <v>48</v>
      </c>
      <c r="GW952" s="4">
        <v>42</v>
      </c>
      <c r="GX952" s="4">
        <v>36</v>
      </c>
      <c r="GY952" s="4">
        <v>30</v>
      </c>
      <c r="GZ952" s="4">
        <v>24</v>
      </c>
      <c r="HA952" s="4">
        <v>18</v>
      </c>
      <c r="HB952" s="4">
        <v>66</v>
      </c>
      <c r="HC952" s="19">
        <v>8</v>
      </c>
      <c r="HD952" s="19">
        <v>5.9</v>
      </c>
      <c r="HE952" s="19">
        <v>6.9</v>
      </c>
      <c r="HF952" s="19">
        <v>6.3</v>
      </c>
      <c r="HG952" s="19">
        <v>6.8</v>
      </c>
      <c r="HH952" s="19">
        <v>6.7</v>
      </c>
      <c r="HI952" s="19">
        <v>5.8</v>
      </c>
      <c r="HJ952" s="19">
        <v>4.8</v>
      </c>
      <c r="HK952" s="19">
        <v>7.3</v>
      </c>
      <c r="HL952" s="19">
        <v>6.3</v>
      </c>
      <c r="HM952" s="19">
        <v>5.3</v>
      </c>
      <c r="HN952" s="19">
        <v>4.3</v>
      </c>
      <c r="HO952" s="19">
        <v>15</v>
      </c>
      <c r="HP952" s="19">
        <v>14</v>
      </c>
      <c r="HQ952" s="19">
        <v>13</v>
      </c>
      <c r="HR952" s="19">
        <v>12</v>
      </c>
      <c r="HS952" s="19">
        <v>11</v>
      </c>
      <c r="HT952" s="19">
        <v>10</v>
      </c>
      <c r="HU952" s="19">
        <v>9</v>
      </c>
      <c r="HV952" s="19">
        <v>8</v>
      </c>
      <c r="HW952" s="19">
        <v>7</v>
      </c>
      <c r="HX952" s="19">
        <v>6</v>
      </c>
      <c r="HY952" s="19">
        <v>5</v>
      </c>
      <c r="HZ952" s="19">
        <v>4</v>
      </c>
      <c r="IA952" s="19">
        <v>3</v>
      </c>
      <c r="IB952" s="19">
        <v>11</v>
      </c>
    </row>
    <row r="953">
      <c r="A953" s="2" t="s">
        <v>4866</v>
      </c>
      <c r="B953" s="2" t="s">
        <v>872</v>
      </c>
      <c r="C953" s="2" t="s">
        <v>280</v>
      </c>
      <c r="D953" s="2" t="s">
        <v>261</v>
      </c>
      <c r="E953" s="2" t="s">
        <v>603</v>
      </c>
      <c r="F953" s="2" t="s">
        <v>4867</v>
      </c>
      <c r="G953" s="2" t="s">
        <v>4868</v>
      </c>
      <c r="H953" s="2" t="s">
        <v>4869</v>
      </c>
      <c r="I953" s="2" t="s">
        <v>4870</v>
      </c>
      <c r="J953" s="2" t="s">
        <v>256</v>
      </c>
      <c r="K953" s="2" t="s">
        <v>943</v>
      </c>
      <c r="L953" s="3">
        <v>85</v>
      </c>
      <c r="M953" s="3">
        <v>89.24</v>
      </c>
      <c r="N953" s="3">
        <v>169.99</v>
      </c>
      <c r="O953" s="2" t="s">
        <v>230</v>
      </c>
      <c r="P953" s="2" t="s">
        <v>231</v>
      </c>
      <c r="Q953" s="2" t="s">
        <v>232</v>
      </c>
      <c r="R953" s="2" t="s">
        <v>233</v>
      </c>
      <c r="S953" s="2" t="s">
        <v>4871</v>
      </c>
      <c r="T953" s="2" t="s">
        <v>348</v>
      </c>
      <c r="U953" s="2" t="s">
        <v>635</v>
      </c>
      <c r="V953" s="2" t="s">
        <v>1190</v>
      </c>
      <c r="W953" s="2" t="s">
        <v>1190</v>
      </c>
      <c r="X953" s="2" t="s">
        <v>4872</v>
      </c>
      <c r="Y953" s="2" t="s">
        <v>238</v>
      </c>
      <c r="Z953" s="4">
        <v>168</v>
      </c>
      <c r="AA953" s="4">
        <f>=ROUNDDOWN(18.6666666666667,0)</f>
      </c>
      <c r="AB953" s="5">
        <v>9</v>
      </c>
      <c r="AC953" s="2" t="s">
        <v>140</v>
      </c>
      <c r="AD953" s="4">
        <v>110</v>
      </c>
      <c r="AE953" s="4">
        <v>220</v>
      </c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233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/>
      <c r="AW953" s="8"/>
      <c r="AX953" s="4"/>
      <c r="AY953" s="8"/>
      <c r="AZ953" s="7"/>
      <c r="BA953" s="7"/>
      <c r="BB953" s="7"/>
      <c r="BC953" s="4"/>
      <c r="BD953" s="8"/>
      <c r="BE953" s="4"/>
      <c r="BF953" s="8"/>
      <c r="BG953" s="7"/>
      <c r="BH953" s="7"/>
      <c r="BI953" s="7"/>
      <c r="BJ953" s="4">
        <v>34</v>
      </c>
      <c r="BK953" s="8">
        <v>3081.93</v>
      </c>
      <c r="BL953" s="2" t="s">
        <v>4873</v>
      </c>
      <c r="BM953" s="7"/>
      <c r="BN953" s="7"/>
      <c r="BO953" s="4"/>
      <c r="BP953" s="8"/>
      <c r="BQ953" s="4"/>
      <c r="BR953" s="8"/>
      <c r="BS953" s="7"/>
      <c r="BT953" s="7"/>
      <c r="BU953" s="2" t="s">
        <v>4874</v>
      </c>
      <c r="BV953" s="2" t="s">
        <v>233</v>
      </c>
      <c r="BW953" s="2" t="s">
        <v>233</v>
      </c>
      <c r="BX953" s="2" t="s">
        <v>293</v>
      </c>
      <c r="BY953" s="2" t="s">
        <v>242</v>
      </c>
      <c r="BZ953" s="2" t="s">
        <v>230</v>
      </c>
      <c r="CA953" s="2" t="s">
        <v>243</v>
      </c>
      <c r="CB953" s="2" t="s">
        <v>4875</v>
      </c>
      <c r="CC953" s="2" t="s">
        <v>245</v>
      </c>
      <c r="CD953" s="2" t="s">
        <v>233</v>
      </c>
      <c r="CE953" s="4">
        <v>168</v>
      </c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>
        <v>110</v>
      </c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>
        <v>110</v>
      </c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>
        <v>178</v>
      </c>
      <c r="GD953" s="4">
        <v>153</v>
      </c>
      <c r="GE953" s="4">
        <v>251</v>
      </c>
      <c r="GF953" s="4">
        <v>238</v>
      </c>
      <c r="GG953" s="4">
        <v>218</v>
      </c>
      <c r="GH953" s="4">
        <v>315</v>
      </c>
      <c r="GI953" s="4">
        <v>303</v>
      </c>
      <c r="GJ953" s="4">
        <v>294</v>
      </c>
      <c r="GK953" s="4">
        <v>286</v>
      </c>
      <c r="GL953" s="4">
        <v>276</v>
      </c>
      <c r="GM953" s="4">
        <v>267</v>
      </c>
      <c r="GN953" s="4">
        <v>258</v>
      </c>
      <c r="GO953" s="4">
        <v>249</v>
      </c>
      <c r="GP953" s="4">
        <v>240</v>
      </c>
      <c r="GQ953" s="4">
        <v>231</v>
      </c>
      <c r="GR953" s="4">
        <v>222</v>
      </c>
      <c r="GS953" s="4">
        <v>213</v>
      </c>
      <c r="GT953" s="4">
        <v>203</v>
      </c>
      <c r="GU953" s="4">
        <v>194</v>
      </c>
      <c r="GV953" s="4">
        <v>185</v>
      </c>
      <c r="GW953" s="4">
        <v>176</v>
      </c>
      <c r="GX953" s="4">
        <v>167</v>
      </c>
      <c r="GY953" s="4">
        <v>158</v>
      </c>
      <c r="GZ953" s="4">
        <v>149</v>
      </c>
      <c r="HA953" s="4">
        <v>140</v>
      </c>
      <c r="HB953" s="4">
        <v>131</v>
      </c>
      <c r="HC953" s="19">
        <v>9.9</v>
      </c>
      <c r="HD953" s="19">
        <v>10.9</v>
      </c>
      <c r="HE953" s="19">
        <v>17.9</v>
      </c>
      <c r="HF953" s="19">
        <v>17</v>
      </c>
      <c r="HG953" s="19">
        <v>21.8</v>
      </c>
      <c r="HH953" s="19">
        <v>31.5</v>
      </c>
      <c r="HI953" s="19">
        <v>33.7</v>
      </c>
      <c r="HJ953" s="19">
        <v>32.7</v>
      </c>
      <c r="HK953" s="19">
        <v>31.8</v>
      </c>
      <c r="HL953" s="19">
        <v>30.7</v>
      </c>
      <c r="HM953" s="19">
        <v>29.7</v>
      </c>
      <c r="HN953" s="19">
        <v>28.7</v>
      </c>
      <c r="HO953" s="19">
        <v>27.7</v>
      </c>
      <c r="HP953" s="19">
        <v>26.7</v>
      </c>
      <c r="HQ953" s="19">
        <v>25.7</v>
      </c>
      <c r="HR953" s="19">
        <v>24.7</v>
      </c>
      <c r="HS953" s="19">
        <v>23.7</v>
      </c>
      <c r="HT953" s="19">
        <v>22.6</v>
      </c>
      <c r="HU953" s="19">
        <v>21.6</v>
      </c>
      <c r="HV953" s="19">
        <v>20.6</v>
      </c>
      <c r="HW953" s="19">
        <v>19.6</v>
      </c>
      <c r="HX953" s="19">
        <v>18.6</v>
      </c>
      <c r="HY953" s="19">
        <v>17.6</v>
      </c>
      <c r="HZ953" s="19">
        <v>16.6</v>
      </c>
      <c r="IA953" s="19">
        <v>15.6</v>
      </c>
      <c r="IB953" s="19">
        <v>14.6</v>
      </c>
    </row>
    <row r="954">
      <c r="A954" s="2" t="s">
        <v>4876</v>
      </c>
      <c r="B954" s="2" t="s">
        <v>736</v>
      </c>
      <c r="C954" s="2" t="s">
        <v>280</v>
      </c>
      <c r="D954" s="2" t="s">
        <v>1197</v>
      </c>
      <c r="E954" s="2" t="s">
        <v>738</v>
      </c>
      <c r="F954" s="2" t="s">
        <v>4877</v>
      </c>
      <c r="G954" s="2" t="s">
        <v>4877</v>
      </c>
      <c r="H954" s="2" t="s">
        <v>4877</v>
      </c>
      <c r="I954" s="2" t="s">
        <v>4878</v>
      </c>
      <c r="J954" s="2" t="s">
        <v>741</v>
      </c>
      <c r="K954" s="2" t="s">
        <v>4879</v>
      </c>
      <c r="L954" s="3">
        <v>14</v>
      </c>
      <c r="M954" s="3">
        <v>14.7</v>
      </c>
      <c r="N954" s="3">
        <v>34.99</v>
      </c>
      <c r="O954" s="2" t="s">
        <v>230</v>
      </c>
      <c r="P954" s="2" t="s">
        <v>721</v>
      </c>
      <c r="Q954" s="2" t="s">
        <v>232</v>
      </c>
      <c r="R954" s="2" t="s">
        <v>233</v>
      </c>
      <c r="S954" s="2" t="s">
        <v>233</v>
      </c>
      <c r="T954" s="2" t="s">
        <v>233</v>
      </c>
      <c r="U954" s="2" t="s">
        <v>329</v>
      </c>
      <c r="V954" s="2" t="s">
        <v>1268</v>
      </c>
      <c r="W954" s="2" t="s">
        <v>237</v>
      </c>
      <c r="X954" s="2" t="s">
        <v>916</v>
      </c>
      <c r="Y954" s="2" t="s">
        <v>1269</v>
      </c>
      <c r="Z954" s="4">
        <v>208</v>
      </c>
      <c r="AA954" s="4">
        <f>=ROUNDDOWN(231.111111111111,0)</f>
      </c>
      <c r="AB954" s="5">
        <v>0.9</v>
      </c>
      <c r="AC954" s="2" t="s">
        <v>233</v>
      </c>
      <c r="AD954" s="4"/>
      <c r="AE954" s="4"/>
      <c r="AF954" s="6">
        <v>63</v>
      </c>
      <c r="AG954" s="6"/>
      <c r="AH954" s="7">
        <v>1</v>
      </c>
      <c r="AI954" s="4"/>
      <c r="AJ954" s="4">
        <f>=ROUNDDOWN({0},0)</f>
      </c>
      <c r="AK954" s="5"/>
      <c r="AL954" s="2" t="s">
        <v>233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/>
      <c r="AW954" s="8"/>
      <c r="AX954" s="4"/>
      <c r="AY954" s="8"/>
      <c r="AZ954" s="7"/>
      <c r="BA954" s="7"/>
      <c r="BB954" s="7"/>
      <c r="BC954" s="4" t="s">
        <v>233</v>
      </c>
      <c r="BD954" s="8" t="s">
        <v>233</v>
      </c>
      <c r="BE954" s="4" t="s">
        <v>233</v>
      </c>
      <c r="BF954" s="8" t="s">
        <v>233</v>
      </c>
      <c r="BG954" s="7" t="s">
        <v>233</v>
      </c>
      <c r="BH954" s="7" t="s">
        <v>233</v>
      </c>
      <c r="BI954" s="7"/>
      <c r="BJ954" s="4">
        <v>2</v>
      </c>
      <c r="BK954" s="8">
        <v>30.42</v>
      </c>
      <c r="BL954" s="2" t="s">
        <v>4164</v>
      </c>
      <c r="BM954" s="7"/>
      <c r="BN954" s="7"/>
      <c r="BO954" s="4"/>
      <c r="BP954" s="8"/>
      <c r="BQ954" s="4"/>
      <c r="BR954" s="8"/>
      <c r="BS954" s="7"/>
      <c r="BT954" s="7"/>
      <c r="BU954" s="2" t="s">
        <v>4880</v>
      </c>
      <c r="BV954" s="2" t="s">
        <v>233</v>
      </c>
      <c r="BW954" s="2" t="s">
        <v>233</v>
      </c>
      <c r="BX954" s="2" t="s">
        <v>241</v>
      </c>
      <c r="BY954" s="2" t="s">
        <v>242</v>
      </c>
      <c r="BZ954" s="2" t="s">
        <v>230</v>
      </c>
      <c r="CA954" s="2" t="s">
        <v>1272</v>
      </c>
      <c r="CB954" s="2" t="s">
        <v>233</v>
      </c>
      <c r="CC954" s="2" t="s">
        <v>245</v>
      </c>
      <c r="CD954" s="2" t="s">
        <v>233</v>
      </c>
      <c r="CE954" s="4"/>
      <c r="CF954" s="4">
        <v>208</v>
      </c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>
        <v>208</v>
      </c>
      <c r="GD954" s="4">
        <v>207</v>
      </c>
      <c r="GE954" s="4">
        <v>206</v>
      </c>
      <c r="GF954" s="4">
        <v>205</v>
      </c>
      <c r="GG954" s="4">
        <v>204</v>
      </c>
      <c r="GH954" s="4">
        <v>203</v>
      </c>
      <c r="GI954" s="4">
        <v>202</v>
      </c>
      <c r="GJ954" s="4">
        <v>201</v>
      </c>
      <c r="GK954" s="4">
        <v>200</v>
      </c>
      <c r="GL954" s="4">
        <v>199</v>
      </c>
      <c r="GM954" s="4">
        <v>198</v>
      </c>
      <c r="GN954" s="4">
        <v>197</v>
      </c>
      <c r="GO954" s="4">
        <v>196</v>
      </c>
      <c r="GP954" s="4">
        <v>195</v>
      </c>
      <c r="GQ954" s="4">
        <v>194</v>
      </c>
      <c r="GR954" s="4">
        <v>193</v>
      </c>
      <c r="GS954" s="4">
        <v>192</v>
      </c>
      <c r="GT954" s="4">
        <v>191</v>
      </c>
      <c r="GU954" s="4">
        <v>190</v>
      </c>
      <c r="GV954" s="4">
        <v>189</v>
      </c>
      <c r="GW954" s="4">
        <v>188</v>
      </c>
      <c r="GX954" s="4">
        <v>187</v>
      </c>
      <c r="GY954" s="4">
        <v>186</v>
      </c>
      <c r="GZ954" s="4">
        <v>185</v>
      </c>
      <c r="HA954" s="4">
        <v>184</v>
      </c>
      <c r="HB954" s="4">
        <v>183</v>
      </c>
      <c r="HC954" s="19">
        <v>208</v>
      </c>
      <c r="HD954" s="19">
        <v>207</v>
      </c>
      <c r="HE954" s="19">
        <v>206</v>
      </c>
      <c r="HF954" s="19">
        <v>205</v>
      </c>
      <c r="HG954" s="19">
        <v>204</v>
      </c>
      <c r="HH954" s="19">
        <v>203</v>
      </c>
      <c r="HI954" s="19">
        <v>202</v>
      </c>
      <c r="HJ954" s="19">
        <v>201</v>
      </c>
      <c r="HK954" s="19">
        <v>200</v>
      </c>
      <c r="HL954" s="19">
        <v>199</v>
      </c>
      <c r="HM954" s="19">
        <v>198</v>
      </c>
      <c r="HN954" s="19">
        <v>197</v>
      </c>
      <c r="HO954" s="19">
        <v>196</v>
      </c>
      <c r="HP954" s="19">
        <v>195</v>
      </c>
      <c r="HQ954" s="19">
        <v>194</v>
      </c>
      <c r="HR954" s="9"/>
      <c r="HS954" s="19">
        <v>192</v>
      </c>
      <c r="HT954" s="19">
        <v>191</v>
      </c>
      <c r="HU954" s="19">
        <v>190</v>
      </c>
      <c r="HV954" s="19">
        <v>189</v>
      </c>
      <c r="HW954" s="19">
        <v>188</v>
      </c>
      <c r="HX954" s="19">
        <v>187</v>
      </c>
      <c r="HY954" s="19">
        <v>186</v>
      </c>
      <c r="HZ954" s="19">
        <v>185</v>
      </c>
      <c r="IA954" s="19">
        <v>184</v>
      </c>
      <c r="IB954" s="19">
        <v>183</v>
      </c>
    </row>
    <row r="955">
      <c r="A955" s="2" t="s">
        <v>4881</v>
      </c>
      <c r="B955" s="2" t="s">
        <v>736</v>
      </c>
      <c r="C955" s="2" t="s">
        <v>280</v>
      </c>
      <c r="D955" s="2" t="s">
        <v>1197</v>
      </c>
      <c r="E955" s="2" t="s">
        <v>738</v>
      </c>
      <c r="F955" s="2" t="s">
        <v>4877</v>
      </c>
      <c r="G955" s="2" t="s">
        <v>4877</v>
      </c>
      <c r="H955" s="2" t="s">
        <v>4877</v>
      </c>
      <c r="I955" s="2" t="s">
        <v>4882</v>
      </c>
      <c r="J955" s="2" t="s">
        <v>741</v>
      </c>
      <c r="K955" s="2" t="s">
        <v>4883</v>
      </c>
      <c r="L955" s="3">
        <v>14</v>
      </c>
      <c r="M955" s="3">
        <v>14.7</v>
      </c>
      <c r="N955" s="3">
        <v>34.99</v>
      </c>
      <c r="O955" s="2" t="s">
        <v>230</v>
      </c>
      <c r="P955" s="2" t="s">
        <v>721</v>
      </c>
      <c r="Q955" s="2" t="s">
        <v>232</v>
      </c>
      <c r="R955" s="2" t="s">
        <v>233</v>
      </c>
      <c r="S955" s="2" t="s">
        <v>233</v>
      </c>
      <c r="T955" s="2" t="s">
        <v>233</v>
      </c>
      <c r="U955" s="2" t="s">
        <v>329</v>
      </c>
      <c r="V955" s="2" t="s">
        <v>1268</v>
      </c>
      <c r="W955" s="2" t="s">
        <v>237</v>
      </c>
      <c r="X955" s="2" t="s">
        <v>1141</v>
      </c>
      <c r="Y955" s="2" t="s">
        <v>1269</v>
      </c>
      <c r="Z955" s="4">
        <v>100</v>
      </c>
      <c r="AA955" s="4">
        <f>=ROUNDDOWN(16.6666666666667,0)</f>
      </c>
      <c r="AB955" s="5">
        <v>6</v>
      </c>
      <c r="AC955" s="2" t="s">
        <v>233</v>
      </c>
      <c r="AD955" s="4"/>
      <c r="AE955" s="4"/>
      <c r="AF955" s="6">
        <v>63</v>
      </c>
      <c r="AG955" s="6">
        <v>46</v>
      </c>
      <c r="AH955" s="7">
        <v>0.9032</v>
      </c>
      <c r="AI955" s="4"/>
      <c r="AJ955" s="4">
        <f>=ROUNDDOWN({0},0)</f>
      </c>
      <c r="AK955" s="5"/>
      <c r="AL955" s="2" t="s">
        <v>233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 t="s">
        <v>233</v>
      </c>
      <c r="BD955" s="8" t="s">
        <v>233</v>
      </c>
      <c r="BE955" s="4" t="s">
        <v>233</v>
      </c>
      <c r="BF955" s="8" t="s">
        <v>233</v>
      </c>
      <c r="BG955" s="7" t="s">
        <v>233</v>
      </c>
      <c r="BH955" s="7" t="s">
        <v>233</v>
      </c>
      <c r="BI955" s="7"/>
      <c r="BJ955" s="4">
        <v>13</v>
      </c>
      <c r="BK955" s="8">
        <v>239.6</v>
      </c>
      <c r="BL955" s="2" t="s">
        <v>4884</v>
      </c>
      <c r="BM955" s="7"/>
      <c r="BN955" s="7"/>
      <c r="BO955" s="4"/>
      <c r="BP955" s="8"/>
      <c r="BQ955" s="4"/>
      <c r="BR955" s="8"/>
      <c r="BS955" s="7"/>
      <c r="BT955" s="7"/>
      <c r="BU955" s="2" t="s">
        <v>4885</v>
      </c>
      <c r="BV955" s="2" t="s">
        <v>233</v>
      </c>
      <c r="BW955" s="2" t="s">
        <v>233</v>
      </c>
      <c r="BX955" s="2" t="s">
        <v>241</v>
      </c>
      <c r="BY955" s="2" t="s">
        <v>242</v>
      </c>
      <c r="BZ955" s="2" t="s">
        <v>230</v>
      </c>
      <c r="CA955" s="2" t="s">
        <v>1272</v>
      </c>
      <c r="CB955" s="2" t="s">
        <v>4186</v>
      </c>
      <c r="CC955" s="2" t="s">
        <v>245</v>
      </c>
      <c r="CD955" s="2" t="s">
        <v>233</v>
      </c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>
        <v>100</v>
      </c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>
        <v>117</v>
      </c>
      <c r="GD955" s="4">
        <v>116</v>
      </c>
      <c r="GE955" s="4">
        <v>115</v>
      </c>
      <c r="GF955" s="4">
        <v>114</v>
      </c>
      <c r="GG955" s="4">
        <v>113</v>
      </c>
      <c r="GH955" s="4">
        <v>109</v>
      </c>
      <c r="GI955" s="4">
        <v>103</v>
      </c>
      <c r="GJ955" s="4">
        <v>97</v>
      </c>
      <c r="GK955" s="4">
        <v>91</v>
      </c>
      <c r="GL955" s="4">
        <v>85</v>
      </c>
      <c r="GM955" s="4">
        <v>78</v>
      </c>
      <c r="GN955" s="4">
        <v>72</v>
      </c>
      <c r="GO955" s="4">
        <v>66</v>
      </c>
      <c r="GP955" s="4">
        <v>60</v>
      </c>
      <c r="GQ955" s="4">
        <v>54</v>
      </c>
      <c r="GR955" s="4">
        <v>48</v>
      </c>
      <c r="GS955" s="4">
        <v>42</v>
      </c>
      <c r="GT955" s="4">
        <v>36</v>
      </c>
      <c r="GU955" s="4">
        <v>30</v>
      </c>
      <c r="GV955" s="4">
        <v>24</v>
      </c>
      <c r="GW955" s="4">
        <v>18</v>
      </c>
      <c r="GX955" s="4">
        <v>12</v>
      </c>
      <c r="GY955" s="4">
        <v>6</v>
      </c>
      <c r="GZ955" s="4"/>
      <c r="HA955" s="4"/>
      <c r="HB955" s="4"/>
      <c r="HC955" s="19">
        <v>8.5</v>
      </c>
      <c r="HD955" s="19">
        <v>4</v>
      </c>
      <c r="HE955" s="19">
        <v>3.8</v>
      </c>
      <c r="HF955" s="19">
        <v>51.8</v>
      </c>
      <c r="HG955" s="19">
        <v>27.2</v>
      </c>
      <c r="HH955" s="19">
        <v>14.9</v>
      </c>
      <c r="HI955" s="19">
        <v>12.3</v>
      </c>
      <c r="HJ955" s="19">
        <v>8.1</v>
      </c>
      <c r="HK955" s="19">
        <v>7.6</v>
      </c>
      <c r="HL955" s="19">
        <v>7.1</v>
      </c>
      <c r="HM955" s="19">
        <v>6.5</v>
      </c>
      <c r="HN955" s="19">
        <v>6</v>
      </c>
      <c r="HO955" s="19">
        <v>5.5</v>
      </c>
      <c r="HP955" s="19">
        <v>5</v>
      </c>
      <c r="HQ955" s="19">
        <v>4.5</v>
      </c>
      <c r="HR955" s="19">
        <v>4</v>
      </c>
      <c r="HS955" s="19">
        <v>3.5</v>
      </c>
      <c r="HT955" s="19">
        <v>3</v>
      </c>
      <c r="HU955" s="19">
        <v>2.5</v>
      </c>
      <c r="HV955" s="19">
        <v>2</v>
      </c>
      <c r="HW955" s="19">
        <v>2.3</v>
      </c>
      <c r="HX955" s="19">
        <v>2</v>
      </c>
      <c r="HY955" s="19">
        <v>1.5</v>
      </c>
      <c r="HZ955" s="20">
        <v>0</v>
      </c>
      <c r="IA955" s="20">
        <v>0</v>
      </c>
      <c r="IB955" s="20">
        <v>0</v>
      </c>
    </row>
    <row r="956">
      <c r="A956" s="2" t="s">
        <v>4886</v>
      </c>
      <c r="B956" s="2" t="s">
        <v>872</v>
      </c>
      <c r="C956" s="2" t="s">
        <v>1398</v>
      </c>
      <c r="D956" s="2" t="s">
        <v>261</v>
      </c>
      <c r="E956" s="2" t="s">
        <v>895</v>
      </c>
      <c r="F956" s="2" t="s">
        <v>4887</v>
      </c>
      <c r="G956" s="2" t="s">
        <v>4888</v>
      </c>
      <c r="H956" s="2" t="s">
        <v>2676</v>
      </c>
      <c r="I956" s="2" t="s">
        <v>4889</v>
      </c>
      <c r="J956" s="2" t="s">
        <v>1052</v>
      </c>
      <c r="K956" s="2" t="s">
        <v>484</v>
      </c>
      <c r="L956" s="3">
        <v>22.85</v>
      </c>
      <c r="M956" s="3">
        <v>23.99</v>
      </c>
      <c r="N956" s="3">
        <v>43.99</v>
      </c>
      <c r="O956" s="2" t="s">
        <v>230</v>
      </c>
      <c r="P956" s="2" t="s">
        <v>1903</v>
      </c>
      <c r="Q956" s="2" t="s">
        <v>232</v>
      </c>
      <c r="R956" s="2" t="s">
        <v>233</v>
      </c>
      <c r="S956" s="2" t="s">
        <v>4890</v>
      </c>
      <c r="T956" s="2" t="s">
        <v>469</v>
      </c>
      <c r="U956" s="2" t="s">
        <v>711</v>
      </c>
      <c r="V956" s="2" t="s">
        <v>782</v>
      </c>
      <c r="W956" s="2" t="s">
        <v>1631</v>
      </c>
      <c r="X956" s="2" t="s">
        <v>237</v>
      </c>
      <c r="Y956" s="2" t="s">
        <v>3949</v>
      </c>
      <c r="Z956" s="4">
        <v>579</v>
      </c>
      <c r="AA956" s="4">
        <f>=ROUNDDOWN(17.0294117647059,0)</f>
      </c>
      <c r="AB956" s="5">
        <v>34</v>
      </c>
      <c r="AC956" s="2" t="s">
        <v>137</v>
      </c>
      <c r="AD956" s="4">
        <v>150</v>
      </c>
      <c r="AE956" s="4">
        <v>1260</v>
      </c>
      <c r="AF956" s="6">
        <v>63</v>
      </c>
      <c r="AG956" s="6">
        <v>46</v>
      </c>
      <c r="AH956" s="7">
        <v>0.0968</v>
      </c>
      <c r="AI956" s="4"/>
      <c r="AJ956" s="4">
        <f>=ROUNDDOWN({0},0)</f>
      </c>
      <c r="AK956" s="5"/>
      <c r="AL956" s="2" t="s">
        <v>233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 t="s">
        <v>233</v>
      </c>
      <c r="BD956" s="8" t="s">
        <v>233</v>
      </c>
      <c r="BE956" s="4" t="s">
        <v>233</v>
      </c>
      <c r="BF956" s="8" t="s">
        <v>233</v>
      </c>
      <c r="BG956" s="7" t="s">
        <v>233</v>
      </c>
      <c r="BH956" s="7" t="s">
        <v>233</v>
      </c>
      <c r="BI956" s="7"/>
      <c r="BJ956" s="4">
        <v>13</v>
      </c>
      <c r="BK956" s="8">
        <v>346.8</v>
      </c>
      <c r="BL956" s="2" t="s">
        <v>868</v>
      </c>
      <c r="BM956" s="7"/>
      <c r="BN956" s="7"/>
      <c r="BO956" s="4"/>
      <c r="BP956" s="8"/>
      <c r="BQ956" s="4"/>
      <c r="BR956" s="8"/>
      <c r="BS956" s="7"/>
      <c r="BT956" s="7"/>
      <c r="BU956" s="2" t="s">
        <v>4891</v>
      </c>
      <c r="BV956" s="2" t="s">
        <v>233</v>
      </c>
      <c r="BW956" s="2" t="s">
        <v>233</v>
      </c>
      <c r="BX956" s="2" t="s">
        <v>1407</v>
      </c>
      <c r="BY956" s="2" t="s">
        <v>242</v>
      </c>
      <c r="BZ956" s="2" t="s">
        <v>230</v>
      </c>
      <c r="CA956" s="2" t="s">
        <v>4892</v>
      </c>
      <c r="CB956" s="2" t="s">
        <v>4893</v>
      </c>
      <c r="CC956" s="2" t="s">
        <v>245</v>
      </c>
      <c r="CD956" s="2" t="s">
        <v>233</v>
      </c>
      <c r="CE956" s="4"/>
      <c r="CF956" s="4"/>
      <c r="CG956" s="4"/>
      <c r="CH956" s="4">
        <v>579</v>
      </c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>
        <v>150</v>
      </c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>
        <v>510</v>
      </c>
      <c r="DP956" s="4"/>
      <c r="DQ956" s="4"/>
      <c r="DR956" s="4"/>
      <c r="DS956" s="4"/>
      <c r="DT956" s="4"/>
      <c r="DU956" s="4"/>
      <c r="DV956" s="4">
        <v>240</v>
      </c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>
        <v>360</v>
      </c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>
        <v>600</v>
      </c>
      <c r="GD956" s="4">
        <v>552</v>
      </c>
      <c r="GE956" s="4">
        <v>669</v>
      </c>
      <c r="GF956" s="4">
        <v>621</v>
      </c>
      <c r="GG956" s="4">
        <v>1065</v>
      </c>
      <c r="GH956" s="4">
        <v>1251</v>
      </c>
      <c r="GI956" s="4">
        <v>1206</v>
      </c>
      <c r="GJ956" s="4">
        <v>1173</v>
      </c>
      <c r="GK956" s="4">
        <v>1140</v>
      </c>
      <c r="GL956" s="4">
        <v>1106</v>
      </c>
      <c r="GM956" s="4">
        <v>1071</v>
      </c>
      <c r="GN956" s="4">
        <v>1037</v>
      </c>
      <c r="GO956" s="4">
        <v>1363</v>
      </c>
      <c r="GP956" s="4">
        <v>1329</v>
      </c>
      <c r="GQ956" s="4">
        <v>1295</v>
      </c>
      <c r="GR956" s="4">
        <v>1261</v>
      </c>
      <c r="GS956" s="4">
        <v>1227</v>
      </c>
      <c r="GT956" s="4">
        <v>1187</v>
      </c>
      <c r="GU956" s="4">
        <v>1153</v>
      </c>
      <c r="GV956" s="4">
        <v>1119</v>
      </c>
      <c r="GW956" s="4">
        <v>1085</v>
      </c>
      <c r="GX956" s="4">
        <v>1051</v>
      </c>
      <c r="GY956" s="4">
        <v>1017</v>
      </c>
      <c r="GZ956" s="4">
        <v>980</v>
      </c>
      <c r="HA956" s="4">
        <v>942</v>
      </c>
      <c r="HB956" s="4">
        <v>904</v>
      </c>
      <c r="HC956" s="19">
        <v>10.7</v>
      </c>
      <c r="HD956" s="19">
        <v>13.8</v>
      </c>
      <c r="HE956" s="19">
        <v>20.5</v>
      </c>
      <c r="HF956" s="19">
        <v>21.1</v>
      </c>
      <c r="HG956" s="19">
        <v>31.8</v>
      </c>
      <c r="HH956" s="19">
        <v>38.7</v>
      </c>
      <c r="HI956" s="19">
        <v>41.2</v>
      </c>
      <c r="HJ956" s="19">
        <v>37.7</v>
      </c>
      <c r="HK956" s="19">
        <v>36.7</v>
      </c>
      <c r="HL956" s="19">
        <v>35.8</v>
      </c>
      <c r="HM956" s="19">
        <v>34.7</v>
      </c>
      <c r="HN956" s="19">
        <v>33.7</v>
      </c>
      <c r="HO956" s="19">
        <v>40.2</v>
      </c>
      <c r="HP956" s="19">
        <v>38.5</v>
      </c>
      <c r="HQ956" s="19">
        <v>37.5</v>
      </c>
      <c r="HR956" s="19">
        <v>36.5</v>
      </c>
      <c r="HS956" s="19">
        <v>35.5</v>
      </c>
      <c r="HT956" s="19">
        <v>35.1</v>
      </c>
      <c r="HU956" s="19">
        <v>34.1</v>
      </c>
      <c r="HV956" s="19">
        <v>33.1</v>
      </c>
      <c r="HW956" s="19">
        <v>31.4</v>
      </c>
      <c r="HX956" s="19">
        <v>28.5</v>
      </c>
      <c r="HY956" s="19">
        <v>27</v>
      </c>
      <c r="HZ956" s="19">
        <v>26</v>
      </c>
      <c r="IA956" s="19">
        <v>25</v>
      </c>
      <c r="IB956" s="19">
        <v>24.5</v>
      </c>
    </row>
    <row r="957">
      <c r="A957" s="2" t="s">
        <v>4894</v>
      </c>
      <c r="B957" s="2" t="s">
        <v>872</v>
      </c>
      <c r="C957" s="2" t="s">
        <v>1398</v>
      </c>
      <c r="D957" s="2" t="s">
        <v>261</v>
      </c>
      <c r="E957" s="2" t="s">
        <v>895</v>
      </c>
      <c r="F957" s="2" t="s">
        <v>4887</v>
      </c>
      <c r="G957" s="2" t="s">
        <v>4888</v>
      </c>
      <c r="H957" s="2" t="s">
        <v>2676</v>
      </c>
      <c r="I957" s="2" t="s">
        <v>4889</v>
      </c>
      <c r="J957" s="2" t="s">
        <v>1052</v>
      </c>
      <c r="K957" s="2" t="s">
        <v>1788</v>
      </c>
      <c r="L957" s="3">
        <v>22.85</v>
      </c>
      <c r="M957" s="3">
        <v>23.99</v>
      </c>
      <c r="N957" s="3">
        <v>43.99</v>
      </c>
      <c r="O957" s="2" t="s">
        <v>230</v>
      </c>
      <c r="P957" s="2" t="s">
        <v>597</v>
      </c>
      <c r="Q957" s="2" t="s">
        <v>232</v>
      </c>
      <c r="R957" s="2" t="s">
        <v>233</v>
      </c>
      <c r="S957" s="2" t="s">
        <v>4895</v>
      </c>
      <c r="T957" s="2" t="s">
        <v>469</v>
      </c>
      <c r="U957" s="2" t="s">
        <v>711</v>
      </c>
      <c r="V957" s="2" t="s">
        <v>782</v>
      </c>
      <c r="W957" s="2" t="s">
        <v>1631</v>
      </c>
      <c r="X957" s="2" t="s">
        <v>237</v>
      </c>
      <c r="Y957" s="2" t="s">
        <v>3949</v>
      </c>
      <c r="Z957" s="4">
        <v>346</v>
      </c>
      <c r="AA957" s="4">
        <f>=ROUNDDOWN(19.2222222222222,0)</f>
      </c>
      <c r="AB957" s="5">
        <v>18</v>
      </c>
      <c r="AC957" s="2" t="s">
        <v>153</v>
      </c>
      <c r="AD957" s="4">
        <v>120</v>
      </c>
      <c r="AE957" s="4">
        <v>360</v>
      </c>
      <c r="AF957" s="6">
        <v>63</v>
      </c>
      <c r="AG957" s="6">
        <v>46</v>
      </c>
      <c r="AH957" s="7">
        <v>1</v>
      </c>
      <c r="AI957" s="4"/>
      <c r="AJ957" s="4">
        <f>=ROUNDDOWN({0},0)</f>
      </c>
      <c r="AK957" s="5"/>
      <c r="AL957" s="2" t="s">
        <v>233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 t="s">
        <v>233</v>
      </c>
      <c r="BD957" s="8" t="s">
        <v>233</v>
      </c>
      <c r="BE957" s="4" t="s">
        <v>233</v>
      </c>
      <c r="BF957" s="8" t="s">
        <v>233</v>
      </c>
      <c r="BG957" s="7" t="s">
        <v>233</v>
      </c>
      <c r="BH957" s="7" t="s">
        <v>233</v>
      </c>
      <c r="BI957" s="7"/>
      <c r="BJ957" s="4">
        <v>43</v>
      </c>
      <c r="BK957" s="8">
        <v>1090.05</v>
      </c>
      <c r="BL957" s="2" t="s">
        <v>4896</v>
      </c>
      <c r="BM957" s="7"/>
      <c r="BN957" s="7"/>
      <c r="BO957" s="4"/>
      <c r="BP957" s="8"/>
      <c r="BQ957" s="4"/>
      <c r="BR957" s="8"/>
      <c r="BS957" s="7"/>
      <c r="BT957" s="7"/>
      <c r="BU957" s="2" t="s">
        <v>4891</v>
      </c>
      <c r="BV957" s="2" t="s">
        <v>233</v>
      </c>
      <c r="BW957" s="2" t="s">
        <v>233</v>
      </c>
      <c r="BX957" s="2" t="s">
        <v>1407</v>
      </c>
      <c r="BY957" s="2" t="s">
        <v>242</v>
      </c>
      <c r="BZ957" s="2" t="s">
        <v>230</v>
      </c>
      <c r="CA957" s="2" t="s">
        <v>4897</v>
      </c>
      <c r="CB957" s="2" t="s">
        <v>4898</v>
      </c>
      <c r="CC957" s="2" t="s">
        <v>245</v>
      </c>
      <c r="CD957" s="2" t="s">
        <v>233</v>
      </c>
      <c r="CE957" s="4">
        <v>31</v>
      </c>
      <c r="CF957" s="4"/>
      <c r="CG957" s="4"/>
      <c r="CH957" s="4">
        <v>315</v>
      </c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>
        <v>120</v>
      </c>
      <c r="DP957" s="4"/>
      <c r="DQ957" s="4"/>
      <c r="DR957" s="4"/>
      <c r="DS957" s="4"/>
      <c r="DT957" s="4"/>
      <c r="DU957" s="4"/>
      <c r="DV957" s="4">
        <v>120</v>
      </c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>
        <v>120</v>
      </c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>
        <v>348</v>
      </c>
      <c r="GD957" s="4">
        <v>329</v>
      </c>
      <c r="GE957" s="4">
        <v>310</v>
      </c>
      <c r="GF957" s="4">
        <v>285</v>
      </c>
      <c r="GG957" s="4">
        <v>372</v>
      </c>
      <c r="GH957" s="4">
        <v>463</v>
      </c>
      <c r="GI957" s="4">
        <v>439</v>
      </c>
      <c r="GJ957" s="4">
        <v>421</v>
      </c>
      <c r="GK957" s="4">
        <v>403</v>
      </c>
      <c r="GL957" s="4">
        <v>385</v>
      </c>
      <c r="GM957" s="4">
        <v>369</v>
      </c>
      <c r="GN957" s="4">
        <v>353</v>
      </c>
      <c r="GO957" s="4">
        <v>337</v>
      </c>
      <c r="GP957" s="4">
        <v>319</v>
      </c>
      <c r="GQ957" s="4">
        <v>301</v>
      </c>
      <c r="GR957" s="4">
        <v>283</v>
      </c>
      <c r="GS957" s="4">
        <v>385</v>
      </c>
      <c r="GT957" s="4">
        <v>364</v>
      </c>
      <c r="GU957" s="4">
        <v>346</v>
      </c>
      <c r="GV957" s="4">
        <v>328</v>
      </c>
      <c r="GW957" s="4">
        <v>310</v>
      </c>
      <c r="GX957" s="4">
        <v>292</v>
      </c>
      <c r="GY957" s="4">
        <v>274</v>
      </c>
      <c r="GZ957" s="4">
        <v>254</v>
      </c>
      <c r="HA957" s="4">
        <v>234</v>
      </c>
      <c r="HB957" s="4">
        <v>214</v>
      </c>
      <c r="HC957" s="19">
        <v>11.9</v>
      </c>
      <c r="HD957" s="19">
        <v>10.1</v>
      </c>
      <c r="HE957" s="19">
        <v>8.8</v>
      </c>
      <c r="HF957" s="19">
        <v>9.5</v>
      </c>
      <c r="HG957" s="19">
        <v>20.1</v>
      </c>
      <c r="HH957" s="19">
        <v>24.3</v>
      </c>
      <c r="HI957" s="19">
        <v>26</v>
      </c>
      <c r="HJ957" s="19">
        <v>28.6</v>
      </c>
      <c r="HK957" s="19">
        <v>27.4</v>
      </c>
      <c r="HL957" s="19">
        <v>26.3</v>
      </c>
      <c r="HM957" s="19">
        <v>24.6</v>
      </c>
      <c r="HN957" s="19">
        <v>23</v>
      </c>
      <c r="HO957" s="19">
        <v>22.1</v>
      </c>
      <c r="HP957" s="19">
        <v>21.1</v>
      </c>
      <c r="HQ957" s="19">
        <v>20.1</v>
      </c>
      <c r="HR957" s="19">
        <v>19.1</v>
      </c>
      <c r="HS957" s="19">
        <v>23.1</v>
      </c>
      <c r="HT957" s="19">
        <v>21.9</v>
      </c>
      <c r="HU957" s="19">
        <v>20.9</v>
      </c>
      <c r="HV957" s="19">
        <v>19.9</v>
      </c>
      <c r="HW957" s="19">
        <v>18.9</v>
      </c>
      <c r="HX957" s="19">
        <v>15.8</v>
      </c>
      <c r="HY957" s="19">
        <v>14.9</v>
      </c>
      <c r="HZ957" s="19">
        <v>13.9</v>
      </c>
      <c r="IA957" s="19">
        <v>12.9</v>
      </c>
      <c r="IB957" s="19">
        <v>11.9</v>
      </c>
    </row>
    <row r="958">
      <c r="A958" s="2" t="s">
        <v>4899</v>
      </c>
      <c r="B958" s="2" t="s">
        <v>872</v>
      </c>
      <c r="C958" s="2" t="s">
        <v>1398</v>
      </c>
      <c r="D958" s="2" t="s">
        <v>261</v>
      </c>
      <c r="E958" s="2" t="s">
        <v>895</v>
      </c>
      <c r="F958" s="2" t="s">
        <v>4887</v>
      </c>
      <c r="G958" s="2" t="s">
        <v>4888</v>
      </c>
      <c r="H958" s="2" t="s">
        <v>2676</v>
      </c>
      <c r="I958" s="2" t="s">
        <v>4889</v>
      </c>
      <c r="J958" s="2" t="s">
        <v>1052</v>
      </c>
      <c r="K958" s="2" t="s">
        <v>452</v>
      </c>
      <c r="L958" s="3">
        <v>22.85</v>
      </c>
      <c r="M958" s="3">
        <v>23.99</v>
      </c>
      <c r="N958" s="3">
        <v>43.99</v>
      </c>
      <c r="O958" s="2" t="s">
        <v>230</v>
      </c>
      <c r="P958" s="2" t="s">
        <v>1903</v>
      </c>
      <c r="Q958" s="2" t="s">
        <v>232</v>
      </c>
      <c r="R958" s="2" t="s">
        <v>233</v>
      </c>
      <c r="S958" s="2" t="s">
        <v>4900</v>
      </c>
      <c r="T958" s="2" t="s">
        <v>469</v>
      </c>
      <c r="U958" s="2" t="s">
        <v>711</v>
      </c>
      <c r="V958" s="2" t="s">
        <v>782</v>
      </c>
      <c r="W958" s="2" t="s">
        <v>1631</v>
      </c>
      <c r="X958" s="2" t="s">
        <v>237</v>
      </c>
      <c r="Y958" s="2" t="s">
        <v>3007</v>
      </c>
      <c r="Z958" s="4">
        <v>711</v>
      </c>
      <c r="AA958" s="4">
        <f>=ROUNDDOWN(8.67073170731707,0)</f>
      </c>
      <c r="AB958" s="5">
        <v>82</v>
      </c>
      <c r="AC958" s="2" t="s">
        <v>140</v>
      </c>
      <c r="AD958" s="4">
        <v>450</v>
      </c>
      <c r="AE958" s="4">
        <v>1590</v>
      </c>
      <c r="AF958" s="6">
        <v>63</v>
      </c>
      <c r="AG958" s="6">
        <v>46</v>
      </c>
      <c r="AH958" s="7">
        <v>0.0968</v>
      </c>
      <c r="AI958" s="4"/>
      <c r="AJ958" s="4">
        <f>=ROUNDDOWN({0},0)</f>
      </c>
      <c r="AK958" s="5"/>
      <c r="AL958" s="2" t="s">
        <v>233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/>
      <c r="AW958" s="8"/>
      <c r="AX958" s="4"/>
      <c r="AY958" s="8"/>
      <c r="AZ958" s="7"/>
      <c r="BA958" s="7"/>
      <c r="BB958" s="7"/>
      <c r="BC958" s="4" t="s">
        <v>233</v>
      </c>
      <c r="BD958" s="8" t="s">
        <v>233</v>
      </c>
      <c r="BE958" s="4" t="s">
        <v>233</v>
      </c>
      <c r="BF958" s="8" t="s">
        <v>233</v>
      </c>
      <c r="BG958" s="7" t="s">
        <v>233</v>
      </c>
      <c r="BH958" s="7" t="s">
        <v>233</v>
      </c>
      <c r="BI958" s="7"/>
      <c r="BJ958" s="4"/>
      <c r="BK958" s="8"/>
      <c r="BL958" s="2" t="s">
        <v>233</v>
      </c>
      <c r="BM958" s="7"/>
      <c r="BN958" s="7"/>
      <c r="BO958" s="4"/>
      <c r="BP958" s="8"/>
      <c r="BQ958" s="4"/>
      <c r="BR958" s="8"/>
      <c r="BS958" s="7"/>
      <c r="BT958" s="7"/>
      <c r="BU958" s="2" t="s">
        <v>4891</v>
      </c>
      <c r="BV958" s="2" t="s">
        <v>233</v>
      </c>
      <c r="BW958" s="2" t="s">
        <v>233</v>
      </c>
      <c r="BX958" s="2" t="s">
        <v>1407</v>
      </c>
      <c r="BY958" s="2" t="s">
        <v>242</v>
      </c>
      <c r="BZ958" s="2" t="s">
        <v>230</v>
      </c>
      <c r="CA958" s="2" t="s">
        <v>2705</v>
      </c>
      <c r="CB958" s="2" t="s">
        <v>4901</v>
      </c>
      <c r="CC958" s="2" t="s">
        <v>245</v>
      </c>
      <c r="CD958" s="2" t="s">
        <v>233</v>
      </c>
      <c r="CE958" s="4"/>
      <c r="CF958" s="4"/>
      <c r="CG958" s="4"/>
      <c r="CH958" s="4">
        <v>711</v>
      </c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>
        <v>450</v>
      </c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>
        <v>450</v>
      </c>
      <c r="DP958" s="4"/>
      <c r="DQ958" s="4"/>
      <c r="DR958" s="4"/>
      <c r="DS958" s="4"/>
      <c r="DT958" s="4"/>
      <c r="DU958" s="4"/>
      <c r="DV958" s="4">
        <v>690</v>
      </c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>
        <v>752</v>
      </c>
      <c r="GD958" s="4">
        <v>359</v>
      </c>
      <c r="GE958" s="4">
        <v>720</v>
      </c>
      <c r="GF958" s="4">
        <v>614</v>
      </c>
      <c r="GG958" s="4">
        <v>930</v>
      </c>
      <c r="GH958" s="4">
        <v>1497</v>
      </c>
      <c r="GI958" s="4">
        <v>1389</v>
      </c>
      <c r="GJ958" s="4">
        <v>1302</v>
      </c>
      <c r="GK958" s="4">
        <v>1215</v>
      </c>
      <c r="GL958" s="4">
        <v>1128</v>
      </c>
      <c r="GM958" s="4">
        <v>1040</v>
      </c>
      <c r="GN958" s="4">
        <v>958</v>
      </c>
      <c r="GO958" s="4">
        <v>876</v>
      </c>
      <c r="GP958" s="4">
        <v>794</v>
      </c>
      <c r="GQ958" s="4">
        <v>1033</v>
      </c>
      <c r="GR958" s="4">
        <v>951</v>
      </c>
      <c r="GS958" s="4">
        <v>866</v>
      </c>
      <c r="GT958" s="4">
        <v>1255</v>
      </c>
      <c r="GU958" s="4">
        <v>1470</v>
      </c>
      <c r="GV958" s="4">
        <v>1385</v>
      </c>
      <c r="GW958" s="4">
        <v>1300</v>
      </c>
      <c r="GX958" s="4">
        <v>1215</v>
      </c>
      <c r="GY958" s="4">
        <v>1130</v>
      </c>
      <c r="GZ958" s="4">
        <v>1040</v>
      </c>
      <c r="HA958" s="4">
        <v>947</v>
      </c>
      <c r="HB958" s="4">
        <v>1225</v>
      </c>
      <c r="HC958" s="19">
        <v>2.2</v>
      </c>
      <c r="HD958" s="19">
        <v>1.9</v>
      </c>
      <c r="HE958" s="19">
        <v>4.4</v>
      </c>
      <c r="HF958" s="19">
        <v>4.7</v>
      </c>
      <c r="HG958" s="19">
        <v>9.7</v>
      </c>
      <c r="HH958" s="19">
        <v>15.5</v>
      </c>
      <c r="HI958" s="19">
        <v>15.2</v>
      </c>
      <c r="HJ958" s="19">
        <v>14.3</v>
      </c>
      <c r="HK958" s="19">
        <v>13.5</v>
      </c>
      <c r="HL958" s="19">
        <v>12.6</v>
      </c>
      <c r="HM958" s="19">
        <v>11.8</v>
      </c>
      <c r="HN958" s="19">
        <v>10.8</v>
      </c>
      <c r="HO958" s="19">
        <v>9.8</v>
      </c>
      <c r="HP958" s="19">
        <v>8.5</v>
      </c>
      <c r="HQ958" s="19">
        <v>12.2</v>
      </c>
      <c r="HR958" s="19">
        <v>11.1</v>
      </c>
      <c r="HS958" s="19">
        <v>10.1</v>
      </c>
      <c r="HT958" s="19">
        <v>14</v>
      </c>
      <c r="HU958" s="19">
        <v>17.4</v>
      </c>
      <c r="HV958" s="19">
        <v>16.2</v>
      </c>
      <c r="HW958" s="19">
        <v>14.9</v>
      </c>
      <c r="HX958" s="19">
        <v>13.6</v>
      </c>
      <c r="HY958" s="19">
        <v>12.3</v>
      </c>
      <c r="HZ958" s="19">
        <v>11.3</v>
      </c>
      <c r="IA958" s="19">
        <v>10.5</v>
      </c>
      <c r="IB958" s="19">
        <v>13</v>
      </c>
    </row>
    <row r="959">
      <c r="A959" s="2" t="s">
        <v>4902</v>
      </c>
      <c r="B959" s="2" t="s">
        <v>872</v>
      </c>
      <c r="C959" s="2" t="s">
        <v>1398</v>
      </c>
      <c r="D959" s="2" t="s">
        <v>261</v>
      </c>
      <c r="E959" s="2" t="s">
        <v>895</v>
      </c>
      <c r="F959" s="2" t="s">
        <v>4887</v>
      </c>
      <c r="G959" s="2" t="s">
        <v>4888</v>
      </c>
      <c r="H959" s="2" t="s">
        <v>2676</v>
      </c>
      <c r="I959" s="2" t="s">
        <v>4889</v>
      </c>
      <c r="J959" s="2" t="s">
        <v>1052</v>
      </c>
      <c r="K959" s="2" t="s">
        <v>742</v>
      </c>
      <c r="L959" s="3">
        <v>22.85</v>
      </c>
      <c r="M959" s="3">
        <v>23.99</v>
      </c>
      <c r="N959" s="3">
        <v>47.99</v>
      </c>
      <c r="O959" s="2" t="s">
        <v>230</v>
      </c>
      <c r="P959" s="2" t="s">
        <v>1903</v>
      </c>
      <c r="Q959" s="2" t="s">
        <v>232</v>
      </c>
      <c r="R959" s="2" t="s">
        <v>233</v>
      </c>
      <c r="S959" s="2" t="s">
        <v>4903</v>
      </c>
      <c r="T959" s="2" t="s">
        <v>469</v>
      </c>
      <c r="U959" s="2" t="s">
        <v>711</v>
      </c>
      <c r="V959" s="2" t="s">
        <v>782</v>
      </c>
      <c r="W959" s="2" t="s">
        <v>1631</v>
      </c>
      <c r="X959" s="2" t="s">
        <v>237</v>
      </c>
      <c r="Y959" s="2" t="s">
        <v>3949</v>
      </c>
      <c r="Z959" s="4">
        <v>123</v>
      </c>
      <c r="AA959" s="4">
        <f>=ROUNDDOWN(6.83333333333333,0)</f>
      </c>
      <c r="AB959" s="5">
        <v>18</v>
      </c>
      <c r="AC959" s="2" t="s">
        <v>137</v>
      </c>
      <c r="AD959" s="4">
        <v>180</v>
      </c>
      <c r="AE959" s="4">
        <v>510</v>
      </c>
      <c r="AF959" s="6">
        <v>63</v>
      </c>
      <c r="AG959" s="6">
        <v>46</v>
      </c>
      <c r="AH959" s="7">
        <v>0.0968</v>
      </c>
      <c r="AI959" s="4"/>
      <c r="AJ959" s="4">
        <f>=ROUNDDOWN({0},0)</f>
      </c>
      <c r="AK959" s="5"/>
      <c r="AL959" s="2" t="s">
        <v>233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233</v>
      </c>
      <c r="AW959" s="8" t="s">
        <v>233</v>
      </c>
      <c r="AX959" s="4" t="s">
        <v>233</v>
      </c>
      <c r="AY959" s="8" t="s">
        <v>233</v>
      </c>
      <c r="AZ959" s="7" t="s">
        <v>233</v>
      </c>
      <c r="BA959" s="7" t="s">
        <v>233</v>
      </c>
      <c r="BB959" s="7"/>
      <c r="BC959" s="4" t="s">
        <v>233</v>
      </c>
      <c r="BD959" s="8" t="s">
        <v>233</v>
      </c>
      <c r="BE959" s="4" t="s">
        <v>233</v>
      </c>
      <c r="BF959" s="8" t="s">
        <v>233</v>
      </c>
      <c r="BG959" s="7" t="s">
        <v>233</v>
      </c>
      <c r="BH959" s="7" t="s">
        <v>233</v>
      </c>
      <c r="BI959" s="7"/>
      <c r="BJ959" s="4">
        <v>2</v>
      </c>
      <c r="BK959" s="8">
        <v>48.71</v>
      </c>
      <c r="BL959" s="2" t="s">
        <v>4904</v>
      </c>
      <c r="BM959" s="7"/>
      <c r="BN959" s="7"/>
      <c r="BO959" s="4"/>
      <c r="BP959" s="8"/>
      <c r="BQ959" s="4"/>
      <c r="BR959" s="8"/>
      <c r="BS959" s="7"/>
      <c r="BT959" s="7"/>
      <c r="BU959" s="2" t="s">
        <v>4891</v>
      </c>
      <c r="BV959" s="2" t="s">
        <v>233</v>
      </c>
      <c r="BW959" s="2" t="s">
        <v>233</v>
      </c>
      <c r="BX959" s="2" t="s">
        <v>1407</v>
      </c>
      <c r="BY959" s="2" t="s">
        <v>242</v>
      </c>
      <c r="BZ959" s="2" t="s">
        <v>230</v>
      </c>
      <c r="CA959" s="2" t="s">
        <v>4892</v>
      </c>
      <c r="CB959" s="2" t="s">
        <v>4905</v>
      </c>
      <c r="CC959" s="2" t="s">
        <v>245</v>
      </c>
      <c r="CD959" s="2" t="s">
        <v>233</v>
      </c>
      <c r="CE959" s="4"/>
      <c r="CF959" s="4"/>
      <c r="CG959" s="4"/>
      <c r="CH959" s="4">
        <v>123</v>
      </c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>
        <v>180</v>
      </c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>
        <v>150</v>
      </c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>
        <v>180</v>
      </c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>
        <v>123</v>
      </c>
      <c r="GD959" s="4">
        <v>104</v>
      </c>
      <c r="GE959" s="4">
        <v>264</v>
      </c>
      <c r="GF959" s="4">
        <v>235</v>
      </c>
      <c r="GG959" s="4">
        <v>195</v>
      </c>
      <c r="GH959" s="4">
        <v>313</v>
      </c>
      <c r="GI959" s="4">
        <v>285</v>
      </c>
      <c r="GJ959" s="4">
        <v>265</v>
      </c>
      <c r="GK959" s="4">
        <v>245</v>
      </c>
      <c r="GL959" s="4">
        <v>225</v>
      </c>
      <c r="GM959" s="4">
        <v>387</v>
      </c>
      <c r="GN959" s="4">
        <v>369</v>
      </c>
      <c r="GO959" s="4">
        <v>351</v>
      </c>
      <c r="GP959" s="4">
        <v>333</v>
      </c>
      <c r="GQ959" s="4">
        <v>315</v>
      </c>
      <c r="GR959" s="4">
        <v>297</v>
      </c>
      <c r="GS959" s="4">
        <v>280</v>
      </c>
      <c r="GT959" s="4">
        <v>259</v>
      </c>
      <c r="GU959" s="4">
        <v>242</v>
      </c>
      <c r="GV959" s="4">
        <v>225</v>
      </c>
      <c r="GW959" s="4">
        <v>208</v>
      </c>
      <c r="GX959" s="4">
        <v>292</v>
      </c>
      <c r="GY959" s="4">
        <v>274</v>
      </c>
      <c r="GZ959" s="4">
        <v>254</v>
      </c>
      <c r="HA959" s="4">
        <v>334</v>
      </c>
      <c r="HB959" s="4">
        <v>314</v>
      </c>
      <c r="HC959" s="19">
        <v>4.4</v>
      </c>
      <c r="HD959" s="19">
        <v>4.4</v>
      </c>
      <c r="HE959" s="19">
        <v>8.6</v>
      </c>
      <c r="HF959" s="19">
        <v>8.4</v>
      </c>
      <c r="HG959" s="19">
        <v>8.3</v>
      </c>
      <c r="HH959" s="19">
        <v>12.7</v>
      </c>
      <c r="HI959" s="19">
        <v>12.5</v>
      </c>
      <c r="HJ959" s="19">
        <v>11.5</v>
      </c>
      <c r="HK959" s="19">
        <v>11.7</v>
      </c>
      <c r="HL959" s="19">
        <v>10.5</v>
      </c>
      <c r="HM959" s="19">
        <v>16.4</v>
      </c>
      <c r="HN959" s="19">
        <v>15.4</v>
      </c>
      <c r="HO959" s="19">
        <v>13.9</v>
      </c>
      <c r="HP959" s="19">
        <v>11.8</v>
      </c>
      <c r="HQ959" s="19">
        <v>10.4</v>
      </c>
      <c r="HR959" s="19">
        <v>8.3</v>
      </c>
      <c r="HS959" s="19">
        <v>7.8</v>
      </c>
      <c r="HT959" s="19">
        <v>7.6</v>
      </c>
      <c r="HU959" s="19">
        <v>7.6</v>
      </c>
      <c r="HV959" s="19">
        <v>7.5</v>
      </c>
      <c r="HW959" s="19">
        <v>7.5</v>
      </c>
      <c r="HX959" s="19">
        <v>15.2</v>
      </c>
      <c r="HY959" s="19">
        <v>14.4</v>
      </c>
      <c r="HZ959" s="19">
        <v>13.4</v>
      </c>
      <c r="IA959" s="19">
        <v>16</v>
      </c>
      <c r="IB959" s="19">
        <v>15</v>
      </c>
    </row>
    <row r="960">
      <c r="A960" s="2" t="s">
        <v>4906</v>
      </c>
      <c r="B960" s="2" t="s">
        <v>872</v>
      </c>
      <c r="C960" s="2" t="s">
        <v>1398</v>
      </c>
      <c r="D960" s="2" t="s">
        <v>261</v>
      </c>
      <c r="E960" s="2" t="s">
        <v>895</v>
      </c>
      <c r="F960" s="2" t="s">
        <v>4887</v>
      </c>
      <c r="G960" s="2" t="s">
        <v>4888</v>
      </c>
      <c r="H960" s="2" t="s">
        <v>2676</v>
      </c>
      <c r="I960" s="2" t="s">
        <v>4889</v>
      </c>
      <c r="J960" s="2" t="s">
        <v>275</v>
      </c>
      <c r="K960" s="2" t="s">
        <v>742</v>
      </c>
      <c r="L960" s="3">
        <v>30.95</v>
      </c>
      <c r="M960" s="3">
        <v>32.5</v>
      </c>
      <c r="N960" s="3">
        <v>64.99</v>
      </c>
      <c r="O960" s="2" t="s">
        <v>230</v>
      </c>
      <c r="P960" s="2" t="s">
        <v>1903</v>
      </c>
      <c r="Q960" s="2" t="s">
        <v>232</v>
      </c>
      <c r="R960" s="2" t="s">
        <v>233</v>
      </c>
      <c r="S960" s="2" t="s">
        <v>4903</v>
      </c>
      <c r="T960" s="2" t="s">
        <v>469</v>
      </c>
      <c r="U960" s="2" t="s">
        <v>781</v>
      </c>
      <c r="V960" s="2" t="s">
        <v>782</v>
      </c>
      <c r="W960" s="2" t="s">
        <v>1631</v>
      </c>
      <c r="X960" s="2" t="s">
        <v>237</v>
      </c>
      <c r="Y960" s="2" t="s">
        <v>3943</v>
      </c>
      <c r="Z960" s="4">
        <v>147</v>
      </c>
      <c r="AA960" s="4">
        <f>=ROUNDDOWN(6.125,0)</f>
      </c>
      <c r="AB960" s="5">
        <v>24</v>
      </c>
      <c r="AC960" s="2" t="s">
        <v>5</v>
      </c>
      <c r="AD960" s="4">
        <v>150</v>
      </c>
      <c r="AE960" s="4">
        <v>870</v>
      </c>
      <c r="AF960" s="6">
        <v>63</v>
      </c>
      <c r="AG960" s="6">
        <v>46</v>
      </c>
      <c r="AH960" s="7">
        <v>0.0968</v>
      </c>
      <c r="AI960" s="4"/>
      <c r="AJ960" s="4">
        <f>=ROUNDDOWN({0},0)</f>
      </c>
      <c r="AK960" s="5"/>
      <c r="AL960" s="2" t="s">
        <v>233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233</v>
      </c>
      <c r="AW960" s="8" t="s">
        <v>233</v>
      </c>
      <c r="AX960" s="4" t="s">
        <v>233</v>
      </c>
      <c r="AY960" s="8" t="s">
        <v>233</v>
      </c>
      <c r="AZ960" s="7" t="s">
        <v>233</v>
      </c>
      <c r="BA960" s="7" t="s">
        <v>233</v>
      </c>
      <c r="BB960" s="7"/>
      <c r="BC960" s="4" t="s">
        <v>233</v>
      </c>
      <c r="BD960" s="8" t="s">
        <v>233</v>
      </c>
      <c r="BE960" s="4" t="s">
        <v>233</v>
      </c>
      <c r="BF960" s="8" t="s">
        <v>233</v>
      </c>
      <c r="BG960" s="7" t="s">
        <v>233</v>
      </c>
      <c r="BH960" s="7" t="s">
        <v>233</v>
      </c>
      <c r="BI960" s="7"/>
      <c r="BJ960" s="4"/>
      <c r="BK960" s="8"/>
      <c r="BL960" s="2" t="s">
        <v>233</v>
      </c>
      <c r="BM960" s="7"/>
      <c r="BN960" s="7"/>
      <c r="BO960" s="4"/>
      <c r="BP960" s="8"/>
      <c r="BQ960" s="4"/>
      <c r="BR960" s="8"/>
      <c r="BS960" s="7"/>
      <c r="BT960" s="7"/>
      <c r="BU960" s="2" t="s">
        <v>4891</v>
      </c>
      <c r="BV960" s="2" t="s">
        <v>233</v>
      </c>
      <c r="BW960" s="2" t="s">
        <v>233</v>
      </c>
      <c r="BX960" s="2" t="s">
        <v>1407</v>
      </c>
      <c r="BY960" s="2" t="s">
        <v>242</v>
      </c>
      <c r="BZ960" s="2" t="s">
        <v>230</v>
      </c>
      <c r="CA960" s="2" t="s">
        <v>4892</v>
      </c>
      <c r="CB960" s="2" t="s">
        <v>4907</v>
      </c>
      <c r="CC960" s="2" t="s">
        <v>245</v>
      </c>
      <c r="CD960" s="2" t="s">
        <v>233</v>
      </c>
      <c r="CE960" s="4"/>
      <c r="CF960" s="4"/>
      <c r="CG960" s="4"/>
      <c r="CH960" s="4">
        <v>147</v>
      </c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>
        <v>150</v>
      </c>
      <c r="CW960" s="4"/>
      <c r="CX960" s="4"/>
      <c r="CY960" s="4"/>
      <c r="CZ960" s="4"/>
      <c r="DA960" s="4"/>
      <c r="DB960" s="4">
        <v>90</v>
      </c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>
        <v>90</v>
      </c>
      <c r="DP960" s="4"/>
      <c r="DQ960" s="4"/>
      <c r="DR960" s="4"/>
      <c r="DS960" s="4"/>
      <c r="DT960" s="4"/>
      <c r="DU960" s="4"/>
      <c r="DV960" s="4">
        <v>210</v>
      </c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>
        <v>330</v>
      </c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>
        <v>155</v>
      </c>
      <c r="GD960" s="4">
        <v>275</v>
      </c>
      <c r="GE960" s="4">
        <v>334</v>
      </c>
      <c r="GF960" s="4">
        <v>293</v>
      </c>
      <c r="GG960" s="4">
        <v>328</v>
      </c>
      <c r="GH960" s="4">
        <v>494</v>
      </c>
      <c r="GI960" s="4">
        <v>457</v>
      </c>
      <c r="GJ960" s="4">
        <v>430</v>
      </c>
      <c r="GK960" s="4">
        <v>403</v>
      </c>
      <c r="GL960" s="4">
        <v>376</v>
      </c>
      <c r="GM960" s="4">
        <v>682</v>
      </c>
      <c r="GN960" s="4">
        <v>658</v>
      </c>
      <c r="GO960" s="4">
        <v>634</v>
      </c>
      <c r="GP960" s="4">
        <v>610</v>
      </c>
      <c r="GQ960" s="4">
        <v>586</v>
      </c>
      <c r="GR960" s="4">
        <v>562</v>
      </c>
      <c r="GS960" s="4">
        <v>538</v>
      </c>
      <c r="GT960" s="4">
        <v>510</v>
      </c>
      <c r="GU960" s="4">
        <v>486</v>
      </c>
      <c r="GV960" s="4">
        <v>462</v>
      </c>
      <c r="GW960" s="4">
        <v>438</v>
      </c>
      <c r="GX960" s="4">
        <v>504</v>
      </c>
      <c r="GY960" s="4">
        <v>480</v>
      </c>
      <c r="GZ960" s="4">
        <v>453</v>
      </c>
      <c r="HA960" s="4">
        <v>436</v>
      </c>
      <c r="HB960" s="4">
        <v>409</v>
      </c>
      <c r="HC960" s="19">
        <v>4.6</v>
      </c>
      <c r="HD960" s="19">
        <v>7.7</v>
      </c>
      <c r="HE960" s="19">
        <v>10</v>
      </c>
      <c r="HF960" s="19">
        <v>9.8</v>
      </c>
      <c r="HG960" s="19">
        <v>12.1</v>
      </c>
      <c r="HH960" s="19">
        <v>17</v>
      </c>
      <c r="HI960" s="19">
        <v>18.1</v>
      </c>
      <c r="HJ960" s="19">
        <v>17.1</v>
      </c>
      <c r="HK960" s="19">
        <v>17.2</v>
      </c>
      <c r="HL960" s="19">
        <v>16.6</v>
      </c>
      <c r="HM960" s="19">
        <v>25.3</v>
      </c>
      <c r="HN960" s="19">
        <v>24.3</v>
      </c>
      <c r="HO960" s="19">
        <v>23.3</v>
      </c>
      <c r="HP960" s="19">
        <v>21.4</v>
      </c>
      <c r="HQ960" s="19">
        <v>20.5</v>
      </c>
      <c r="HR960" s="19">
        <v>19.5</v>
      </c>
      <c r="HS960" s="19">
        <v>18.5</v>
      </c>
      <c r="HT960" s="19">
        <v>18.1</v>
      </c>
      <c r="HU960" s="19">
        <v>17.1</v>
      </c>
      <c r="HV960" s="19">
        <v>15.4</v>
      </c>
      <c r="HW960" s="19">
        <v>14</v>
      </c>
      <c r="HX960" s="19">
        <v>18.7</v>
      </c>
      <c r="HY960" s="19">
        <v>17.3</v>
      </c>
      <c r="HZ960" s="19">
        <v>16.3</v>
      </c>
      <c r="IA960" s="19">
        <v>15.6</v>
      </c>
      <c r="IB960" s="19">
        <v>14.6</v>
      </c>
    </row>
    <row r="961">
      <c r="A961" s="2" t="s">
        <v>4908</v>
      </c>
      <c r="B961" s="2" t="s">
        <v>872</v>
      </c>
      <c r="C961" s="2" t="s">
        <v>1398</v>
      </c>
      <c r="D961" s="2" t="s">
        <v>261</v>
      </c>
      <c r="E961" s="2" t="s">
        <v>895</v>
      </c>
      <c r="F961" s="2" t="s">
        <v>4887</v>
      </c>
      <c r="G961" s="2" t="s">
        <v>4888</v>
      </c>
      <c r="H961" s="2" t="s">
        <v>2676</v>
      </c>
      <c r="I961" s="2" t="s">
        <v>4889</v>
      </c>
      <c r="J961" s="2" t="s">
        <v>1052</v>
      </c>
      <c r="K961" s="2" t="s">
        <v>4909</v>
      </c>
      <c r="L961" s="3">
        <v>22.85</v>
      </c>
      <c r="M961" s="3">
        <v>23.99</v>
      </c>
      <c r="N961" s="3">
        <v>47.99</v>
      </c>
      <c r="O961" s="2" t="s">
        <v>230</v>
      </c>
      <c r="P961" s="2" t="s">
        <v>1903</v>
      </c>
      <c r="Q961" s="2" t="s">
        <v>232</v>
      </c>
      <c r="R961" s="2" t="s">
        <v>233</v>
      </c>
      <c r="S961" s="2" t="s">
        <v>4910</v>
      </c>
      <c r="T961" s="2" t="s">
        <v>469</v>
      </c>
      <c r="U961" s="2" t="s">
        <v>711</v>
      </c>
      <c r="V961" s="2" t="s">
        <v>782</v>
      </c>
      <c r="W961" s="2" t="s">
        <v>1631</v>
      </c>
      <c r="X961" s="2" t="s">
        <v>237</v>
      </c>
      <c r="Y961" s="2" t="s">
        <v>3949</v>
      </c>
      <c r="Z961" s="4">
        <v>387</v>
      </c>
      <c r="AA961" s="4">
        <f>=ROUNDDOWN(19.35,0)</f>
      </c>
      <c r="AB961" s="5">
        <v>20</v>
      </c>
      <c r="AC961" s="2" t="s">
        <v>5</v>
      </c>
      <c r="AD961" s="4">
        <v>150</v>
      </c>
      <c r="AE961" s="4">
        <v>750</v>
      </c>
      <c r="AF961" s="6">
        <v>63</v>
      </c>
      <c r="AG961" s="6">
        <v>46</v>
      </c>
      <c r="AH961" s="7">
        <v>0.0968</v>
      </c>
      <c r="AI961" s="4"/>
      <c r="AJ961" s="4">
        <f>=ROUNDDOWN({0},0)</f>
      </c>
      <c r="AK961" s="5"/>
      <c r="AL961" s="2" t="s">
        <v>233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233</v>
      </c>
      <c r="AW961" s="8" t="s">
        <v>233</v>
      </c>
      <c r="AX961" s="4" t="s">
        <v>233</v>
      </c>
      <c r="AY961" s="8" t="s">
        <v>233</v>
      </c>
      <c r="AZ961" s="7" t="s">
        <v>233</v>
      </c>
      <c r="BA961" s="7" t="s">
        <v>233</v>
      </c>
      <c r="BB961" s="7"/>
      <c r="BC961" s="4" t="s">
        <v>233</v>
      </c>
      <c r="BD961" s="8" t="s">
        <v>233</v>
      </c>
      <c r="BE961" s="4" t="s">
        <v>233</v>
      </c>
      <c r="BF961" s="8" t="s">
        <v>233</v>
      </c>
      <c r="BG961" s="7" t="s">
        <v>233</v>
      </c>
      <c r="BH961" s="7" t="s">
        <v>233</v>
      </c>
      <c r="BI961" s="7"/>
      <c r="BJ961" s="4"/>
      <c r="BK961" s="8"/>
      <c r="BL961" s="2" t="s">
        <v>233</v>
      </c>
      <c r="BM961" s="7"/>
      <c r="BN961" s="7"/>
      <c r="BO961" s="4"/>
      <c r="BP961" s="8"/>
      <c r="BQ961" s="4"/>
      <c r="BR961" s="8"/>
      <c r="BS961" s="7"/>
      <c r="BT961" s="7"/>
      <c r="BU961" s="2" t="s">
        <v>4891</v>
      </c>
      <c r="BV961" s="2" t="s">
        <v>233</v>
      </c>
      <c r="BW961" s="2" t="s">
        <v>233</v>
      </c>
      <c r="BX961" s="2" t="s">
        <v>1407</v>
      </c>
      <c r="BY961" s="2" t="s">
        <v>242</v>
      </c>
      <c r="BZ961" s="2" t="s">
        <v>230</v>
      </c>
      <c r="CA961" s="2" t="s">
        <v>4892</v>
      </c>
      <c r="CB961" s="2" t="s">
        <v>4911</v>
      </c>
      <c r="CC961" s="2" t="s">
        <v>245</v>
      </c>
      <c r="CD961" s="2" t="s">
        <v>233</v>
      </c>
      <c r="CE961" s="4"/>
      <c r="CF961" s="4"/>
      <c r="CG961" s="4"/>
      <c r="CH961" s="4">
        <v>387</v>
      </c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>
        <v>150</v>
      </c>
      <c r="CW961" s="4"/>
      <c r="CX961" s="4"/>
      <c r="CY961" s="4">
        <v>150</v>
      </c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>
        <v>330</v>
      </c>
      <c r="DP961" s="4"/>
      <c r="DQ961" s="4"/>
      <c r="DR961" s="4"/>
      <c r="DS961" s="4"/>
      <c r="DT961" s="4"/>
      <c r="DU961" s="4"/>
      <c r="DV961" s="4">
        <v>120</v>
      </c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>
        <v>393</v>
      </c>
      <c r="GD961" s="4">
        <v>519</v>
      </c>
      <c r="GE961" s="4">
        <v>645</v>
      </c>
      <c r="GF961" s="4">
        <v>613</v>
      </c>
      <c r="GG961" s="4">
        <v>899</v>
      </c>
      <c r="GH961" s="4">
        <v>983</v>
      </c>
      <c r="GI961" s="4">
        <v>952</v>
      </c>
      <c r="GJ961" s="4">
        <v>929</v>
      </c>
      <c r="GK961" s="4">
        <v>906</v>
      </c>
      <c r="GL961" s="4">
        <v>883</v>
      </c>
      <c r="GM961" s="4">
        <v>863</v>
      </c>
      <c r="GN961" s="4">
        <v>843</v>
      </c>
      <c r="GO961" s="4">
        <v>823</v>
      </c>
      <c r="GP961" s="4">
        <v>803</v>
      </c>
      <c r="GQ961" s="4">
        <v>783</v>
      </c>
      <c r="GR961" s="4">
        <v>763</v>
      </c>
      <c r="GS961" s="4">
        <v>743</v>
      </c>
      <c r="GT961" s="4">
        <v>719</v>
      </c>
      <c r="GU961" s="4">
        <v>699</v>
      </c>
      <c r="GV961" s="4">
        <v>679</v>
      </c>
      <c r="GW961" s="4">
        <v>659</v>
      </c>
      <c r="GX961" s="4">
        <v>639</v>
      </c>
      <c r="GY961" s="4">
        <v>619</v>
      </c>
      <c r="GZ961" s="4">
        <v>596</v>
      </c>
      <c r="HA961" s="4">
        <v>573</v>
      </c>
      <c r="HB961" s="4">
        <v>550</v>
      </c>
      <c r="HC961" s="19">
        <v>16.4</v>
      </c>
      <c r="HD961" s="19">
        <v>26</v>
      </c>
      <c r="HE961" s="19">
        <v>25.4</v>
      </c>
      <c r="HF961" s="19">
        <v>27.4</v>
      </c>
      <c r="HG961" s="19">
        <v>37.8</v>
      </c>
      <c r="HH961" s="19">
        <v>45.9</v>
      </c>
      <c r="HI961" s="19">
        <v>46.8</v>
      </c>
      <c r="HJ961" s="19">
        <v>45.8</v>
      </c>
      <c r="HK961" s="19">
        <v>50</v>
      </c>
      <c r="HL961" s="19">
        <v>50.1</v>
      </c>
      <c r="HM961" s="19">
        <v>49.1</v>
      </c>
      <c r="HN961" s="19">
        <v>48.1</v>
      </c>
      <c r="HO961" s="19">
        <v>47.1</v>
      </c>
      <c r="HP961" s="19">
        <v>45</v>
      </c>
      <c r="HQ961" s="19">
        <v>44</v>
      </c>
      <c r="HR961" s="19">
        <v>43.1</v>
      </c>
      <c r="HS961" s="19">
        <v>42.1</v>
      </c>
      <c r="HT961" s="19">
        <v>41.9</v>
      </c>
      <c r="HU961" s="19">
        <v>40.9</v>
      </c>
      <c r="HV961" s="19">
        <v>39</v>
      </c>
      <c r="HW961" s="19">
        <v>33.8</v>
      </c>
      <c r="HX961" s="19">
        <v>32.9</v>
      </c>
      <c r="HY961" s="19">
        <v>31.3</v>
      </c>
      <c r="HZ961" s="19">
        <v>30.3</v>
      </c>
      <c r="IA961" s="19">
        <v>29.3</v>
      </c>
      <c r="IB961" s="19">
        <v>28.3</v>
      </c>
    </row>
    <row r="962">
      <c r="A962" s="2" t="s">
        <v>4912</v>
      </c>
      <c r="B962" s="2" t="s">
        <v>872</v>
      </c>
      <c r="C962" s="2" t="s">
        <v>1398</v>
      </c>
      <c r="D962" s="2" t="s">
        <v>261</v>
      </c>
      <c r="E962" s="2" t="s">
        <v>895</v>
      </c>
      <c r="F962" s="2" t="s">
        <v>4887</v>
      </c>
      <c r="G962" s="2" t="s">
        <v>4888</v>
      </c>
      <c r="H962" s="2" t="s">
        <v>2676</v>
      </c>
      <c r="I962" s="2" t="s">
        <v>4889</v>
      </c>
      <c r="J962" s="2" t="s">
        <v>275</v>
      </c>
      <c r="K962" s="2" t="s">
        <v>4909</v>
      </c>
      <c r="L962" s="3">
        <v>30.95</v>
      </c>
      <c r="M962" s="3">
        <v>32.5</v>
      </c>
      <c r="N962" s="3">
        <v>64.99</v>
      </c>
      <c r="O962" s="2" t="s">
        <v>230</v>
      </c>
      <c r="P962" s="2" t="s">
        <v>1903</v>
      </c>
      <c r="Q962" s="2" t="s">
        <v>232</v>
      </c>
      <c r="R962" s="2" t="s">
        <v>233</v>
      </c>
      <c r="S962" s="2" t="s">
        <v>4910</v>
      </c>
      <c r="T962" s="2" t="s">
        <v>469</v>
      </c>
      <c r="U962" s="2" t="s">
        <v>781</v>
      </c>
      <c r="V962" s="2" t="s">
        <v>782</v>
      </c>
      <c r="W962" s="2" t="s">
        <v>1631</v>
      </c>
      <c r="X962" s="2" t="s">
        <v>237</v>
      </c>
      <c r="Y962" s="2" t="s">
        <v>3943</v>
      </c>
      <c r="Z962" s="4">
        <v>361</v>
      </c>
      <c r="AA962" s="4">
        <f>=ROUNDDOWN(21.2352941176471,0)</f>
      </c>
      <c r="AB962" s="5">
        <v>17</v>
      </c>
      <c r="AC962" s="2" t="s">
        <v>290</v>
      </c>
      <c r="AD962" s="4">
        <v>180</v>
      </c>
      <c r="AE962" s="4">
        <v>360</v>
      </c>
      <c r="AF962" s="6">
        <v>63</v>
      </c>
      <c r="AG962" s="6">
        <v>46</v>
      </c>
      <c r="AH962" s="7">
        <v>1</v>
      </c>
      <c r="AI962" s="4"/>
      <c r="AJ962" s="4">
        <f>=ROUNDDOWN({0},0)</f>
      </c>
      <c r="AK962" s="5"/>
      <c r="AL962" s="2" t="s">
        <v>233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233</v>
      </c>
      <c r="AW962" s="8" t="s">
        <v>233</v>
      </c>
      <c r="AX962" s="4" t="s">
        <v>233</v>
      </c>
      <c r="AY962" s="8" t="s">
        <v>233</v>
      </c>
      <c r="AZ962" s="7" t="s">
        <v>233</v>
      </c>
      <c r="BA962" s="7" t="s">
        <v>233</v>
      </c>
      <c r="BB962" s="7"/>
      <c r="BC962" s="4" t="s">
        <v>233</v>
      </c>
      <c r="BD962" s="8" t="s">
        <v>233</v>
      </c>
      <c r="BE962" s="4" t="s">
        <v>233</v>
      </c>
      <c r="BF962" s="8" t="s">
        <v>233</v>
      </c>
      <c r="BG962" s="7" t="s">
        <v>233</v>
      </c>
      <c r="BH962" s="7" t="s">
        <v>233</v>
      </c>
      <c r="BI962" s="7"/>
      <c r="BJ962" s="4">
        <v>81</v>
      </c>
      <c r="BK962" s="8">
        <v>2646.78</v>
      </c>
      <c r="BL962" s="2" t="s">
        <v>4913</v>
      </c>
      <c r="BM962" s="7"/>
      <c r="BN962" s="7"/>
      <c r="BO962" s="4"/>
      <c r="BP962" s="8"/>
      <c r="BQ962" s="4"/>
      <c r="BR962" s="8"/>
      <c r="BS962" s="7"/>
      <c r="BT962" s="7"/>
      <c r="BU962" s="2" t="s">
        <v>4891</v>
      </c>
      <c r="BV962" s="2" t="s">
        <v>233</v>
      </c>
      <c r="BW962" s="2" t="s">
        <v>233</v>
      </c>
      <c r="BX962" s="2" t="s">
        <v>1407</v>
      </c>
      <c r="BY962" s="2" t="s">
        <v>242</v>
      </c>
      <c r="BZ962" s="2" t="s">
        <v>230</v>
      </c>
      <c r="CA962" s="2" t="s">
        <v>4892</v>
      </c>
      <c r="CB962" s="2" t="s">
        <v>4914</v>
      </c>
      <c r="CC962" s="2" t="s">
        <v>245</v>
      </c>
      <c r="CD962" s="2" t="s">
        <v>233</v>
      </c>
      <c r="CE962" s="4">
        <v>57</v>
      </c>
      <c r="CF962" s="4"/>
      <c r="CG962" s="4"/>
      <c r="CH962" s="4">
        <v>304</v>
      </c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>
        <v>180</v>
      </c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>
        <v>120</v>
      </c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>
        <v>60</v>
      </c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>
        <v>364</v>
      </c>
      <c r="GD962" s="4">
        <v>341</v>
      </c>
      <c r="GE962" s="4">
        <v>318</v>
      </c>
      <c r="GF962" s="4">
        <v>289</v>
      </c>
      <c r="GG962" s="4">
        <v>251</v>
      </c>
      <c r="GH962" s="4">
        <v>402</v>
      </c>
      <c r="GI962" s="4">
        <v>376</v>
      </c>
      <c r="GJ962" s="4">
        <v>357</v>
      </c>
      <c r="GK962" s="4">
        <v>338</v>
      </c>
      <c r="GL962" s="4">
        <v>439</v>
      </c>
      <c r="GM962" s="4">
        <v>422</v>
      </c>
      <c r="GN962" s="4">
        <v>405</v>
      </c>
      <c r="GO962" s="4">
        <v>448</v>
      </c>
      <c r="GP962" s="4">
        <v>431</v>
      </c>
      <c r="GQ962" s="4">
        <v>414</v>
      </c>
      <c r="GR962" s="4">
        <v>397</v>
      </c>
      <c r="GS962" s="4">
        <v>380</v>
      </c>
      <c r="GT962" s="4">
        <v>360</v>
      </c>
      <c r="GU962" s="4">
        <v>343</v>
      </c>
      <c r="GV962" s="4">
        <v>326</v>
      </c>
      <c r="GW962" s="4">
        <v>309</v>
      </c>
      <c r="GX962" s="4">
        <v>292</v>
      </c>
      <c r="GY962" s="4">
        <v>275</v>
      </c>
      <c r="GZ962" s="4">
        <v>256</v>
      </c>
      <c r="HA962" s="4">
        <v>237</v>
      </c>
      <c r="HB962" s="4">
        <v>219</v>
      </c>
      <c r="HC962" s="19">
        <v>13.6</v>
      </c>
      <c r="HD962" s="19">
        <v>9.7</v>
      </c>
      <c r="HE962" s="19">
        <v>8.8</v>
      </c>
      <c r="HF962" s="19">
        <v>8.2</v>
      </c>
      <c r="HG962" s="19">
        <v>10.5</v>
      </c>
      <c r="HH962" s="19">
        <v>25</v>
      </c>
      <c r="HI962" s="19">
        <v>24.1</v>
      </c>
      <c r="HJ962" s="19">
        <v>23.6</v>
      </c>
      <c r="HK962" s="19">
        <v>25.9</v>
      </c>
      <c r="HL962" s="19">
        <v>36.8</v>
      </c>
      <c r="HM962" s="19">
        <v>35.8</v>
      </c>
      <c r="HN962" s="19">
        <v>34.8</v>
      </c>
      <c r="HO962" s="19">
        <v>36.3</v>
      </c>
      <c r="HP962" s="19">
        <v>35.3</v>
      </c>
      <c r="HQ962" s="19">
        <v>34.3</v>
      </c>
      <c r="HR962" s="19">
        <v>33.3</v>
      </c>
      <c r="HS962" s="19">
        <v>32.3</v>
      </c>
      <c r="HT962" s="19">
        <v>31.1</v>
      </c>
      <c r="HU962" s="19">
        <v>30.1</v>
      </c>
      <c r="HV962" s="19">
        <v>29.1</v>
      </c>
      <c r="HW962" s="19">
        <v>23.7</v>
      </c>
      <c r="HX962" s="19">
        <v>16</v>
      </c>
      <c r="HY962" s="19">
        <v>12.2</v>
      </c>
      <c r="HZ962" s="19">
        <v>9.7</v>
      </c>
      <c r="IA962" s="19">
        <v>6.6</v>
      </c>
      <c r="IB962" s="19">
        <v>6.1</v>
      </c>
    </row>
    <row r="963">
      <c r="A963" s="2" t="s">
        <v>4915</v>
      </c>
      <c r="B963" s="2" t="s">
        <v>825</v>
      </c>
      <c r="C963" s="2" t="s">
        <v>826</v>
      </c>
      <c r="D963" s="2" t="s">
        <v>261</v>
      </c>
      <c r="E963" s="2" t="s">
        <v>603</v>
      </c>
      <c r="F963" s="2" t="s">
        <v>4916</v>
      </c>
      <c r="G963" s="2" t="s">
        <v>4917</v>
      </c>
      <c r="H963" s="2" t="s">
        <v>4918</v>
      </c>
      <c r="I963" s="2" t="s">
        <v>1051</v>
      </c>
      <c r="J963" s="2" t="s">
        <v>1052</v>
      </c>
      <c r="K963" s="2" t="s">
        <v>870</v>
      </c>
      <c r="L963" s="3">
        <v>29.81</v>
      </c>
      <c r="M963" s="3">
        <v>31.3</v>
      </c>
      <c r="N963" s="3">
        <v>69.99</v>
      </c>
      <c r="O963" s="2" t="s">
        <v>230</v>
      </c>
      <c r="P963" s="2" t="s">
        <v>721</v>
      </c>
      <c r="Q963" s="2" t="s">
        <v>232</v>
      </c>
      <c r="R963" s="2" t="s">
        <v>233</v>
      </c>
      <c r="S963" s="2" t="s">
        <v>4919</v>
      </c>
      <c r="T963" s="2" t="s">
        <v>469</v>
      </c>
      <c r="U963" s="2" t="s">
        <v>781</v>
      </c>
      <c r="V963" s="2" t="s">
        <v>1431</v>
      </c>
      <c r="W963" s="2" t="s">
        <v>237</v>
      </c>
      <c r="X963" s="2" t="s">
        <v>620</v>
      </c>
      <c r="Y963" s="2" t="s">
        <v>238</v>
      </c>
      <c r="Z963" s="4">
        <v>247</v>
      </c>
      <c r="AA963" s="4">
        <f>=ROUNDDOWN(35.2857142857143,0)</f>
      </c>
      <c r="AB963" s="5">
        <v>7</v>
      </c>
      <c r="AC963" s="2" t="s">
        <v>233</v>
      </c>
      <c r="AD963" s="4"/>
      <c r="AE963" s="4"/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233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/>
      <c r="AW963" s="8"/>
      <c r="AX963" s="4"/>
      <c r="AY963" s="8"/>
      <c r="AZ963" s="7"/>
      <c r="BA963" s="7"/>
      <c r="BB963" s="7"/>
      <c r="BC963" s="4"/>
      <c r="BD963" s="8"/>
      <c r="BE963" s="4"/>
      <c r="BF963" s="8"/>
      <c r="BG963" s="7"/>
      <c r="BH963" s="7"/>
      <c r="BI963" s="7"/>
      <c r="BJ963" s="4">
        <v>42</v>
      </c>
      <c r="BK963" s="8">
        <v>1124.77</v>
      </c>
      <c r="BL963" s="2" t="s">
        <v>356</v>
      </c>
      <c r="BM963" s="7"/>
      <c r="BN963" s="7"/>
      <c r="BO963" s="4"/>
      <c r="BP963" s="8"/>
      <c r="BQ963" s="4"/>
      <c r="BR963" s="8"/>
      <c r="BS963" s="7"/>
      <c r="BT963" s="7"/>
      <c r="BU963" s="2" t="s">
        <v>4920</v>
      </c>
      <c r="BV963" s="2" t="s">
        <v>233</v>
      </c>
      <c r="BW963" s="2" t="s">
        <v>233</v>
      </c>
      <c r="BX963" s="2" t="s">
        <v>241</v>
      </c>
      <c r="BY963" s="2" t="s">
        <v>242</v>
      </c>
      <c r="BZ963" s="2" t="s">
        <v>230</v>
      </c>
      <c r="CA963" s="2" t="s">
        <v>243</v>
      </c>
      <c r="CB963" s="2" t="s">
        <v>1057</v>
      </c>
      <c r="CC963" s="2" t="s">
        <v>245</v>
      </c>
      <c r="CD963" s="2" t="s">
        <v>233</v>
      </c>
      <c r="CE963" s="4">
        <v>247</v>
      </c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>
        <v>250</v>
      </c>
      <c r="GD963" s="4">
        <v>239</v>
      </c>
      <c r="GE963" s="4">
        <v>226</v>
      </c>
      <c r="GF963" s="4">
        <v>212</v>
      </c>
      <c r="GG963" s="4">
        <v>190</v>
      </c>
      <c r="GH963" s="4">
        <v>174</v>
      </c>
      <c r="GI963" s="4">
        <v>158</v>
      </c>
      <c r="GJ963" s="4">
        <v>147</v>
      </c>
      <c r="GK963" s="4">
        <v>143</v>
      </c>
      <c r="GL963" s="4">
        <v>135</v>
      </c>
      <c r="GM963" s="4">
        <v>128</v>
      </c>
      <c r="GN963" s="4">
        <v>121</v>
      </c>
      <c r="GO963" s="4">
        <v>114</v>
      </c>
      <c r="GP963" s="4">
        <v>107</v>
      </c>
      <c r="GQ963" s="4">
        <v>100</v>
      </c>
      <c r="GR963" s="4">
        <v>93</v>
      </c>
      <c r="GS963" s="4">
        <v>86</v>
      </c>
      <c r="GT963" s="4">
        <v>78</v>
      </c>
      <c r="GU963" s="4">
        <v>71</v>
      </c>
      <c r="GV963" s="4">
        <v>63</v>
      </c>
      <c r="GW963" s="4">
        <v>55</v>
      </c>
      <c r="GX963" s="4">
        <v>47</v>
      </c>
      <c r="GY963" s="4">
        <v>39</v>
      </c>
      <c r="GZ963" s="4">
        <v>32</v>
      </c>
      <c r="HA963" s="4">
        <v>25</v>
      </c>
      <c r="HB963" s="4">
        <v>71</v>
      </c>
      <c r="HC963" s="19">
        <v>16.7</v>
      </c>
      <c r="HD963" s="19">
        <v>14.9</v>
      </c>
      <c r="HE963" s="19">
        <v>13.3</v>
      </c>
      <c r="HF963" s="19">
        <v>13.3</v>
      </c>
      <c r="HG963" s="19">
        <v>15.8</v>
      </c>
      <c r="HH963" s="19">
        <v>17.4</v>
      </c>
      <c r="HI963" s="19">
        <v>19.8</v>
      </c>
      <c r="HJ963" s="19">
        <v>24.5</v>
      </c>
      <c r="HK963" s="19">
        <v>20.4</v>
      </c>
      <c r="HL963" s="19">
        <v>19.3</v>
      </c>
      <c r="HM963" s="19">
        <v>18.3</v>
      </c>
      <c r="HN963" s="19">
        <v>17.3</v>
      </c>
      <c r="HO963" s="19">
        <v>16.3</v>
      </c>
      <c r="HP963" s="19">
        <v>15.3</v>
      </c>
      <c r="HQ963" s="19">
        <v>14.3</v>
      </c>
      <c r="HR963" s="19">
        <v>11.6</v>
      </c>
      <c r="HS963" s="19">
        <v>10.8</v>
      </c>
      <c r="HT963" s="19">
        <v>9.8</v>
      </c>
      <c r="HU963" s="19">
        <v>8.9</v>
      </c>
      <c r="HV963" s="19">
        <v>7.9</v>
      </c>
      <c r="HW963" s="19">
        <v>6.9</v>
      </c>
      <c r="HX963" s="19">
        <v>6.7</v>
      </c>
      <c r="HY963" s="19">
        <v>5.6</v>
      </c>
      <c r="HZ963" s="19">
        <v>4.6</v>
      </c>
      <c r="IA963" s="19">
        <v>3.6</v>
      </c>
      <c r="IB963" s="19">
        <v>10.1</v>
      </c>
    </row>
    <row r="964">
      <c r="A964" s="2" t="s">
        <v>4921</v>
      </c>
      <c r="B964" s="2" t="s">
        <v>704</v>
      </c>
      <c r="C964" s="2" t="s">
        <v>616</v>
      </c>
      <c r="D964" s="2" t="s">
        <v>705</v>
      </c>
      <c r="E964" s="2" t="s">
        <v>706</v>
      </c>
      <c r="F964" s="2" t="s">
        <v>4922</v>
      </c>
      <c r="G964" s="2" t="s">
        <v>4922</v>
      </c>
      <c r="H964" s="2" t="s">
        <v>4922</v>
      </c>
      <c r="I964" s="2" t="s">
        <v>4923</v>
      </c>
      <c r="J964" s="2" t="s">
        <v>792</v>
      </c>
      <c r="K964" s="2" t="s">
        <v>229</v>
      </c>
      <c r="L964" s="3">
        <v>38</v>
      </c>
      <c r="M964" s="3">
        <v>39.9</v>
      </c>
      <c r="N964" s="3">
        <v>79.99</v>
      </c>
      <c r="O964" s="2" t="s">
        <v>230</v>
      </c>
      <c r="P964" s="2" t="s">
        <v>597</v>
      </c>
      <c r="Q964" s="2" t="s">
        <v>232</v>
      </c>
      <c r="R964" s="2" t="s">
        <v>233</v>
      </c>
      <c r="S964" s="2" t="s">
        <v>4924</v>
      </c>
      <c r="T964" s="2" t="s">
        <v>348</v>
      </c>
      <c r="U964" s="2" t="s">
        <v>665</v>
      </c>
      <c r="V964" s="2" t="s">
        <v>236</v>
      </c>
      <c r="W964" s="2" t="s">
        <v>712</v>
      </c>
      <c r="X964" s="2" t="s">
        <v>233</v>
      </c>
      <c r="Y964" s="2" t="s">
        <v>4925</v>
      </c>
      <c r="Z964" s="4">
        <v>781</v>
      </c>
      <c r="AA964" s="4">
        <f>=ROUNDDOWN(65.0833333333333,0)</f>
      </c>
      <c r="AB964" s="5">
        <v>12</v>
      </c>
      <c r="AC964" s="2" t="s">
        <v>233</v>
      </c>
      <c r="AD964" s="4"/>
      <c r="AE964" s="4"/>
      <c r="AF964" s="6">
        <v>67</v>
      </c>
      <c r="AG964" s="6"/>
      <c r="AH964" s="7">
        <v>1</v>
      </c>
      <c r="AI964" s="4"/>
      <c r="AJ964" s="4">
        <f>=ROUNDDOWN({0},0)</f>
      </c>
      <c r="AK964" s="5"/>
      <c r="AL964" s="2" t="s">
        <v>233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/>
      <c r="AW964" s="8"/>
      <c r="AX964" s="4"/>
      <c r="AY964" s="8"/>
      <c r="AZ964" s="7"/>
      <c r="BA964" s="7"/>
      <c r="BB964" s="7"/>
      <c r="BC964" s="4" t="s">
        <v>233</v>
      </c>
      <c r="BD964" s="8" t="s">
        <v>233</v>
      </c>
      <c r="BE964" s="4" t="s">
        <v>233</v>
      </c>
      <c r="BF964" s="8" t="s">
        <v>233</v>
      </c>
      <c r="BG964" s="7" t="s">
        <v>233</v>
      </c>
      <c r="BH964" s="7" t="s">
        <v>233</v>
      </c>
      <c r="BI964" s="7"/>
      <c r="BJ964" s="4">
        <v>49</v>
      </c>
      <c r="BK964" s="8">
        <v>2051.4</v>
      </c>
      <c r="BL964" s="2" t="s">
        <v>4926</v>
      </c>
      <c r="BM964" s="7"/>
      <c r="BN964" s="7"/>
      <c r="BO964" s="4"/>
      <c r="BP964" s="8"/>
      <c r="BQ964" s="4"/>
      <c r="BR964" s="8"/>
      <c r="BS964" s="7"/>
      <c r="BT964" s="7"/>
      <c r="BU964" s="2" t="s">
        <v>4927</v>
      </c>
      <c r="BV964" s="2" t="s">
        <v>233</v>
      </c>
      <c r="BW964" s="2" t="s">
        <v>233</v>
      </c>
      <c r="BX964" s="2" t="s">
        <v>241</v>
      </c>
      <c r="BY964" s="2" t="s">
        <v>242</v>
      </c>
      <c r="BZ964" s="2" t="s">
        <v>230</v>
      </c>
      <c r="CA964" s="2" t="s">
        <v>2961</v>
      </c>
      <c r="CB964" s="2" t="s">
        <v>2963</v>
      </c>
      <c r="CC964" s="2" t="s">
        <v>245</v>
      </c>
      <c r="CD964" s="2" t="s">
        <v>233</v>
      </c>
      <c r="CE964" s="4">
        <v>781</v>
      </c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>
        <v>785</v>
      </c>
      <c r="GD964" s="4">
        <v>757</v>
      </c>
      <c r="GE964" s="4">
        <v>736</v>
      </c>
      <c r="GF964" s="4">
        <v>712</v>
      </c>
      <c r="GG964" s="4">
        <v>672</v>
      </c>
      <c r="GH964" s="4">
        <v>646</v>
      </c>
      <c r="GI964" s="4">
        <v>610</v>
      </c>
      <c r="GJ964" s="4">
        <v>594</v>
      </c>
      <c r="GK964" s="4">
        <v>583</v>
      </c>
      <c r="GL964" s="4">
        <v>570</v>
      </c>
      <c r="GM964" s="4">
        <v>558</v>
      </c>
      <c r="GN964" s="4">
        <v>546</v>
      </c>
      <c r="GO964" s="4">
        <v>534</v>
      </c>
      <c r="GP964" s="4">
        <v>522</v>
      </c>
      <c r="GQ964" s="4">
        <v>510</v>
      </c>
      <c r="GR964" s="4">
        <v>498</v>
      </c>
      <c r="GS964" s="4">
        <v>486</v>
      </c>
      <c r="GT964" s="4">
        <v>473</v>
      </c>
      <c r="GU964" s="4">
        <v>461</v>
      </c>
      <c r="GV964" s="4">
        <v>449</v>
      </c>
      <c r="GW964" s="4">
        <v>437</v>
      </c>
      <c r="GX964" s="4">
        <v>425</v>
      </c>
      <c r="GY964" s="4">
        <v>413</v>
      </c>
      <c r="GZ964" s="4">
        <v>401</v>
      </c>
      <c r="HA964" s="4">
        <v>389</v>
      </c>
      <c r="HB964" s="4">
        <v>377</v>
      </c>
      <c r="HC964" s="19">
        <v>28</v>
      </c>
      <c r="HD964" s="19">
        <v>27</v>
      </c>
      <c r="HE964" s="19">
        <v>23</v>
      </c>
      <c r="HF964" s="19">
        <v>23.7</v>
      </c>
      <c r="HG964" s="19">
        <v>30.5</v>
      </c>
      <c r="HH964" s="19">
        <v>34</v>
      </c>
      <c r="HI964" s="19">
        <v>46.9</v>
      </c>
      <c r="HJ964" s="19">
        <v>49.5</v>
      </c>
      <c r="HK964" s="19">
        <v>48.6</v>
      </c>
      <c r="HL964" s="19">
        <v>47.5</v>
      </c>
      <c r="HM964" s="19">
        <v>46.5</v>
      </c>
      <c r="HN964" s="19">
        <v>45.5</v>
      </c>
      <c r="HO964" s="19">
        <v>44.5</v>
      </c>
      <c r="HP964" s="19">
        <v>43.5</v>
      </c>
      <c r="HQ964" s="19">
        <v>42.5</v>
      </c>
      <c r="HR964" s="19">
        <v>41.5</v>
      </c>
      <c r="HS964" s="19">
        <v>40.5</v>
      </c>
      <c r="HT964" s="19">
        <v>39.4</v>
      </c>
      <c r="HU964" s="19">
        <v>38.4</v>
      </c>
      <c r="HV964" s="19">
        <v>37.4</v>
      </c>
      <c r="HW964" s="19">
        <v>36.4</v>
      </c>
      <c r="HX964" s="19">
        <v>35.4</v>
      </c>
      <c r="HY964" s="19">
        <v>34.4</v>
      </c>
      <c r="HZ964" s="19">
        <v>33.4</v>
      </c>
      <c r="IA964" s="19">
        <v>32.4</v>
      </c>
      <c r="IB964" s="19">
        <v>31.4</v>
      </c>
    </row>
    <row r="965">
      <c r="A965" s="2" t="s">
        <v>4928</v>
      </c>
      <c r="B965" s="2" t="s">
        <v>704</v>
      </c>
      <c r="C965" s="2" t="s">
        <v>616</v>
      </c>
      <c r="D965" s="2" t="s">
        <v>705</v>
      </c>
      <c r="E965" s="2" t="s">
        <v>706</v>
      </c>
      <c r="F965" s="2" t="s">
        <v>4922</v>
      </c>
      <c r="G965" s="2" t="s">
        <v>4922</v>
      </c>
      <c r="H965" s="2" t="s">
        <v>4922</v>
      </c>
      <c r="I965" s="2" t="s">
        <v>4923</v>
      </c>
      <c r="J965" s="2" t="s">
        <v>792</v>
      </c>
      <c r="K965" s="2" t="s">
        <v>671</v>
      </c>
      <c r="L965" s="3">
        <v>38</v>
      </c>
      <c r="M965" s="3">
        <v>39.9</v>
      </c>
      <c r="N965" s="3">
        <v>79.99</v>
      </c>
      <c r="O965" s="2" t="s">
        <v>230</v>
      </c>
      <c r="P965" s="2" t="s">
        <v>586</v>
      </c>
      <c r="Q965" s="2" t="s">
        <v>232</v>
      </c>
      <c r="R965" s="2" t="s">
        <v>233</v>
      </c>
      <c r="S965" s="2" t="s">
        <v>4929</v>
      </c>
      <c r="T965" s="2" t="s">
        <v>348</v>
      </c>
      <c r="U965" s="2" t="s">
        <v>665</v>
      </c>
      <c r="V965" s="2" t="s">
        <v>236</v>
      </c>
      <c r="W965" s="2" t="s">
        <v>712</v>
      </c>
      <c r="X965" s="2" t="s">
        <v>233</v>
      </c>
      <c r="Y965" s="2" t="s">
        <v>4925</v>
      </c>
      <c r="Z965" s="4">
        <v>292</v>
      </c>
      <c r="AA965" s="4">
        <f>=ROUNDDOWN(36.5,0)</f>
      </c>
      <c r="AB965" s="5">
        <v>8</v>
      </c>
      <c r="AC965" s="2" t="s">
        <v>233</v>
      </c>
      <c r="AD965" s="4"/>
      <c r="AE965" s="4"/>
      <c r="AF965" s="6">
        <v>67</v>
      </c>
      <c r="AG965" s="6"/>
      <c r="AH965" s="7">
        <v>1</v>
      </c>
      <c r="AI965" s="4"/>
      <c r="AJ965" s="4">
        <f>=ROUNDDOWN({0},0)</f>
      </c>
      <c r="AK965" s="5"/>
      <c r="AL965" s="2" t="s">
        <v>233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/>
      <c r="AW965" s="8"/>
      <c r="AX965" s="4"/>
      <c r="AY965" s="8"/>
      <c r="AZ965" s="7"/>
      <c r="BA965" s="7"/>
      <c r="BB965" s="7"/>
      <c r="BC965" s="4" t="s">
        <v>233</v>
      </c>
      <c r="BD965" s="8" t="s">
        <v>233</v>
      </c>
      <c r="BE965" s="4" t="s">
        <v>233</v>
      </c>
      <c r="BF965" s="8" t="s">
        <v>233</v>
      </c>
      <c r="BG965" s="7" t="s">
        <v>233</v>
      </c>
      <c r="BH965" s="7" t="s">
        <v>233</v>
      </c>
      <c r="BI965" s="7"/>
      <c r="BJ965" s="4">
        <v>23</v>
      </c>
      <c r="BK965" s="8">
        <v>989.02</v>
      </c>
      <c r="BL965" s="2" t="s">
        <v>4930</v>
      </c>
      <c r="BM965" s="7"/>
      <c r="BN965" s="7"/>
      <c r="BO965" s="4"/>
      <c r="BP965" s="8"/>
      <c r="BQ965" s="4"/>
      <c r="BR965" s="8"/>
      <c r="BS965" s="7"/>
      <c r="BT965" s="7"/>
      <c r="BU965" s="2" t="s">
        <v>4927</v>
      </c>
      <c r="BV965" s="2" t="s">
        <v>233</v>
      </c>
      <c r="BW965" s="2" t="s">
        <v>233</v>
      </c>
      <c r="BX965" s="2" t="s">
        <v>241</v>
      </c>
      <c r="BY965" s="2" t="s">
        <v>242</v>
      </c>
      <c r="BZ965" s="2" t="s">
        <v>230</v>
      </c>
      <c r="CA965" s="2" t="s">
        <v>2961</v>
      </c>
      <c r="CB965" s="2" t="s">
        <v>750</v>
      </c>
      <c r="CC965" s="2" t="s">
        <v>245</v>
      </c>
      <c r="CD965" s="2" t="s">
        <v>233</v>
      </c>
      <c r="CE965" s="4">
        <v>292</v>
      </c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>
        <v>293</v>
      </c>
      <c r="GD965" s="4">
        <v>282</v>
      </c>
      <c r="GE965" s="4">
        <v>268</v>
      </c>
      <c r="GF965" s="4">
        <v>252</v>
      </c>
      <c r="GG965" s="4">
        <v>226</v>
      </c>
      <c r="GH965" s="4">
        <v>209</v>
      </c>
      <c r="GI965" s="4">
        <v>186</v>
      </c>
      <c r="GJ965" s="4">
        <v>175</v>
      </c>
      <c r="GK965" s="4">
        <v>168</v>
      </c>
      <c r="GL965" s="4">
        <v>159</v>
      </c>
      <c r="GM965" s="4">
        <v>151</v>
      </c>
      <c r="GN965" s="4">
        <v>143</v>
      </c>
      <c r="GO965" s="4">
        <v>135</v>
      </c>
      <c r="GP965" s="4">
        <v>127</v>
      </c>
      <c r="GQ965" s="4">
        <v>119</v>
      </c>
      <c r="GR965" s="4">
        <v>111</v>
      </c>
      <c r="GS965" s="4">
        <v>103</v>
      </c>
      <c r="GT965" s="4">
        <v>94</v>
      </c>
      <c r="GU965" s="4">
        <v>86</v>
      </c>
      <c r="GV965" s="4">
        <v>78</v>
      </c>
      <c r="GW965" s="4">
        <v>70</v>
      </c>
      <c r="GX965" s="4">
        <v>469</v>
      </c>
      <c r="GY965" s="4">
        <v>461</v>
      </c>
      <c r="GZ965" s="4">
        <v>453</v>
      </c>
      <c r="HA965" s="4">
        <v>445</v>
      </c>
      <c r="HB965" s="4">
        <v>437</v>
      </c>
      <c r="HC965" s="19">
        <v>17.2</v>
      </c>
      <c r="HD965" s="19">
        <v>15.7</v>
      </c>
      <c r="HE965" s="19">
        <v>13.4</v>
      </c>
      <c r="HF965" s="19">
        <v>13.3</v>
      </c>
      <c r="HG965" s="19">
        <v>16.1</v>
      </c>
      <c r="HH965" s="19">
        <v>17.4</v>
      </c>
      <c r="HI965" s="19">
        <v>20.7</v>
      </c>
      <c r="HJ965" s="19">
        <v>21.9</v>
      </c>
      <c r="HK965" s="19">
        <v>21</v>
      </c>
      <c r="HL965" s="19">
        <v>19.9</v>
      </c>
      <c r="HM965" s="19">
        <v>18.9</v>
      </c>
      <c r="HN965" s="19">
        <v>17.9</v>
      </c>
      <c r="HO965" s="19">
        <v>16.9</v>
      </c>
      <c r="HP965" s="19">
        <v>15.9</v>
      </c>
      <c r="HQ965" s="19">
        <v>14.9</v>
      </c>
      <c r="HR965" s="19">
        <v>13.9</v>
      </c>
      <c r="HS965" s="19">
        <v>12.9</v>
      </c>
      <c r="HT965" s="19">
        <v>11.8</v>
      </c>
      <c r="HU965" s="19">
        <v>10.8</v>
      </c>
      <c r="HV965" s="19">
        <v>9.8</v>
      </c>
      <c r="HW965" s="19">
        <v>8.8</v>
      </c>
      <c r="HX965" s="19">
        <v>58.6</v>
      </c>
      <c r="HY965" s="19">
        <v>57.6</v>
      </c>
      <c r="HZ965" s="19">
        <v>56.6</v>
      </c>
      <c r="IA965" s="19">
        <v>55.6</v>
      </c>
      <c r="IB965" s="19">
        <v>54.6</v>
      </c>
    </row>
    <row r="966">
      <c r="A966" s="2" t="s">
        <v>4931</v>
      </c>
      <c r="B966" s="2" t="s">
        <v>704</v>
      </c>
      <c r="C966" s="2" t="s">
        <v>616</v>
      </c>
      <c r="D966" s="2" t="s">
        <v>705</v>
      </c>
      <c r="E966" s="2" t="s">
        <v>706</v>
      </c>
      <c r="F966" s="2" t="s">
        <v>4922</v>
      </c>
      <c r="G966" s="2" t="s">
        <v>4922</v>
      </c>
      <c r="H966" s="2" t="s">
        <v>4922</v>
      </c>
      <c r="I966" s="2" t="s">
        <v>4923</v>
      </c>
      <c r="J966" s="2" t="s">
        <v>792</v>
      </c>
      <c r="K966" s="2" t="s">
        <v>452</v>
      </c>
      <c r="L966" s="3">
        <v>38</v>
      </c>
      <c r="M966" s="3">
        <v>39.9</v>
      </c>
      <c r="N966" s="3">
        <v>79.99</v>
      </c>
      <c r="O966" s="2" t="s">
        <v>230</v>
      </c>
      <c r="P966" s="2" t="s">
        <v>586</v>
      </c>
      <c r="Q966" s="2" t="s">
        <v>232</v>
      </c>
      <c r="R966" s="2" t="s">
        <v>233</v>
      </c>
      <c r="S966" s="2" t="s">
        <v>4932</v>
      </c>
      <c r="T966" s="2" t="s">
        <v>348</v>
      </c>
      <c r="U966" s="2" t="s">
        <v>665</v>
      </c>
      <c r="V966" s="2" t="s">
        <v>236</v>
      </c>
      <c r="W966" s="2" t="s">
        <v>712</v>
      </c>
      <c r="X966" s="2" t="s">
        <v>233</v>
      </c>
      <c r="Y966" s="2" t="s">
        <v>4925</v>
      </c>
      <c r="Z966" s="4">
        <v>691</v>
      </c>
      <c r="AA966" s="4">
        <f>=ROUNDDOWN(115.166666666667,0)</f>
      </c>
      <c r="AB966" s="5">
        <v>6</v>
      </c>
      <c r="AC966" s="2" t="s">
        <v>233</v>
      </c>
      <c r="AD966" s="4"/>
      <c r="AE966" s="4"/>
      <c r="AF966" s="6">
        <v>67</v>
      </c>
      <c r="AG966" s="6"/>
      <c r="AH966" s="7">
        <v>1</v>
      </c>
      <c r="AI966" s="4"/>
      <c r="AJ966" s="4">
        <f>=ROUNDDOWN({0},0)</f>
      </c>
      <c r="AK966" s="5"/>
      <c r="AL966" s="2" t="s">
        <v>233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/>
      <c r="AW966" s="8"/>
      <c r="AX966" s="4"/>
      <c r="AY966" s="8"/>
      <c r="AZ966" s="7"/>
      <c r="BA966" s="7"/>
      <c r="BB966" s="7"/>
      <c r="BC966" s="4" t="s">
        <v>233</v>
      </c>
      <c r="BD966" s="8" t="s">
        <v>233</v>
      </c>
      <c r="BE966" s="4" t="s">
        <v>233</v>
      </c>
      <c r="BF966" s="8" t="s">
        <v>233</v>
      </c>
      <c r="BG966" s="7" t="s">
        <v>233</v>
      </c>
      <c r="BH966" s="7" t="s">
        <v>233</v>
      </c>
      <c r="BI966" s="7"/>
      <c r="BJ966" s="4">
        <v>27</v>
      </c>
      <c r="BK966" s="8">
        <v>1128.99</v>
      </c>
      <c r="BL966" s="2" t="s">
        <v>4933</v>
      </c>
      <c r="BM966" s="7"/>
      <c r="BN966" s="7"/>
      <c r="BO966" s="4"/>
      <c r="BP966" s="8"/>
      <c r="BQ966" s="4"/>
      <c r="BR966" s="8"/>
      <c r="BS966" s="7"/>
      <c r="BT966" s="7"/>
      <c r="BU966" s="2" t="s">
        <v>4927</v>
      </c>
      <c r="BV966" s="2" t="s">
        <v>233</v>
      </c>
      <c r="BW966" s="2" t="s">
        <v>233</v>
      </c>
      <c r="BX966" s="2" t="s">
        <v>241</v>
      </c>
      <c r="BY966" s="2" t="s">
        <v>242</v>
      </c>
      <c r="BZ966" s="2" t="s">
        <v>230</v>
      </c>
      <c r="CA966" s="2" t="s">
        <v>2961</v>
      </c>
      <c r="CB966" s="2" t="s">
        <v>4567</v>
      </c>
      <c r="CC966" s="2" t="s">
        <v>245</v>
      </c>
      <c r="CD966" s="2" t="s">
        <v>233</v>
      </c>
      <c r="CE966" s="4">
        <v>691</v>
      </c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>
        <v>692</v>
      </c>
      <c r="GD966" s="4">
        <v>685</v>
      </c>
      <c r="GE966" s="4">
        <v>676</v>
      </c>
      <c r="GF966" s="4">
        <v>666</v>
      </c>
      <c r="GG966" s="4">
        <v>650</v>
      </c>
      <c r="GH966" s="4">
        <v>641</v>
      </c>
      <c r="GI966" s="4">
        <v>629</v>
      </c>
      <c r="GJ966" s="4">
        <v>623</v>
      </c>
      <c r="GK966" s="4">
        <v>619</v>
      </c>
      <c r="GL966" s="4">
        <v>612</v>
      </c>
      <c r="GM966" s="4">
        <v>606</v>
      </c>
      <c r="GN966" s="4">
        <v>600</v>
      </c>
      <c r="GO966" s="4">
        <v>594</v>
      </c>
      <c r="GP966" s="4">
        <v>588</v>
      </c>
      <c r="GQ966" s="4">
        <v>582</v>
      </c>
      <c r="GR966" s="4">
        <v>576</v>
      </c>
      <c r="GS966" s="4">
        <v>570</v>
      </c>
      <c r="GT966" s="4">
        <v>563</v>
      </c>
      <c r="GU966" s="4">
        <v>557</v>
      </c>
      <c r="GV966" s="4">
        <v>551</v>
      </c>
      <c r="GW966" s="4">
        <v>545</v>
      </c>
      <c r="GX966" s="4">
        <v>539</v>
      </c>
      <c r="GY966" s="4">
        <v>533</v>
      </c>
      <c r="GZ966" s="4">
        <v>527</v>
      </c>
      <c r="HA966" s="4">
        <v>521</v>
      </c>
      <c r="HB966" s="4">
        <v>515</v>
      </c>
      <c r="HC966" s="19">
        <v>69.2</v>
      </c>
      <c r="HD966" s="19">
        <v>62.3</v>
      </c>
      <c r="HE966" s="19">
        <v>56.3</v>
      </c>
      <c r="HF966" s="19">
        <v>60.5</v>
      </c>
      <c r="HG966" s="19">
        <v>81.3</v>
      </c>
      <c r="HH966" s="19">
        <v>91.6</v>
      </c>
      <c r="HI966" s="19">
        <v>104.8</v>
      </c>
      <c r="HJ966" s="19">
        <v>103.8</v>
      </c>
      <c r="HK966" s="19">
        <v>103.2</v>
      </c>
      <c r="HL966" s="19">
        <v>102</v>
      </c>
      <c r="HM966" s="19">
        <v>101</v>
      </c>
      <c r="HN966" s="19">
        <v>100</v>
      </c>
      <c r="HO966" s="19">
        <v>99</v>
      </c>
      <c r="HP966" s="19">
        <v>98</v>
      </c>
      <c r="HQ966" s="19">
        <v>97</v>
      </c>
      <c r="HR966" s="19">
        <v>96</v>
      </c>
      <c r="HS966" s="19">
        <v>95</v>
      </c>
      <c r="HT966" s="19">
        <v>93.8</v>
      </c>
      <c r="HU966" s="19">
        <v>92.8</v>
      </c>
      <c r="HV966" s="19">
        <v>91.8</v>
      </c>
      <c r="HW966" s="19">
        <v>90.8</v>
      </c>
      <c r="HX966" s="19">
        <v>89.8</v>
      </c>
      <c r="HY966" s="19">
        <v>88.8</v>
      </c>
      <c r="HZ966" s="19">
        <v>87.8</v>
      </c>
      <c r="IA966" s="19">
        <v>86.8</v>
      </c>
      <c r="IB966" s="19">
        <v>85.8</v>
      </c>
    </row>
    <row r="967">
      <c r="A967" s="2" t="s">
        <v>4934</v>
      </c>
      <c r="B967" s="2" t="s">
        <v>704</v>
      </c>
      <c r="C967" s="2" t="s">
        <v>616</v>
      </c>
      <c r="D967" s="2" t="s">
        <v>705</v>
      </c>
      <c r="E967" s="2" t="s">
        <v>706</v>
      </c>
      <c r="F967" s="2" t="s">
        <v>4922</v>
      </c>
      <c r="G967" s="2" t="s">
        <v>4922</v>
      </c>
      <c r="H967" s="2" t="s">
        <v>4922</v>
      </c>
      <c r="I967" s="2" t="s">
        <v>4923</v>
      </c>
      <c r="J967" s="2" t="s">
        <v>792</v>
      </c>
      <c r="K967" s="2" t="s">
        <v>870</v>
      </c>
      <c r="L967" s="3">
        <v>38</v>
      </c>
      <c r="M967" s="3">
        <v>39.9</v>
      </c>
      <c r="N967" s="3">
        <v>79.99</v>
      </c>
      <c r="O967" s="2" t="s">
        <v>230</v>
      </c>
      <c r="P967" s="2" t="s">
        <v>231</v>
      </c>
      <c r="Q967" s="2" t="s">
        <v>232</v>
      </c>
      <c r="R967" s="2" t="s">
        <v>233</v>
      </c>
      <c r="S967" s="2" t="s">
        <v>4935</v>
      </c>
      <c r="T967" s="2" t="s">
        <v>348</v>
      </c>
      <c r="U967" s="2" t="s">
        <v>665</v>
      </c>
      <c r="V967" s="2" t="s">
        <v>236</v>
      </c>
      <c r="W967" s="2" t="s">
        <v>712</v>
      </c>
      <c r="X967" s="2" t="s">
        <v>233</v>
      </c>
      <c r="Y967" s="2" t="s">
        <v>4936</v>
      </c>
      <c r="Z967" s="4">
        <v>516</v>
      </c>
      <c r="AA967" s="4">
        <f>=ROUNDDOWN(86,0)</f>
      </c>
      <c r="AB967" s="5">
        <v>6</v>
      </c>
      <c r="AC967" s="2" t="s">
        <v>233</v>
      </c>
      <c r="AD967" s="4"/>
      <c r="AE967" s="4"/>
      <c r="AF967" s="6">
        <v>67</v>
      </c>
      <c r="AG967" s="6"/>
      <c r="AH967" s="7">
        <v>1</v>
      </c>
      <c r="AI967" s="4"/>
      <c r="AJ967" s="4">
        <f>=ROUNDDOWN({0},0)</f>
      </c>
      <c r="AK967" s="5"/>
      <c r="AL967" s="2" t="s">
        <v>233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/>
      <c r="AW967" s="8"/>
      <c r="AX967" s="4"/>
      <c r="AY967" s="8"/>
      <c r="AZ967" s="7"/>
      <c r="BA967" s="7"/>
      <c r="BB967" s="7"/>
      <c r="BC967" s="4" t="s">
        <v>233</v>
      </c>
      <c r="BD967" s="8" t="s">
        <v>233</v>
      </c>
      <c r="BE967" s="4" t="s">
        <v>233</v>
      </c>
      <c r="BF967" s="8" t="s">
        <v>233</v>
      </c>
      <c r="BG967" s="7" t="s">
        <v>233</v>
      </c>
      <c r="BH967" s="7" t="s">
        <v>233</v>
      </c>
      <c r="BI967" s="7"/>
      <c r="BJ967" s="4">
        <v>23</v>
      </c>
      <c r="BK967" s="8">
        <v>985.08</v>
      </c>
      <c r="BL967" s="2" t="s">
        <v>4937</v>
      </c>
      <c r="BM967" s="7"/>
      <c r="BN967" s="7"/>
      <c r="BO967" s="4"/>
      <c r="BP967" s="8"/>
      <c r="BQ967" s="4"/>
      <c r="BR967" s="8"/>
      <c r="BS967" s="7"/>
      <c r="BT967" s="7"/>
      <c r="BU967" s="2" t="s">
        <v>4927</v>
      </c>
      <c r="BV967" s="2" t="s">
        <v>233</v>
      </c>
      <c r="BW967" s="2" t="s">
        <v>233</v>
      </c>
      <c r="BX967" s="2" t="s">
        <v>241</v>
      </c>
      <c r="BY967" s="2" t="s">
        <v>242</v>
      </c>
      <c r="BZ967" s="2" t="s">
        <v>230</v>
      </c>
      <c r="CA967" s="2" t="s">
        <v>3546</v>
      </c>
      <c r="CB967" s="2" t="s">
        <v>4938</v>
      </c>
      <c r="CC967" s="2" t="s">
        <v>245</v>
      </c>
      <c r="CD967" s="2" t="s">
        <v>233</v>
      </c>
      <c r="CE967" s="4">
        <v>516</v>
      </c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>
        <v>520</v>
      </c>
      <c r="GD967" s="4">
        <v>501</v>
      </c>
      <c r="GE967" s="4">
        <v>491</v>
      </c>
      <c r="GF967" s="4">
        <v>479</v>
      </c>
      <c r="GG967" s="4">
        <v>460</v>
      </c>
      <c r="GH967" s="4">
        <v>447</v>
      </c>
      <c r="GI967" s="4">
        <v>430</v>
      </c>
      <c r="GJ967" s="4">
        <v>422</v>
      </c>
      <c r="GK967" s="4">
        <v>416</v>
      </c>
      <c r="GL967" s="4">
        <v>409</v>
      </c>
      <c r="GM967" s="4">
        <v>403</v>
      </c>
      <c r="GN967" s="4">
        <v>397</v>
      </c>
      <c r="GO967" s="4">
        <v>391</v>
      </c>
      <c r="GP967" s="4">
        <v>385</v>
      </c>
      <c r="GQ967" s="4">
        <v>379</v>
      </c>
      <c r="GR967" s="4">
        <v>373</v>
      </c>
      <c r="GS967" s="4">
        <v>367</v>
      </c>
      <c r="GT967" s="4">
        <v>360</v>
      </c>
      <c r="GU967" s="4">
        <v>354</v>
      </c>
      <c r="GV967" s="4">
        <v>348</v>
      </c>
      <c r="GW967" s="4">
        <v>342</v>
      </c>
      <c r="GX967" s="4">
        <v>336</v>
      </c>
      <c r="GY967" s="4">
        <v>330</v>
      </c>
      <c r="GZ967" s="4">
        <v>324</v>
      </c>
      <c r="HA967" s="4">
        <v>318</v>
      </c>
      <c r="HB967" s="4">
        <v>312</v>
      </c>
      <c r="HC967" s="19">
        <v>34.7</v>
      </c>
      <c r="HD967" s="19">
        <v>35.8</v>
      </c>
      <c r="HE967" s="19">
        <v>32.7</v>
      </c>
      <c r="HF967" s="19">
        <v>34.2</v>
      </c>
      <c r="HG967" s="19">
        <v>41.8</v>
      </c>
      <c r="HH967" s="19">
        <v>44.7</v>
      </c>
      <c r="HI967" s="19">
        <v>61.4</v>
      </c>
      <c r="HJ967" s="19">
        <v>70.3</v>
      </c>
      <c r="HK967" s="19">
        <v>69.3</v>
      </c>
      <c r="HL967" s="19">
        <v>68.2</v>
      </c>
      <c r="HM967" s="19">
        <v>67.2</v>
      </c>
      <c r="HN967" s="19">
        <v>66.2</v>
      </c>
      <c r="HO967" s="19">
        <v>65.2</v>
      </c>
      <c r="HP967" s="19">
        <v>64.2</v>
      </c>
      <c r="HQ967" s="19">
        <v>63.2</v>
      </c>
      <c r="HR967" s="19">
        <v>62.2</v>
      </c>
      <c r="HS967" s="19">
        <v>61.2</v>
      </c>
      <c r="HT967" s="19">
        <v>60</v>
      </c>
      <c r="HU967" s="19">
        <v>59</v>
      </c>
      <c r="HV967" s="19">
        <v>58</v>
      </c>
      <c r="HW967" s="19">
        <v>57</v>
      </c>
      <c r="HX967" s="19">
        <v>56</v>
      </c>
      <c r="HY967" s="19">
        <v>55</v>
      </c>
      <c r="HZ967" s="19">
        <v>54</v>
      </c>
      <c r="IA967" s="19">
        <v>53</v>
      </c>
      <c r="IB967" s="19">
        <v>52</v>
      </c>
    </row>
    <row r="968">
      <c r="A968" s="2" t="s">
        <v>4939</v>
      </c>
      <c r="B968" s="2" t="s">
        <v>773</v>
      </c>
      <c r="C968" s="2" t="s">
        <v>2240</v>
      </c>
      <c r="D968" s="2" t="s">
        <v>985</v>
      </c>
      <c r="E968" s="2" t="s">
        <v>2241</v>
      </c>
      <c r="F968" s="2" t="s">
        <v>4940</v>
      </c>
      <c r="G968" s="2" t="s">
        <v>4940</v>
      </c>
      <c r="H968" s="2" t="s">
        <v>4940</v>
      </c>
      <c r="I968" s="2" t="s">
        <v>1574</v>
      </c>
      <c r="J968" s="2" t="s">
        <v>336</v>
      </c>
      <c r="K968" s="2" t="s">
        <v>1594</v>
      </c>
      <c r="L968" s="3">
        <v>72.34</v>
      </c>
      <c r="M968" s="3">
        <v>75.96</v>
      </c>
      <c r="N968" s="3">
        <v>149.99</v>
      </c>
      <c r="O968" s="2" t="s">
        <v>230</v>
      </c>
      <c r="P968" s="2" t="s">
        <v>231</v>
      </c>
      <c r="Q968" s="2" t="s">
        <v>232</v>
      </c>
      <c r="R968" s="2" t="s">
        <v>233</v>
      </c>
      <c r="S968" s="2" t="s">
        <v>233</v>
      </c>
      <c r="T968" s="2" t="s">
        <v>1859</v>
      </c>
      <c r="U968" s="2" t="s">
        <v>329</v>
      </c>
      <c r="V968" s="2" t="s">
        <v>236</v>
      </c>
      <c r="W968" s="2" t="s">
        <v>237</v>
      </c>
      <c r="X968" s="2" t="s">
        <v>233</v>
      </c>
      <c r="Y968" s="2" t="s">
        <v>4941</v>
      </c>
      <c r="Z968" s="4">
        <v>178</v>
      </c>
      <c r="AA968" s="4">
        <f>=ROUNDDOWN(17.8,0)</f>
      </c>
      <c r="AB968" s="5">
        <v>10</v>
      </c>
      <c r="AC968" s="2" t="s">
        <v>233</v>
      </c>
      <c r="AD968" s="4"/>
      <c r="AE968" s="4"/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233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 t="s">
        <v>233</v>
      </c>
      <c r="BD968" s="8" t="s">
        <v>233</v>
      </c>
      <c r="BE968" s="4" t="s">
        <v>233</v>
      </c>
      <c r="BF968" s="8" t="s">
        <v>233</v>
      </c>
      <c r="BG968" s="7" t="s">
        <v>233</v>
      </c>
      <c r="BH968" s="7" t="s">
        <v>233</v>
      </c>
      <c r="BI968" s="7"/>
      <c r="BJ968" s="4">
        <v>100</v>
      </c>
      <c r="BK968" s="8">
        <v>7817.44</v>
      </c>
      <c r="BL968" s="2" t="s">
        <v>2936</v>
      </c>
      <c r="BM968" s="7"/>
      <c r="BN968" s="7"/>
      <c r="BO968" s="4"/>
      <c r="BP968" s="8"/>
      <c r="BQ968" s="4"/>
      <c r="BR968" s="8"/>
      <c r="BS968" s="7"/>
      <c r="BT968" s="7"/>
      <c r="BU968" s="2" t="s">
        <v>4942</v>
      </c>
      <c r="BV968" s="2" t="s">
        <v>233</v>
      </c>
      <c r="BW968" s="2" t="s">
        <v>233</v>
      </c>
      <c r="BX968" s="2" t="s">
        <v>293</v>
      </c>
      <c r="BY968" s="2" t="s">
        <v>242</v>
      </c>
      <c r="BZ968" s="2" t="s">
        <v>230</v>
      </c>
      <c r="CA968" s="2" t="s">
        <v>750</v>
      </c>
      <c r="CB968" s="2" t="s">
        <v>4943</v>
      </c>
      <c r="CC968" s="2" t="s">
        <v>245</v>
      </c>
      <c r="CD968" s="2" t="s">
        <v>233</v>
      </c>
      <c r="CE968" s="4">
        <v>66</v>
      </c>
      <c r="CF968" s="4">
        <v>112</v>
      </c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>
        <v>188</v>
      </c>
      <c r="GD968" s="4">
        <v>169</v>
      </c>
      <c r="GE968" s="4">
        <v>153</v>
      </c>
      <c r="GF968" s="4">
        <v>138</v>
      </c>
      <c r="GG968" s="4">
        <v>101</v>
      </c>
      <c r="GH968" s="4">
        <v>79</v>
      </c>
      <c r="GI968" s="4">
        <v>52</v>
      </c>
      <c r="GJ968" s="4">
        <v>38</v>
      </c>
      <c r="GK968" s="4">
        <v>33</v>
      </c>
      <c r="GL968" s="4">
        <v>27</v>
      </c>
      <c r="GM968" s="4">
        <v>20</v>
      </c>
      <c r="GN968" s="4">
        <v>12</v>
      </c>
      <c r="GO968" s="4">
        <v>6</v>
      </c>
      <c r="GP968" s="4"/>
      <c r="GQ968" s="4"/>
      <c r="GR968" s="4"/>
      <c r="GS968" s="4"/>
      <c r="GT968" s="4"/>
      <c r="GU968" s="4"/>
      <c r="GV968" s="4">
        <v>164</v>
      </c>
      <c r="GW968" s="4">
        <v>158</v>
      </c>
      <c r="GX968" s="4">
        <v>155</v>
      </c>
      <c r="GY968" s="4">
        <v>151</v>
      </c>
      <c r="GZ968" s="4">
        <v>148</v>
      </c>
      <c r="HA968" s="4">
        <v>147</v>
      </c>
      <c r="HB968" s="4">
        <v>146</v>
      </c>
      <c r="HC968" s="19">
        <v>8.5</v>
      </c>
      <c r="HD968" s="19">
        <v>7.7</v>
      </c>
      <c r="HE968" s="19">
        <v>6.1</v>
      </c>
      <c r="HF968" s="19">
        <v>5.5</v>
      </c>
      <c r="HG968" s="19">
        <v>5.9</v>
      </c>
      <c r="HH968" s="19">
        <v>6.1</v>
      </c>
      <c r="HI968" s="19">
        <v>6.5</v>
      </c>
      <c r="HJ968" s="19">
        <v>6.3</v>
      </c>
      <c r="HK968" s="19">
        <v>4.7</v>
      </c>
      <c r="HL968" s="19">
        <v>3.9</v>
      </c>
      <c r="HM968" s="19">
        <v>3.3</v>
      </c>
      <c r="HN968" s="19">
        <v>2</v>
      </c>
      <c r="HO968" s="19">
        <v>1</v>
      </c>
      <c r="HP968" s="20">
        <v>0</v>
      </c>
      <c r="HQ968" s="20">
        <v>0</v>
      </c>
      <c r="HR968" s="20">
        <v>0</v>
      </c>
      <c r="HS968" s="20">
        <v>0</v>
      </c>
      <c r="HT968" s="20">
        <v>0</v>
      </c>
      <c r="HU968" s="20">
        <v>0</v>
      </c>
      <c r="HV968" s="19">
        <v>41</v>
      </c>
      <c r="HW968" s="19">
        <v>52.7</v>
      </c>
      <c r="HX968" s="19">
        <v>77.5</v>
      </c>
      <c r="HY968" s="19">
        <v>75.5</v>
      </c>
      <c r="HZ968" s="19">
        <v>74</v>
      </c>
      <c r="IA968" s="19">
        <v>73.5</v>
      </c>
      <c r="IB968" s="19">
        <v>73</v>
      </c>
    </row>
    <row r="969">
      <c r="A969" s="2" t="s">
        <v>4944</v>
      </c>
      <c r="B969" s="2" t="s">
        <v>773</v>
      </c>
      <c r="C969" s="2" t="s">
        <v>2240</v>
      </c>
      <c r="D969" s="2" t="s">
        <v>985</v>
      </c>
      <c r="E969" s="2" t="s">
        <v>2241</v>
      </c>
      <c r="F969" s="2" t="s">
        <v>4940</v>
      </c>
      <c r="G969" s="2" t="s">
        <v>4940</v>
      </c>
      <c r="H969" s="2" t="s">
        <v>4940</v>
      </c>
      <c r="I969" s="2" t="s">
        <v>1574</v>
      </c>
      <c r="J969" s="2" t="s">
        <v>252</v>
      </c>
      <c r="K969" s="2" t="s">
        <v>642</v>
      </c>
      <c r="L969" s="3">
        <v>50.08</v>
      </c>
      <c r="M969" s="3">
        <v>52.58</v>
      </c>
      <c r="N969" s="3">
        <v>106.99</v>
      </c>
      <c r="O969" s="2" t="s">
        <v>230</v>
      </c>
      <c r="P969" s="2" t="s">
        <v>231</v>
      </c>
      <c r="Q969" s="2" t="s">
        <v>232</v>
      </c>
      <c r="R969" s="2" t="s">
        <v>233</v>
      </c>
      <c r="S969" s="2" t="s">
        <v>233</v>
      </c>
      <c r="T969" s="2" t="s">
        <v>1859</v>
      </c>
      <c r="U969" s="2" t="s">
        <v>329</v>
      </c>
      <c r="V969" s="2" t="s">
        <v>236</v>
      </c>
      <c r="W969" s="2" t="s">
        <v>237</v>
      </c>
      <c r="X969" s="2" t="s">
        <v>233</v>
      </c>
      <c r="Y969" s="2" t="s">
        <v>4941</v>
      </c>
      <c r="Z969" s="4">
        <v>243</v>
      </c>
      <c r="AA969" s="4">
        <f>=ROUNDDOWN(24.3,0)</f>
      </c>
      <c r="AB969" s="5">
        <v>10</v>
      </c>
      <c r="AC969" s="2" t="s">
        <v>233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233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233</v>
      </c>
      <c r="AW969" s="8" t="s">
        <v>233</v>
      </c>
      <c r="AX969" s="4" t="s">
        <v>233</v>
      </c>
      <c r="AY969" s="8" t="s">
        <v>233</v>
      </c>
      <c r="AZ969" s="7" t="s">
        <v>233</v>
      </c>
      <c r="BA969" s="7" t="s">
        <v>233</v>
      </c>
      <c r="BB969" s="7"/>
      <c r="BC969" s="4" t="s">
        <v>233</v>
      </c>
      <c r="BD969" s="8" t="s">
        <v>233</v>
      </c>
      <c r="BE969" s="4" t="s">
        <v>233</v>
      </c>
      <c r="BF969" s="8" t="s">
        <v>233</v>
      </c>
      <c r="BG969" s="7" t="s">
        <v>233</v>
      </c>
      <c r="BH969" s="7" t="s">
        <v>233</v>
      </c>
      <c r="BI969" s="7"/>
      <c r="BJ969" s="4">
        <v>50</v>
      </c>
      <c r="BK969" s="8">
        <v>2753.59</v>
      </c>
      <c r="BL969" s="2" t="s">
        <v>475</v>
      </c>
      <c r="BM969" s="7"/>
      <c r="BN969" s="7"/>
      <c r="BO969" s="4"/>
      <c r="BP969" s="8"/>
      <c r="BQ969" s="4"/>
      <c r="BR969" s="8"/>
      <c r="BS969" s="7"/>
      <c r="BT969" s="7"/>
      <c r="BU969" s="2" t="s">
        <v>4942</v>
      </c>
      <c r="BV969" s="2" t="s">
        <v>233</v>
      </c>
      <c r="BW969" s="2" t="s">
        <v>233</v>
      </c>
      <c r="BX969" s="2" t="s">
        <v>293</v>
      </c>
      <c r="BY969" s="2" t="s">
        <v>242</v>
      </c>
      <c r="BZ969" s="2" t="s">
        <v>230</v>
      </c>
      <c r="CA969" s="2" t="s">
        <v>750</v>
      </c>
      <c r="CB969" s="2" t="s">
        <v>4945</v>
      </c>
      <c r="CC969" s="2" t="s">
        <v>245</v>
      </c>
      <c r="CD969" s="2" t="s">
        <v>233</v>
      </c>
      <c r="CE969" s="4">
        <v>100</v>
      </c>
      <c r="CF969" s="4">
        <v>143</v>
      </c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>
        <v>248</v>
      </c>
      <c r="GD969" s="4">
        <v>231</v>
      </c>
      <c r="GE969" s="4">
        <v>210</v>
      </c>
      <c r="GF969" s="4">
        <v>190</v>
      </c>
      <c r="GG969" s="4">
        <v>147</v>
      </c>
      <c r="GH969" s="4">
        <v>122</v>
      </c>
      <c r="GI969" s="4">
        <v>91</v>
      </c>
      <c r="GJ969" s="4">
        <v>75</v>
      </c>
      <c r="GK969" s="4">
        <v>69</v>
      </c>
      <c r="GL969" s="4">
        <v>62</v>
      </c>
      <c r="GM969" s="4">
        <v>55</v>
      </c>
      <c r="GN969" s="4">
        <v>47</v>
      </c>
      <c r="GO969" s="4">
        <v>41</v>
      </c>
      <c r="GP969" s="4">
        <v>35</v>
      </c>
      <c r="GQ969" s="4">
        <v>28</v>
      </c>
      <c r="GR969" s="4">
        <v>23</v>
      </c>
      <c r="GS969" s="4">
        <v>18</v>
      </c>
      <c r="GT969" s="4">
        <v>14</v>
      </c>
      <c r="GU969" s="4">
        <v>10</v>
      </c>
      <c r="GV969" s="4">
        <v>121</v>
      </c>
      <c r="GW969" s="4">
        <v>118</v>
      </c>
      <c r="GX969" s="4">
        <v>115</v>
      </c>
      <c r="GY969" s="4">
        <v>113</v>
      </c>
      <c r="GZ969" s="4">
        <v>111</v>
      </c>
      <c r="HA969" s="4">
        <v>109</v>
      </c>
      <c r="HB969" s="4">
        <v>108</v>
      </c>
      <c r="HC969" s="19">
        <v>9.9</v>
      </c>
      <c r="HD969" s="19">
        <v>8.6</v>
      </c>
      <c r="HE969" s="19">
        <v>7</v>
      </c>
      <c r="HF969" s="19">
        <v>6.6</v>
      </c>
      <c r="HG969" s="19">
        <v>7.4</v>
      </c>
      <c r="HH969" s="19">
        <v>8.1</v>
      </c>
      <c r="HI969" s="19">
        <v>10.1</v>
      </c>
      <c r="HJ969" s="19">
        <v>10.7</v>
      </c>
      <c r="HK969" s="19">
        <v>9.9</v>
      </c>
      <c r="HL969" s="19">
        <v>8.9</v>
      </c>
      <c r="HM969" s="19">
        <v>7.9</v>
      </c>
      <c r="HN969" s="19">
        <v>7.8</v>
      </c>
      <c r="HO969" s="19">
        <v>6.8</v>
      </c>
      <c r="HP969" s="19">
        <v>7</v>
      </c>
      <c r="HQ969" s="19">
        <v>7</v>
      </c>
      <c r="HR969" s="19">
        <v>5.8</v>
      </c>
      <c r="HS969" s="19">
        <v>4.5</v>
      </c>
      <c r="HT969" s="19">
        <v>4.7</v>
      </c>
      <c r="HU969" s="19">
        <v>3.3</v>
      </c>
      <c r="HV969" s="19">
        <v>60.5</v>
      </c>
      <c r="HW969" s="19">
        <v>59</v>
      </c>
      <c r="HX969" s="19">
        <v>57.5</v>
      </c>
      <c r="HY969" s="19">
        <v>56.5</v>
      </c>
      <c r="HZ969" s="19">
        <v>55.5</v>
      </c>
      <c r="IA969" s="19">
        <v>36.3</v>
      </c>
      <c r="IB969" s="19">
        <v>36</v>
      </c>
    </row>
    <row r="970">
      <c r="A970" s="2" t="s">
        <v>4946</v>
      </c>
      <c r="B970" s="2" t="s">
        <v>773</v>
      </c>
      <c r="C970" s="2" t="s">
        <v>2240</v>
      </c>
      <c r="D970" s="2" t="s">
        <v>985</v>
      </c>
      <c r="E970" s="2" t="s">
        <v>2241</v>
      </c>
      <c r="F970" s="2" t="s">
        <v>4940</v>
      </c>
      <c r="G970" s="2" t="s">
        <v>4940</v>
      </c>
      <c r="H970" s="2" t="s">
        <v>4940</v>
      </c>
      <c r="I970" s="2" t="s">
        <v>1574</v>
      </c>
      <c r="J970" s="2" t="s">
        <v>336</v>
      </c>
      <c r="K970" s="2" t="s">
        <v>642</v>
      </c>
      <c r="L970" s="3">
        <v>72.34</v>
      </c>
      <c r="M970" s="3">
        <v>75.96</v>
      </c>
      <c r="N970" s="3">
        <v>149.99</v>
      </c>
      <c r="O970" s="2" t="s">
        <v>230</v>
      </c>
      <c r="P970" s="2" t="s">
        <v>231</v>
      </c>
      <c r="Q970" s="2" t="s">
        <v>232</v>
      </c>
      <c r="R970" s="2" t="s">
        <v>233</v>
      </c>
      <c r="S970" s="2" t="s">
        <v>233</v>
      </c>
      <c r="T970" s="2" t="s">
        <v>1859</v>
      </c>
      <c r="U970" s="2" t="s">
        <v>329</v>
      </c>
      <c r="V970" s="2" t="s">
        <v>236</v>
      </c>
      <c r="W970" s="2" t="s">
        <v>237</v>
      </c>
      <c r="X970" s="2" t="s">
        <v>233</v>
      </c>
      <c r="Y970" s="2" t="s">
        <v>4941</v>
      </c>
      <c r="Z970" s="4">
        <v>212</v>
      </c>
      <c r="AA970" s="4">
        <f>=ROUNDDOWN(16.8253968253968,0)</f>
      </c>
      <c r="AB970" s="5">
        <v>12.6</v>
      </c>
      <c r="AC970" s="2" t="s">
        <v>140</v>
      </c>
      <c r="AD970" s="4">
        <v>99</v>
      </c>
      <c r="AE970" s="4">
        <v>99</v>
      </c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233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233</v>
      </c>
      <c r="AW970" s="8" t="s">
        <v>233</v>
      </c>
      <c r="AX970" s="4" t="s">
        <v>233</v>
      </c>
      <c r="AY970" s="8" t="s">
        <v>233</v>
      </c>
      <c r="AZ970" s="7" t="s">
        <v>233</v>
      </c>
      <c r="BA970" s="7" t="s">
        <v>233</v>
      </c>
      <c r="BB970" s="7"/>
      <c r="BC970" s="4" t="s">
        <v>233</v>
      </c>
      <c r="BD970" s="8" t="s">
        <v>233</v>
      </c>
      <c r="BE970" s="4" t="s">
        <v>233</v>
      </c>
      <c r="BF970" s="8" t="s">
        <v>233</v>
      </c>
      <c r="BG970" s="7" t="s">
        <v>233</v>
      </c>
      <c r="BH970" s="7" t="s">
        <v>233</v>
      </c>
      <c r="BI970" s="7"/>
      <c r="BJ970" s="4">
        <v>78</v>
      </c>
      <c r="BK970" s="8">
        <v>6093.55</v>
      </c>
      <c r="BL970" s="2" t="s">
        <v>3786</v>
      </c>
      <c r="BM970" s="7"/>
      <c r="BN970" s="7"/>
      <c r="BO970" s="4"/>
      <c r="BP970" s="8"/>
      <c r="BQ970" s="4"/>
      <c r="BR970" s="8"/>
      <c r="BS970" s="7"/>
      <c r="BT970" s="7"/>
      <c r="BU970" s="2" t="s">
        <v>4942</v>
      </c>
      <c r="BV970" s="2" t="s">
        <v>233</v>
      </c>
      <c r="BW970" s="2" t="s">
        <v>233</v>
      </c>
      <c r="BX970" s="2" t="s">
        <v>293</v>
      </c>
      <c r="BY970" s="2" t="s">
        <v>242</v>
      </c>
      <c r="BZ970" s="2" t="s">
        <v>230</v>
      </c>
      <c r="CA970" s="2" t="s">
        <v>750</v>
      </c>
      <c r="CB970" s="2" t="s">
        <v>920</v>
      </c>
      <c r="CC970" s="2" t="s">
        <v>245</v>
      </c>
      <c r="CD970" s="2" t="s">
        <v>233</v>
      </c>
      <c r="CE970" s="4">
        <v>212</v>
      </c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>
        <v>99</v>
      </c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>
        <v>219</v>
      </c>
      <c r="GD970" s="4">
        <v>203</v>
      </c>
      <c r="GE970" s="4">
        <v>280</v>
      </c>
      <c r="GF970" s="4">
        <v>260</v>
      </c>
      <c r="GG970" s="4">
        <v>211</v>
      </c>
      <c r="GH970" s="4">
        <v>182</v>
      </c>
      <c r="GI970" s="4">
        <v>146</v>
      </c>
      <c r="GJ970" s="4">
        <v>128</v>
      </c>
      <c r="GK970" s="4">
        <v>122</v>
      </c>
      <c r="GL970" s="4">
        <v>114</v>
      </c>
      <c r="GM970" s="4">
        <v>104</v>
      </c>
      <c r="GN970" s="4">
        <v>93</v>
      </c>
      <c r="GO970" s="4">
        <v>85</v>
      </c>
      <c r="GP970" s="4">
        <v>77</v>
      </c>
      <c r="GQ970" s="4">
        <v>69</v>
      </c>
      <c r="GR970" s="4">
        <v>61</v>
      </c>
      <c r="GS970" s="4">
        <v>54</v>
      </c>
      <c r="GT970" s="4">
        <v>47</v>
      </c>
      <c r="GU970" s="4">
        <v>43</v>
      </c>
      <c r="GV970" s="4">
        <v>154</v>
      </c>
      <c r="GW970" s="4">
        <v>146</v>
      </c>
      <c r="GX970" s="4">
        <v>142</v>
      </c>
      <c r="GY970" s="4">
        <v>137</v>
      </c>
      <c r="GZ970" s="4">
        <v>133</v>
      </c>
      <c r="HA970" s="4">
        <v>132</v>
      </c>
      <c r="HB970" s="4">
        <v>131</v>
      </c>
      <c r="HC970" s="19">
        <v>8.1</v>
      </c>
      <c r="HD970" s="19">
        <v>6.8</v>
      </c>
      <c r="HE970" s="19">
        <v>8.2</v>
      </c>
      <c r="HF970" s="19">
        <v>7.9</v>
      </c>
      <c r="HG970" s="19">
        <v>9.6</v>
      </c>
      <c r="HH970" s="19">
        <v>10.7</v>
      </c>
      <c r="HI970" s="19">
        <v>14.6</v>
      </c>
      <c r="HJ970" s="19">
        <v>14.2</v>
      </c>
      <c r="HK970" s="19">
        <v>13.6</v>
      </c>
      <c r="HL970" s="19">
        <v>12.7</v>
      </c>
      <c r="HM970" s="19">
        <v>11.6</v>
      </c>
      <c r="HN970" s="19">
        <v>11.6</v>
      </c>
      <c r="HO970" s="19">
        <v>10.6</v>
      </c>
      <c r="HP970" s="19">
        <v>9.6</v>
      </c>
      <c r="HQ970" s="19">
        <v>11.5</v>
      </c>
      <c r="HR970" s="19">
        <v>10.2</v>
      </c>
      <c r="HS970" s="19">
        <v>9</v>
      </c>
      <c r="HT970" s="19">
        <v>9.4</v>
      </c>
      <c r="HU970" s="19">
        <v>7.2</v>
      </c>
      <c r="HV970" s="19">
        <v>30.8</v>
      </c>
      <c r="HW970" s="19">
        <v>36.5</v>
      </c>
      <c r="HX970" s="19">
        <v>47.3</v>
      </c>
      <c r="HY970" s="19">
        <v>68.5</v>
      </c>
      <c r="HZ970" s="19">
        <v>66.5</v>
      </c>
      <c r="IA970" s="19">
        <v>66</v>
      </c>
      <c r="IB970" s="19">
        <v>43.7</v>
      </c>
    </row>
    <row r="971">
      <c r="A971" s="2" t="s">
        <v>4947</v>
      </c>
      <c r="B971" s="2" t="s">
        <v>773</v>
      </c>
      <c r="C971" s="2" t="s">
        <v>2240</v>
      </c>
      <c r="D971" s="2" t="s">
        <v>985</v>
      </c>
      <c r="E971" s="2" t="s">
        <v>986</v>
      </c>
      <c r="F971" s="2" t="s">
        <v>4940</v>
      </c>
      <c r="G971" s="2" t="s">
        <v>4940</v>
      </c>
      <c r="H971" s="2" t="s">
        <v>4940</v>
      </c>
      <c r="I971" s="2" t="s">
        <v>1443</v>
      </c>
      <c r="J971" s="2" t="s">
        <v>1446</v>
      </c>
      <c r="K971" s="2" t="s">
        <v>651</v>
      </c>
      <c r="L971" s="3">
        <v>33.38</v>
      </c>
      <c r="M971" s="3">
        <v>35.05</v>
      </c>
      <c r="N971" s="3">
        <v>71.99</v>
      </c>
      <c r="O971" s="2" t="s">
        <v>230</v>
      </c>
      <c r="P971" s="2" t="s">
        <v>231</v>
      </c>
      <c r="Q971" s="2" t="s">
        <v>232</v>
      </c>
      <c r="R971" s="2" t="s">
        <v>233</v>
      </c>
      <c r="S971" s="2" t="s">
        <v>233</v>
      </c>
      <c r="T971" s="2" t="s">
        <v>1859</v>
      </c>
      <c r="U971" s="2" t="s">
        <v>329</v>
      </c>
      <c r="V971" s="2" t="s">
        <v>236</v>
      </c>
      <c r="W971" s="2" t="s">
        <v>237</v>
      </c>
      <c r="X971" s="2" t="s">
        <v>233</v>
      </c>
      <c r="Y971" s="2" t="s">
        <v>2958</v>
      </c>
      <c r="Z971" s="4">
        <v>715</v>
      </c>
      <c r="AA971" s="4">
        <f>=ROUNDDOWN(55,0)</f>
      </c>
      <c r="AB971" s="5">
        <v>13</v>
      </c>
      <c r="AC971" s="2" t="s">
        <v>233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233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/>
      <c r="AW971" s="8"/>
      <c r="AX971" s="4"/>
      <c r="AY971" s="8"/>
      <c r="AZ971" s="7"/>
      <c r="BA971" s="7"/>
      <c r="BB971" s="7"/>
      <c r="BC971" s="4" t="s">
        <v>233</v>
      </c>
      <c r="BD971" s="8" t="s">
        <v>233</v>
      </c>
      <c r="BE971" s="4" t="s">
        <v>233</v>
      </c>
      <c r="BF971" s="8" t="s">
        <v>233</v>
      </c>
      <c r="BG971" s="7" t="s">
        <v>233</v>
      </c>
      <c r="BH971" s="7" t="s">
        <v>233</v>
      </c>
      <c r="BI971" s="7"/>
      <c r="BJ971" s="4">
        <v>18</v>
      </c>
      <c r="BK971" s="8">
        <v>653.4</v>
      </c>
      <c r="BL971" s="2" t="s">
        <v>4948</v>
      </c>
      <c r="BM971" s="7"/>
      <c r="BN971" s="7"/>
      <c r="BO971" s="4"/>
      <c r="BP971" s="8"/>
      <c r="BQ971" s="4"/>
      <c r="BR971" s="8"/>
      <c r="BS971" s="7"/>
      <c r="BT971" s="7"/>
      <c r="BU971" s="2" t="s">
        <v>4949</v>
      </c>
      <c r="BV971" s="2" t="s">
        <v>233</v>
      </c>
      <c r="BW971" s="2" t="s">
        <v>233</v>
      </c>
      <c r="BX971" s="2" t="s">
        <v>293</v>
      </c>
      <c r="BY971" s="2" t="s">
        <v>242</v>
      </c>
      <c r="BZ971" s="2" t="s">
        <v>230</v>
      </c>
      <c r="CA971" s="2" t="s">
        <v>2960</v>
      </c>
      <c r="CB971" s="2" t="s">
        <v>3568</v>
      </c>
      <c r="CC971" s="2" t="s">
        <v>245</v>
      </c>
      <c r="CD971" s="2" t="s">
        <v>233</v>
      </c>
      <c r="CE971" s="4">
        <v>715</v>
      </c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>
        <v>716</v>
      </c>
      <c r="GD971" s="4">
        <v>701</v>
      </c>
      <c r="GE971" s="4">
        <v>680</v>
      </c>
      <c r="GF971" s="4">
        <v>655</v>
      </c>
      <c r="GG971" s="4">
        <v>589</v>
      </c>
      <c r="GH971" s="4">
        <v>527</v>
      </c>
      <c r="GI971" s="4">
        <v>450</v>
      </c>
      <c r="GJ971" s="4">
        <v>415</v>
      </c>
      <c r="GK971" s="4">
        <v>406</v>
      </c>
      <c r="GL971" s="4">
        <v>388</v>
      </c>
      <c r="GM971" s="4">
        <v>379</v>
      </c>
      <c r="GN971" s="4">
        <v>357</v>
      </c>
      <c r="GO971" s="4">
        <v>343</v>
      </c>
      <c r="GP971" s="4">
        <v>329</v>
      </c>
      <c r="GQ971" s="4">
        <v>317</v>
      </c>
      <c r="GR971" s="4">
        <v>308</v>
      </c>
      <c r="GS971" s="4">
        <v>298</v>
      </c>
      <c r="GT971" s="4">
        <v>284</v>
      </c>
      <c r="GU971" s="4">
        <v>276</v>
      </c>
      <c r="GV971" s="4">
        <v>269</v>
      </c>
      <c r="GW971" s="4">
        <v>261</v>
      </c>
      <c r="GX971" s="4">
        <v>256</v>
      </c>
      <c r="GY971" s="4">
        <v>249</v>
      </c>
      <c r="GZ971" s="4">
        <v>244</v>
      </c>
      <c r="HA971" s="4">
        <v>240</v>
      </c>
      <c r="HB971" s="4">
        <v>236</v>
      </c>
      <c r="HC971" s="19">
        <v>22.4</v>
      </c>
      <c r="HD971" s="19">
        <v>15.9</v>
      </c>
      <c r="HE971" s="19">
        <v>11.7</v>
      </c>
      <c r="HF971" s="19">
        <v>10.9</v>
      </c>
      <c r="HG971" s="19">
        <v>12.8</v>
      </c>
      <c r="HH971" s="19">
        <v>15.1</v>
      </c>
      <c r="HI971" s="19">
        <v>25</v>
      </c>
      <c r="HJ971" s="19">
        <v>29.6</v>
      </c>
      <c r="HK971" s="19">
        <v>25.4</v>
      </c>
      <c r="HL971" s="19">
        <v>25.9</v>
      </c>
      <c r="HM971" s="19">
        <v>23.7</v>
      </c>
      <c r="HN971" s="19">
        <v>29.8</v>
      </c>
      <c r="HO971" s="19">
        <v>31.2</v>
      </c>
      <c r="HP971" s="19">
        <v>29.9</v>
      </c>
      <c r="HQ971" s="19">
        <v>31.7</v>
      </c>
      <c r="HR971" s="19">
        <v>30.8</v>
      </c>
      <c r="HS971" s="19">
        <v>33.1</v>
      </c>
      <c r="HT971" s="19">
        <v>40.6</v>
      </c>
      <c r="HU971" s="19">
        <v>39.4</v>
      </c>
      <c r="HV971" s="19">
        <v>44.8</v>
      </c>
      <c r="HW971" s="19">
        <v>52.2</v>
      </c>
      <c r="HX971" s="19">
        <v>51.2</v>
      </c>
      <c r="HY971" s="19">
        <v>62.3</v>
      </c>
      <c r="HZ971" s="19">
        <v>61</v>
      </c>
      <c r="IA971" s="19">
        <v>60</v>
      </c>
      <c r="IB971" s="19">
        <v>59</v>
      </c>
    </row>
    <row r="972">
      <c r="A972" s="2" t="s">
        <v>4950</v>
      </c>
      <c r="B972" s="2" t="s">
        <v>872</v>
      </c>
      <c r="C972" s="2" t="s">
        <v>762</v>
      </c>
      <c r="D972" s="2" t="s">
        <v>884</v>
      </c>
      <c r="E972" s="2" t="s">
        <v>885</v>
      </c>
      <c r="F972" s="2" t="s">
        <v>4951</v>
      </c>
      <c r="G972" s="2" t="s">
        <v>4951</v>
      </c>
      <c r="H972" s="2" t="s">
        <v>4951</v>
      </c>
      <c r="I972" s="2" t="s">
        <v>4952</v>
      </c>
      <c r="J972" s="2" t="s">
        <v>265</v>
      </c>
      <c r="K972" s="2" t="s">
        <v>1511</v>
      </c>
      <c r="L972" s="3">
        <v>63.7</v>
      </c>
      <c r="M972" s="3">
        <v>66.89</v>
      </c>
      <c r="N972" s="3">
        <v>129.99</v>
      </c>
      <c r="O972" s="2" t="s">
        <v>230</v>
      </c>
      <c r="P972" s="2" t="s">
        <v>231</v>
      </c>
      <c r="Q972" s="2" t="s">
        <v>232</v>
      </c>
      <c r="R972" s="2" t="s">
        <v>233</v>
      </c>
      <c r="S972" s="2" t="s">
        <v>4953</v>
      </c>
      <c r="T972" s="2" t="s">
        <v>348</v>
      </c>
      <c r="U972" s="2" t="s">
        <v>781</v>
      </c>
      <c r="V972" s="2" t="s">
        <v>4522</v>
      </c>
      <c r="W972" s="2" t="s">
        <v>620</v>
      </c>
      <c r="X972" s="2" t="s">
        <v>233</v>
      </c>
      <c r="Y972" s="2" t="s">
        <v>4954</v>
      </c>
      <c r="Z972" s="4">
        <v>181</v>
      </c>
      <c r="AA972" s="4">
        <f>=ROUNDDOWN(45.25,0)</f>
      </c>
      <c r="AB972" s="5">
        <v>4</v>
      </c>
      <c r="AC972" s="2" t="s">
        <v>233</v>
      </c>
      <c r="AD972" s="4"/>
      <c r="AE972" s="4"/>
      <c r="AF972" s="6">
        <v>64</v>
      </c>
      <c r="AG972" s="6"/>
      <c r="AH972" s="7">
        <v>1</v>
      </c>
      <c r="AI972" s="4"/>
      <c r="AJ972" s="4">
        <f>=ROUNDDOWN({0},0)</f>
      </c>
      <c r="AK972" s="5"/>
      <c r="AL972" s="2" t="s">
        <v>233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/>
      <c r="AW972" s="8"/>
      <c r="AX972" s="4"/>
      <c r="AY972" s="8"/>
      <c r="AZ972" s="7"/>
      <c r="BA972" s="7"/>
      <c r="BB972" s="7"/>
      <c r="BC972" s="4"/>
      <c r="BD972" s="8"/>
      <c r="BE972" s="4"/>
      <c r="BF972" s="8"/>
      <c r="BG972" s="7"/>
      <c r="BH972" s="7"/>
      <c r="BI972" s="7"/>
      <c r="BJ972" s="4">
        <v>14</v>
      </c>
      <c r="BK972" s="8">
        <v>951.57</v>
      </c>
      <c r="BL972" s="2" t="s">
        <v>4217</v>
      </c>
      <c r="BM972" s="7"/>
      <c r="BN972" s="7"/>
      <c r="BO972" s="4"/>
      <c r="BP972" s="8"/>
      <c r="BQ972" s="4"/>
      <c r="BR972" s="8"/>
      <c r="BS972" s="7"/>
      <c r="BT972" s="7"/>
      <c r="BU972" s="2" t="s">
        <v>4955</v>
      </c>
      <c r="BV972" s="2" t="s">
        <v>233</v>
      </c>
      <c r="BW972" s="2" t="s">
        <v>233</v>
      </c>
      <c r="BX972" s="2" t="s">
        <v>241</v>
      </c>
      <c r="BY972" s="2" t="s">
        <v>242</v>
      </c>
      <c r="BZ972" s="2" t="s">
        <v>230</v>
      </c>
      <c r="CA972" s="2" t="s">
        <v>920</v>
      </c>
      <c r="CB972" s="2" t="s">
        <v>4956</v>
      </c>
      <c r="CC972" s="2" t="s">
        <v>245</v>
      </c>
      <c r="CD972" s="2" t="s">
        <v>233</v>
      </c>
      <c r="CE972" s="4">
        <v>181</v>
      </c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>
        <v>187</v>
      </c>
      <c r="GD972" s="4">
        <v>178</v>
      </c>
      <c r="GE972" s="4">
        <v>174</v>
      </c>
      <c r="GF972" s="4">
        <v>169</v>
      </c>
      <c r="GG972" s="4">
        <v>160</v>
      </c>
      <c r="GH972" s="4">
        <v>155</v>
      </c>
      <c r="GI972" s="4">
        <v>150</v>
      </c>
      <c r="GJ972" s="4">
        <v>142</v>
      </c>
      <c r="GK972" s="4">
        <v>140</v>
      </c>
      <c r="GL972" s="4">
        <v>137</v>
      </c>
      <c r="GM972" s="4">
        <v>134</v>
      </c>
      <c r="GN972" s="4">
        <v>131</v>
      </c>
      <c r="GO972" s="4">
        <v>128</v>
      </c>
      <c r="GP972" s="4">
        <v>124</v>
      </c>
      <c r="GQ972" s="4">
        <v>120</v>
      </c>
      <c r="GR972" s="4">
        <v>116</v>
      </c>
      <c r="GS972" s="4">
        <v>112</v>
      </c>
      <c r="GT972" s="4">
        <v>108</v>
      </c>
      <c r="GU972" s="4">
        <v>104</v>
      </c>
      <c r="GV972" s="4">
        <v>100</v>
      </c>
      <c r="GW972" s="4">
        <v>96</v>
      </c>
      <c r="GX972" s="4">
        <v>92</v>
      </c>
      <c r="GY972" s="4">
        <v>88</v>
      </c>
      <c r="GZ972" s="4">
        <v>84</v>
      </c>
      <c r="HA972" s="4">
        <v>80</v>
      </c>
      <c r="HB972" s="4">
        <v>76</v>
      </c>
      <c r="HC972" s="19">
        <v>26.7</v>
      </c>
      <c r="HD972" s="19">
        <v>29.7</v>
      </c>
      <c r="HE972" s="19">
        <v>29</v>
      </c>
      <c r="HF972" s="19">
        <v>24.1</v>
      </c>
      <c r="HG972" s="19">
        <v>32</v>
      </c>
      <c r="HH972" s="19">
        <v>38.8</v>
      </c>
      <c r="HI972" s="19">
        <v>37.5</v>
      </c>
      <c r="HJ972" s="19">
        <v>47.3</v>
      </c>
      <c r="HK972" s="19">
        <v>46.7</v>
      </c>
      <c r="HL972" s="19">
        <v>45.7</v>
      </c>
      <c r="HM972" s="19">
        <v>33.5</v>
      </c>
      <c r="HN972" s="19">
        <v>32.8</v>
      </c>
      <c r="HO972" s="19">
        <v>32</v>
      </c>
      <c r="HP972" s="19">
        <v>31</v>
      </c>
      <c r="HQ972" s="19">
        <v>30</v>
      </c>
      <c r="HR972" s="19">
        <v>29</v>
      </c>
      <c r="HS972" s="19">
        <v>28</v>
      </c>
      <c r="HT972" s="19">
        <v>27</v>
      </c>
      <c r="HU972" s="19">
        <v>26</v>
      </c>
      <c r="HV972" s="19">
        <v>25</v>
      </c>
      <c r="HW972" s="19">
        <v>24</v>
      </c>
      <c r="HX972" s="19">
        <v>23</v>
      </c>
      <c r="HY972" s="19">
        <v>22</v>
      </c>
      <c r="HZ972" s="19">
        <v>21</v>
      </c>
      <c r="IA972" s="19">
        <v>20</v>
      </c>
      <c r="IB972" s="19">
        <v>19</v>
      </c>
    </row>
    <row r="973">
      <c r="A973" s="2" t="s">
        <v>4957</v>
      </c>
      <c r="B973" s="2" t="s">
        <v>872</v>
      </c>
      <c r="C973" s="2" t="s">
        <v>1398</v>
      </c>
      <c r="D973" s="2" t="s">
        <v>774</v>
      </c>
      <c r="E973" s="2" t="s">
        <v>775</v>
      </c>
      <c r="F973" s="2" t="s">
        <v>4958</v>
      </c>
      <c r="G973" s="2" t="s">
        <v>4959</v>
      </c>
      <c r="H973" s="2" t="s">
        <v>4960</v>
      </c>
      <c r="I973" s="2" t="s">
        <v>4961</v>
      </c>
      <c r="J973" s="2" t="s">
        <v>1052</v>
      </c>
      <c r="K973" s="2" t="s">
        <v>484</v>
      </c>
      <c r="L973" s="3">
        <v>15.47</v>
      </c>
      <c r="M973" s="3">
        <v>16.24</v>
      </c>
      <c r="N973" s="3">
        <v>32.49</v>
      </c>
      <c r="O973" s="2" t="s">
        <v>230</v>
      </c>
      <c r="P973" s="2" t="s">
        <v>1903</v>
      </c>
      <c r="Q973" s="2" t="s">
        <v>232</v>
      </c>
      <c r="R973" s="2" t="s">
        <v>233</v>
      </c>
      <c r="S973" s="2" t="s">
        <v>4962</v>
      </c>
      <c r="T973" s="2" t="s">
        <v>469</v>
      </c>
      <c r="U973" s="2" t="s">
        <v>711</v>
      </c>
      <c r="V973" s="2" t="s">
        <v>236</v>
      </c>
      <c r="W973" s="2" t="s">
        <v>620</v>
      </c>
      <c r="X973" s="2" t="s">
        <v>233</v>
      </c>
      <c r="Y973" s="2" t="s">
        <v>1551</v>
      </c>
      <c r="Z973" s="4">
        <v>194</v>
      </c>
      <c r="AA973" s="4">
        <f>=ROUNDDOWN(24.25,0)</f>
      </c>
      <c r="AB973" s="5">
        <v>8</v>
      </c>
      <c r="AC973" s="2" t="s">
        <v>233</v>
      </c>
      <c r="AD973" s="4"/>
      <c r="AE973" s="4"/>
      <c r="AF973" s="6">
        <v>63</v>
      </c>
      <c r="AG973" s="6">
        <v>46</v>
      </c>
      <c r="AH973" s="7">
        <v>1</v>
      </c>
      <c r="AI973" s="4"/>
      <c r="AJ973" s="4">
        <f>=ROUNDDOWN({0},0)</f>
      </c>
      <c r="AK973" s="5"/>
      <c r="AL973" s="2" t="s">
        <v>233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/>
      <c r="AW973" s="8"/>
      <c r="AX973" s="4"/>
      <c r="AY973" s="8"/>
      <c r="AZ973" s="7"/>
      <c r="BA973" s="7"/>
      <c r="BB973" s="7"/>
      <c r="BC973" s="4" t="s">
        <v>233</v>
      </c>
      <c r="BD973" s="8" t="s">
        <v>233</v>
      </c>
      <c r="BE973" s="4" t="s">
        <v>233</v>
      </c>
      <c r="BF973" s="8" t="s">
        <v>233</v>
      </c>
      <c r="BG973" s="7" t="s">
        <v>233</v>
      </c>
      <c r="BH973" s="7" t="s">
        <v>233</v>
      </c>
      <c r="BI973" s="7"/>
      <c r="BJ973" s="4">
        <v>28</v>
      </c>
      <c r="BK973" s="8">
        <v>480.69</v>
      </c>
      <c r="BL973" s="2" t="s">
        <v>1704</v>
      </c>
      <c r="BM973" s="7"/>
      <c r="BN973" s="7"/>
      <c r="BO973" s="4"/>
      <c r="BP973" s="8"/>
      <c r="BQ973" s="4"/>
      <c r="BR973" s="8"/>
      <c r="BS973" s="7"/>
      <c r="BT973" s="7"/>
      <c r="BU973" s="2" t="s">
        <v>4963</v>
      </c>
      <c r="BV973" s="2" t="s">
        <v>233</v>
      </c>
      <c r="BW973" s="2" t="s">
        <v>233</v>
      </c>
      <c r="BX973" s="2" t="s">
        <v>1407</v>
      </c>
      <c r="BY973" s="2" t="s">
        <v>242</v>
      </c>
      <c r="BZ973" s="2" t="s">
        <v>230</v>
      </c>
      <c r="CA973" s="2" t="s">
        <v>1551</v>
      </c>
      <c r="CB973" s="2" t="s">
        <v>3949</v>
      </c>
      <c r="CC973" s="2" t="s">
        <v>245</v>
      </c>
      <c r="CD973" s="2" t="s">
        <v>233</v>
      </c>
      <c r="CE973" s="4">
        <v>57</v>
      </c>
      <c r="CF973" s="4"/>
      <c r="CG973" s="4"/>
      <c r="CH973" s="4">
        <v>37</v>
      </c>
      <c r="CI973" s="4"/>
      <c r="CJ973" s="4"/>
      <c r="CK973" s="4">
        <v>100</v>
      </c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>
        <v>194</v>
      </c>
      <c r="GD973" s="4">
        <v>190</v>
      </c>
      <c r="GE973" s="4">
        <v>162</v>
      </c>
      <c r="GF973" s="4">
        <v>152</v>
      </c>
      <c r="GG973" s="4">
        <v>138</v>
      </c>
      <c r="GH973" s="4">
        <v>126</v>
      </c>
      <c r="GI973" s="4">
        <v>118</v>
      </c>
      <c r="GJ973" s="4">
        <v>84</v>
      </c>
      <c r="GK973" s="4">
        <v>82</v>
      </c>
      <c r="GL973" s="4">
        <v>80</v>
      </c>
      <c r="GM973" s="4">
        <v>78</v>
      </c>
      <c r="GN973" s="4">
        <v>76</v>
      </c>
      <c r="GO973" s="4">
        <v>71</v>
      </c>
      <c r="GP973" s="4">
        <v>63</v>
      </c>
      <c r="GQ973" s="4">
        <v>103</v>
      </c>
      <c r="GR973" s="4">
        <v>95</v>
      </c>
      <c r="GS973" s="4">
        <v>87</v>
      </c>
      <c r="GT973" s="4">
        <v>100</v>
      </c>
      <c r="GU973" s="4">
        <v>92</v>
      </c>
      <c r="GV973" s="4">
        <v>117</v>
      </c>
      <c r="GW973" s="4">
        <v>109</v>
      </c>
      <c r="GX973" s="4">
        <v>101</v>
      </c>
      <c r="GY973" s="4">
        <v>93</v>
      </c>
      <c r="GZ973" s="4">
        <v>85</v>
      </c>
      <c r="HA973" s="4">
        <v>76</v>
      </c>
      <c r="HB973" s="4">
        <v>68</v>
      </c>
      <c r="HC973" s="19">
        <v>15.4</v>
      </c>
      <c r="HD973" s="19">
        <v>13</v>
      </c>
      <c r="HE973" s="19">
        <v>13.8</v>
      </c>
      <c r="HF973" s="19">
        <v>6.6</v>
      </c>
      <c r="HG973" s="19">
        <v>6.4</v>
      </c>
      <c r="HH973" s="19">
        <v>5.3</v>
      </c>
      <c r="HI973" s="19">
        <v>5.9</v>
      </c>
      <c r="HJ973" s="19">
        <v>21</v>
      </c>
      <c r="HK973" s="19">
        <v>13.7</v>
      </c>
      <c r="HL973" s="19">
        <v>10</v>
      </c>
      <c r="HM973" s="19">
        <v>6.5</v>
      </c>
      <c r="HN973" s="19">
        <v>6.4</v>
      </c>
      <c r="HO973" s="19">
        <v>5.9</v>
      </c>
      <c r="HP973" s="19">
        <v>6.3</v>
      </c>
      <c r="HQ973" s="19">
        <v>12.9</v>
      </c>
      <c r="HR973" s="19">
        <v>11.9</v>
      </c>
      <c r="HS973" s="19">
        <v>10.9</v>
      </c>
      <c r="HT973" s="19">
        <v>12.5</v>
      </c>
      <c r="HU973" s="19">
        <v>11.5</v>
      </c>
      <c r="HV973" s="19">
        <v>14.7</v>
      </c>
      <c r="HW973" s="19">
        <v>13.7</v>
      </c>
      <c r="HX973" s="19">
        <v>12.7</v>
      </c>
      <c r="HY973" s="19">
        <v>11.7</v>
      </c>
      <c r="HZ973" s="19">
        <v>10.7</v>
      </c>
      <c r="IA973" s="19">
        <v>9.5</v>
      </c>
      <c r="IB973" s="19">
        <v>8.5</v>
      </c>
    </row>
    <row r="974">
      <c r="A974" s="2" t="s">
        <v>4964</v>
      </c>
      <c r="B974" s="2" t="s">
        <v>872</v>
      </c>
      <c r="C974" s="2" t="s">
        <v>1398</v>
      </c>
      <c r="D974" s="2" t="s">
        <v>774</v>
      </c>
      <c r="E974" s="2" t="s">
        <v>775</v>
      </c>
      <c r="F974" s="2" t="s">
        <v>4958</v>
      </c>
      <c r="G974" s="2" t="s">
        <v>4959</v>
      </c>
      <c r="H974" s="2" t="s">
        <v>4960</v>
      </c>
      <c r="I974" s="2" t="s">
        <v>4961</v>
      </c>
      <c r="J974" s="2" t="s">
        <v>1052</v>
      </c>
      <c r="K974" s="2" t="s">
        <v>300</v>
      </c>
      <c r="L974" s="3">
        <v>15.47</v>
      </c>
      <c r="M974" s="3">
        <v>16.24</v>
      </c>
      <c r="N974" s="3">
        <v>32.49</v>
      </c>
      <c r="O974" s="2" t="s">
        <v>230</v>
      </c>
      <c r="P974" s="2" t="s">
        <v>1903</v>
      </c>
      <c r="Q974" s="2" t="s">
        <v>232</v>
      </c>
      <c r="R974" s="2" t="s">
        <v>233</v>
      </c>
      <c r="S974" s="2" t="s">
        <v>4965</v>
      </c>
      <c r="T974" s="2" t="s">
        <v>469</v>
      </c>
      <c r="U974" s="2" t="s">
        <v>711</v>
      </c>
      <c r="V974" s="2" t="s">
        <v>236</v>
      </c>
      <c r="W974" s="2" t="s">
        <v>620</v>
      </c>
      <c r="X974" s="2" t="s">
        <v>233</v>
      </c>
      <c r="Y974" s="2" t="s">
        <v>1513</v>
      </c>
      <c r="Z974" s="4">
        <v>206</v>
      </c>
      <c r="AA974" s="4">
        <f>=ROUNDDOWN(29.4285714285714,0)</f>
      </c>
      <c r="AB974" s="5">
        <v>7</v>
      </c>
      <c r="AC974" s="2" t="s">
        <v>4966</v>
      </c>
      <c r="AD974" s="4">
        <v>200</v>
      </c>
      <c r="AE974" s="4">
        <v>200</v>
      </c>
      <c r="AF974" s="6">
        <v>63</v>
      </c>
      <c r="AG974" s="6">
        <v>46</v>
      </c>
      <c r="AH974" s="7">
        <v>1</v>
      </c>
      <c r="AI974" s="4"/>
      <c r="AJ974" s="4">
        <f>=ROUNDDOWN({0},0)</f>
      </c>
      <c r="AK974" s="5"/>
      <c r="AL974" s="2" t="s">
        <v>233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/>
      <c r="AW974" s="8"/>
      <c r="AX974" s="4"/>
      <c r="AY974" s="8"/>
      <c r="AZ974" s="7"/>
      <c r="BA974" s="7"/>
      <c r="BB974" s="7"/>
      <c r="BC974" s="4" t="s">
        <v>233</v>
      </c>
      <c r="BD974" s="8" t="s">
        <v>233</v>
      </c>
      <c r="BE974" s="4" t="s">
        <v>233</v>
      </c>
      <c r="BF974" s="8" t="s">
        <v>233</v>
      </c>
      <c r="BG974" s="7" t="s">
        <v>233</v>
      </c>
      <c r="BH974" s="7" t="s">
        <v>233</v>
      </c>
      <c r="BI974" s="7"/>
      <c r="BJ974" s="4">
        <v>48</v>
      </c>
      <c r="BK974" s="8">
        <v>807.58</v>
      </c>
      <c r="BL974" s="2" t="s">
        <v>356</v>
      </c>
      <c r="BM974" s="7"/>
      <c r="BN974" s="7"/>
      <c r="BO974" s="4"/>
      <c r="BP974" s="8"/>
      <c r="BQ974" s="4"/>
      <c r="BR974" s="8"/>
      <c r="BS974" s="7"/>
      <c r="BT974" s="7"/>
      <c r="BU974" s="2" t="s">
        <v>4963</v>
      </c>
      <c r="BV974" s="2" t="s">
        <v>233</v>
      </c>
      <c r="BW974" s="2" t="s">
        <v>233</v>
      </c>
      <c r="BX974" s="2" t="s">
        <v>1407</v>
      </c>
      <c r="BY974" s="2" t="s">
        <v>242</v>
      </c>
      <c r="BZ974" s="2" t="s">
        <v>230</v>
      </c>
      <c r="CA974" s="2" t="s">
        <v>1928</v>
      </c>
      <c r="CB974" s="2" t="s">
        <v>2153</v>
      </c>
      <c r="CC974" s="2" t="s">
        <v>245</v>
      </c>
      <c r="CD974" s="2" t="s">
        <v>233</v>
      </c>
      <c r="CE974" s="4">
        <v>37</v>
      </c>
      <c r="CF974" s="4"/>
      <c r="CG974" s="4"/>
      <c r="CH974" s="4">
        <v>169</v>
      </c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>
        <v>200</v>
      </c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>
        <v>208</v>
      </c>
      <c r="GD974" s="4">
        <v>199</v>
      </c>
      <c r="GE974" s="4">
        <v>192</v>
      </c>
      <c r="GF974" s="4">
        <v>187</v>
      </c>
      <c r="GG974" s="4">
        <v>170</v>
      </c>
      <c r="GH974" s="4">
        <v>151</v>
      </c>
      <c r="GI974" s="4">
        <v>144</v>
      </c>
      <c r="GJ974" s="4">
        <v>137</v>
      </c>
      <c r="GK974" s="4">
        <v>130</v>
      </c>
      <c r="GL974" s="4">
        <v>123</v>
      </c>
      <c r="GM974" s="4">
        <v>116</v>
      </c>
      <c r="GN974" s="4">
        <v>110</v>
      </c>
      <c r="GO974" s="4">
        <v>104</v>
      </c>
      <c r="GP974" s="4">
        <v>98</v>
      </c>
      <c r="GQ974" s="4">
        <v>92</v>
      </c>
      <c r="GR974" s="4">
        <v>86</v>
      </c>
      <c r="GS974" s="4">
        <v>280</v>
      </c>
      <c r="GT974" s="4">
        <v>349</v>
      </c>
      <c r="GU974" s="4">
        <v>342</v>
      </c>
      <c r="GV974" s="4">
        <v>335</v>
      </c>
      <c r="GW974" s="4">
        <v>328</v>
      </c>
      <c r="GX974" s="4">
        <v>321</v>
      </c>
      <c r="GY974" s="4">
        <v>314</v>
      </c>
      <c r="GZ974" s="4">
        <v>307</v>
      </c>
      <c r="HA974" s="4">
        <v>299</v>
      </c>
      <c r="HB974" s="4">
        <v>312</v>
      </c>
      <c r="HC974" s="19">
        <v>31</v>
      </c>
      <c r="HD974" s="19">
        <v>22.9</v>
      </c>
      <c r="HE974" s="19">
        <v>18.5</v>
      </c>
      <c r="HF974" s="19">
        <v>13.6</v>
      </c>
      <c r="HG974" s="19">
        <v>12.8</v>
      </c>
      <c r="HH974" s="19">
        <v>10.8</v>
      </c>
      <c r="HI974" s="19">
        <v>10.3</v>
      </c>
      <c r="HJ974" s="19">
        <v>9.8</v>
      </c>
      <c r="HK974" s="19">
        <v>10.9</v>
      </c>
      <c r="HL974" s="19">
        <v>10.3</v>
      </c>
      <c r="HM974" s="19">
        <v>9.7</v>
      </c>
      <c r="HN974" s="19">
        <v>9.2</v>
      </c>
      <c r="HO974" s="19">
        <v>8.7</v>
      </c>
      <c r="HP974" s="19">
        <v>8.2</v>
      </c>
      <c r="HQ974" s="19">
        <v>9.2</v>
      </c>
      <c r="HR974" s="19">
        <v>10.8</v>
      </c>
      <c r="HS974" s="19">
        <v>46.7</v>
      </c>
      <c r="HT974" s="19">
        <v>76</v>
      </c>
      <c r="HU974" s="19">
        <v>75</v>
      </c>
      <c r="HV974" s="19">
        <v>74</v>
      </c>
      <c r="HW974" s="19">
        <v>73</v>
      </c>
      <c r="HX974" s="19">
        <v>72</v>
      </c>
      <c r="HY974" s="19">
        <v>71</v>
      </c>
      <c r="HZ974" s="19">
        <v>70</v>
      </c>
      <c r="IA974" s="19">
        <v>68.8</v>
      </c>
      <c r="IB974" s="19">
        <v>69.8</v>
      </c>
    </row>
    <row r="975">
      <c r="A975" s="2" t="s">
        <v>4967</v>
      </c>
      <c r="B975" s="2" t="s">
        <v>872</v>
      </c>
      <c r="C975" s="2" t="s">
        <v>1398</v>
      </c>
      <c r="D975" s="2" t="s">
        <v>774</v>
      </c>
      <c r="E975" s="2" t="s">
        <v>775</v>
      </c>
      <c r="F975" s="2" t="s">
        <v>4958</v>
      </c>
      <c r="G975" s="2" t="s">
        <v>4959</v>
      </c>
      <c r="H975" s="2" t="s">
        <v>4960</v>
      </c>
      <c r="I975" s="2" t="s">
        <v>4961</v>
      </c>
      <c r="J975" s="2" t="s">
        <v>1052</v>
      </c>
      <c r="K975" s="2" t="s">
        <v>4909</v>
      </c>
      <c r="L975" s="3">
        <v>15.47</v>
      </c>
      <c r="M975" s="3">
        <v>16.24</v>
      </c>
      <c r="N975" s="3">
        <v>32.49</v>
      </c>
      <c r="O975" s="2" t="s">
        <v>230</v>
      </c>
      <c r="P975" s="2" t="s">
        <v>1903</v>
      </c>
      <c r="Q975" s="2" t="s">
        <v>232</v>
      </c>
      <c r="R975" s="2" t="s">
        <v>233</v>
      </c>
      <c r="S975" s="2" t="s">
        <v>4968</v>
      </c>
      <c r="T975" s="2" t="s">
        <v>469</v>
      </c>
      <c r="U975" s="2" t="s">
        <v>711</v>
      </c>
      <c r="V975" s="2" t="s">
        <v>236</v>
      </c>
      <c r="W975" s="2" t="s">
        <v>620</v>
      </c>
      <c r="X975" s="2" t="s">
        <v>233</v>
      </c>
      <c r="Y975" s="2" t="s">
        <v>1551</v>
      </c>
      <c r="Z975" s="4">
        <v>153</v>
      </c>
      <c r="AA975" s="4">
        <f>=ROUNDDOWN(17,0)</f>
      </c>
      <c r="AB975" s="5">
        <v>9</v>
      </c>
      <c r="AC975" s="2" t="s">
        <v>490</v>
      </c>
      <c r="AD975" s="4">
        <v>100</v>
      </c>
      <c r="AE975" s="4">
        <v>100</v>
      </c>
      <c r="AF975" s="6">
        <v>63</v>
      </c>
      <c r="AG975" s="6">
        <v>46</v>
      </c>
      <c r="AH975" s="7">
        <v>1</v>
      </c>
      <c r="AI975" s="4"/>
      <c r="AJ975" s="4">
        <f>=ROUNDDOWN({0},0)</f>
      </c>
      <c r="AK975" s="5"/>
      <c r="AL975" s="2" t="s">
        <v>233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/>
      <c r="AW975" s="8"/>
      <c r="AX975" s="4"/>
      <c r="AY975" s="8"/>
      <c r="AZ975" s="7"/>
      <c r="BA975" s="7"/>
      <c r="BB975" s="7"/>
      <c r="BC975" s="4" t="s">
        <v>233</v>
      </c>
      <c r="BD975" s="8" t="s">
        <v>233</v>
      </c>
      <c r="BE975" s="4" t="s">
        <v>233</v>
      </c>
      <c r="BF975" s="8" t="s">
        <v>233</v>
      </c>
      <c r="BG975" s="7" t="s">
        <v>233</v>
      </c>
      <c r="BH975" s="7" t="s">
        <v>233</v>
      </c>
      <c r="BI975" s="7"/>
      <c r="BJ975" s="4">
        <v>31</v>
      </c>
      <c r="BK975" s="8">
        <v>548.38</v>
      </c>
      <c r="BL975" s="2" t="s">
        <v>4969</v>
      </c>
      <c r="BM975" s="7"/>
      <c r="BN975" s="7"/>
      <c r="BO975" s="4"/>
      <c r="BP975" s="8"/>
      <c r="BQ975" s="4"/>
      <c r="BR975" s="8"/>
      <c r="BS975" s="7"/>
      <c r="BT975" s="7"/>
      <c r="BU975" s="2" t="s">
        <v>4963</v>
      </c>
      <c r="BV975" s="2" t="s">
        <v>233</v>
      </c>
      <c r="BW975" s="2" t="s">
        <v>233</v>
      </c>
      <c r="BX975" s="2" t="s">
        <v>1407</v>
      </c>
      <c r="BY975" s="2" t="s">
        <v>242</v>
      </c>
      <c r="BZ975" s="2" t="s">
        <v>230</v>
      </c>
      <c r="CA975" s="2" t="s">
        <v>1551</v>
      </c>
      <c r="CB975" s="2" t="s">
        <v>4970</v>
      </c>
      <c r="CC975" s="2" t="s">
        <v>245</v>
      </c>
      <c r="CD975" s="2" t="s">
        <v>233</v>
      </c>
      <c r="CE975" s="4"/>
      <c r="CF975" s="4"/>
      <c r="CG975" s="4"/>
      <c r="CH975" s="4">
        <v>153</v>
      </c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>
        <v>100</v>
      </c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>
        <v>156</v>
      </c>
      <c r="GD975" s="4">
        <v>121</v>
      </c>
      <c r="GE975" s="4">
        <v>107</v>
      </c>
      <c r="GF975" s="4">
        <v>95</v>
      </c>
      <c r="GG975" s="4">
        <v>77</v>
      </c>
      <c r="GH975" s="4">
        <v>63</v>
      </c>
      <c r="GI975" s="4">
        <v>155</v>
      </c>
      <c r="GJ975" s="4">
        <v>147</v>
      </c>
      <c r="GK975" s="4">
        <v>139</v>
      </c>
      <c r="GL975" s="4">
        <v>131</v>
      </c>
      <c r="GM975" s="4">
        <v>122</v>
      </c>
      <c r="GN975" s="4">
        <v>114</v>
      </c>
      <c r="GO975" s="4">
        <v>106</v>
      </c>
      <c r="GP975" s="4">
        <v>98</v>
      </c>
      <c r="GQ975" s="4">
        <v>90</v>
      </c>
      <c r="GR975" s="4">
        <v>82</v>
      </c>
      <c r="GS975" s="4">
        <v>74</v>
      </c>
      <c r="GT975" s="4">
        <v>66</v>
      </c>
      <c r="GU975" s="4">
        <v>61</v>
      </c>
      <c r="GV975" s="4">
        <v>53</v>
      </c>
      <c r="GW975" s="4">
        <v>45</v>
      </c>
      <c r="GX975" s="4">
        <v>127</v>
      </c>
      <c r="GY975" s="4">
        <v>118</v>
      </c>
      <c r="GZ975" s="4">
        <v>109</v>
      </c>
      <c r="HA975" s="4">
        <v>99</v>
      </c>
      <c r="HB975" s="4">
        <v>90</v>
      </c>
      <c r="HC975" s="19">
        <v>3.9</v>
      </c>
      <c r="HD975" s="19">
        <v>4.3</v>
      </c>
      <c r="HE975" s="19">
        <v>4.1</v>
      </c>
      <c r="HF975" s="19">
        <v>4</v>
      </c>
      <c r="HG975" s="19">
        <v>3.9</v>
      </c>
      <c r="HH975" s="19">
        <v>4</v>
      </c>
      <c r="HI975" s="19">
        <v>9.7</v>
      </c>
      <c r="HJ975" s="19">
        <v>9.2</v>
      </c>
      <c r="HK975" s="19">
        <v>8.7</v>
      </c>
      <c r="HL975" s="19">
        <v>8.2</v>
      </c>
      <c r="HM975" s="19">
        <v>7.7</v>
      </c>
      <c r="HN975" s="19">
        <v>7.2</v>
      </c>
      <c r="HO975" s="19">
        <v>6.7</v>
      </c>
      <c r="HP975" s="19">
        <v>6.2</v>
      </c>
      <c r="HQ975" s="19">
        <v>5.7</v>
      </c>
      <c r="HR975" s="19">
        <v>5.2</v>
      </c>
      <c r="HS975" s="19">
        <v>4.7</v>
      </c>
      <c r="HT975" s="19">
        <v>4.2</v>
      </c>
      <c r="HU975" s="19">
        <v>4.4</v>
      </c>
      <c r="HV975" s="19">
        <v>4.4</v>
      </c>
      <c r="HW975" s="19">
        <v>5.7</v>
      </c>
      <c r="HX975" s="19">
        <v>13.7</v>
      </c>
      <c r="HY975" s="19">
        <v>12.7</v>
      </c>
      <c r="HZ975" s="19">
        <v>11.7</v>
      </c>
      <c r="IA975" s="19">
        <v>10.5</v>
      </c>
      <c r="IB975" s="19">
        <v>9.5</v>
      </c>
    </row>
    <row r="976">
      <c r="A976" s="2" t="s">
        <v>4971</v>
      </c>
      <c r="B976" s="2" t="s">
        <v>872</v>
      </c>
      <c r="C976" s="2" t="s">
        <v>1398</v>
      </c>
      <c r="D976" s="2" t="s">
        <v>774</v>
      </c>
      <c r="E976" s="2" t="s">
        <v>775</v>
      </c>
      <c r="F976" s="2" t="s">
        <v>4958</v>
      </c>
      <c r="G976" s="2" t="s">
        <v>4959</v>
      </c>
      <c r="H976" s="2" t="s">
        <v>4960</v>
      </c>
      <c r="I976" s="2" t="s">
        <v>4961</v>
      </c>
      <c r="J976" s="2" t="s">
        <v>1052</v>
      </c>
      <c r="K976" s="2" t="s">
        <v>266</v>
      </c>
      <c r="L976" s="3">
        <v>15.47</v>
      </c>
      <c r="M976" s="3">
        <v>16.24</v>
      </c>
      <c r="N976" s="3">
        <v>32.49</v>
      </c>
      <c r="O976" s="2" t="s">
        <v>230</v>
      </c>
      <c r="P976" s="2" t="s">
        <v>1903</v>
      </c>
      <c r="Q976" s="2" t="s">
        <v>232</v>
      </c>
      <c r="R976" s="2" t="s">
        <v>233</v>
      </c>
      <c r="S976" s="2" t="s">
        <v>4972</v>
      </c>
      <c r="T976" s="2" t="s">
        <v>469</v>
      </c>
      <c r="U976" s="2" t="s">
        <v>711</v>
      </c>
      <c r="V976" s="2" t="s">
        <v>236</v>
      </c>
      <c r="W976" s="2" t="s">
        <v>620</v>
      </c>
      <c r="X976" s="2" t="s">
        <v>233</v>
      </c>
      <c r="Y976" s="2" t="s">
        <v>1928</v>
      </c>
      <c r="Z976" s="4">
        <v>45</v>
      </c>
      <c r="AA976" s="4">
        <f>=ROUNDDOWN(3.75,0)</f>
      </c>
      <c r="AB976" s="5">
        <v>12</v>
      </c>
      <c r="AC976" s="2" t="s">
        <v>140</v>
      </c>
      <c r="AD976" s="4">
        <v>240</v>
      </c>
      <c r="AE976" s="4">
        <v>440</v>
      </c>
      <c r="AF976" s="6">
        <v>63</v>
      </c>
      <c r="AG976" s="6">
        <v>46</v>
      </c>
      <c r="AH976" s="7">
        <v>1</v>
      </c>
      <c r="AI976" s="4"/>
      <c r="AJ976" s="4">
        <f>=ROUNDDOWN({0},0)</f>
      </c>
      <c r="AK976" s="5"/>
      <c r="AL976" s="2" t="s">
        <v>233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 t="s">
        <v>233</v>
      </c>
      <c r="BD976" s="8" t="s">
        <v>233</v>
      </c>
      <c r="BE976" s="4" t="s">
        <v>233</v>
      </c>
      <c r="BF976" s="8" t="s">
        <v>233</v>
      </c>
      <c r="BG976" s="7" t="s">
        <v>233</v>
      </c>
      <c r="BH976" s="7" t="s">
        <v>233</v>
      </c>
      <c r="BI976" s="7"/>
      <c r="BJ976" s="4">
        <v>31</v>
      </c>
      <c r="BK976" s="8">
        <v>528.07</v>
      </c>
      <c r="BL976" s="2" t="s">
        <v>356</v>
      </c>
      <c r="BM976" s="7"/>
      <c r="BN976" s="7"/>
      <c r="BO976" s="4"/>
      <c r="BP976" s="8"/>
      <c r="BQ976" s="4"/>
      <c r="BR976" s="8"/>
      <c r="BS976" s="7"/>
      <c r="BT976" s="7"/>
      <c r="BU976" s="2" t="s">
        <v>4963</v>
      </c>
      <c r="BV976" s="2" t="s">
        <v>233</v>
      </c>
      <c r="BW976" s="2" t="s">
        <v>233</v>
      </c>
      <c r="BX976" s="2" t="s">
        <v>1407</v>
      </c>
      <c r="BY976" s="2" t="s">
        <v>242</v>
      </c>
      <c r="BZ976" s="2" t="s">
        <v>230</v>
      </c>
      <c r="CA976" s="2" t="s">
        <v>1928</v>
      </c>
      <c r="CB976" s="2" t="s">
        <v>2260</v>
      </c>
      <c r="CC976" s="2" t="s">
        <v>245</v>
      </c>
      <c r="CD976" s="2" t="s">
        <v>233</v>
      </c>
      <c r="CE976" s="4"/>
      <c r="CF976" s="4"/>
      <c r="CG976" s="4"/>
      <c r="CH976" s="4">
        <v>45</v>
      </c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>
        <v>240</v>
      </c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>
        <v>200</v>
      </c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>
        <v>56</v>
      </c>
      <c r="GD976" s="4">
        <v>2</v>
      </c>
      <c r="GE976" s="4">
        <v>240</v>
      </c>
      <c r="GF976" s="4">
        <v>180</v>
      </c>
      <c r="GG976" s="4">
        <v>154</v>
      </c>
      <c r="GH976" s="4">
        <v>132</v>
      </c>
      <c r="GI976" s="4">
        <v>120</v>
      </c>
      <c r="GJ976" s="4">
        <v>108</v>
      </c>
      <c r="GK976" s="4">
        <v>96</v>
      </c>
      <c r="GL976" s="4">
        <v>84</v>
      </c>
      <c r="GM976" s="4">
        <v>71</v>
      </c>
      <c r="GN976" s="4">
        <v>60</v>
      </c>
      <c r="GO976" s="4">
        <v>49</v>
      </c>
      <c r="GP976" s="4">
        <v>38</v>
      </c>
      <c r="GQ976" s="4">
        <v>27</v>
      </c>
      <c r="GR976" s="4">
        <v>16</v>
      </c>
      <c r="GS976" s="4">
        <v>205</v>
      </c>
      <c r="GT976" s="4">
        <v>269</v>
      </c>
      <c r="GU976" s="4">
        <v>257</v>
      </c>
      <c r="GV976" s="4">
        <v>245</v>
      </c>
      <c r="GW976" s="4">
        <v>233</v>
      </c>
      <c r="GX976" s="4">
        <v>221</v>
      </c>
      <c r="GY976" s="4">
        <v>209</v>
      </c>
      <c r="GZ976" s="4">
        <v>197</v>
      </c>
      <c r="HA976" s="4">
        <v>183</v>
      </c>
      <c r="HB976" s="4">
        <v>191</v>
      </c>
      <c r="HC976" s="19">
        <v>0.8</v>
      </c>
      <c r="HD976" s="19">
        <v>0.1</v>
      </c>
      <c r="HE976" s="19">
        <v>4</v>
      </c>
      <c r="HF976" s="19">
        <v>5</v>
      </c>
      <c r="HG976" s="19">
        <v>5.5</v>
      </c>
      <c r="HH976" s="19">
        <v>5.5</v>
      </c>
      <c r="HI976" s="19">
        <v>5</v>
      </c>
      <c r="HJ976" s="19">
        <v>4.5</v>
      </c>
      <c r="HK976" s="19">
        <v>4</v>
      </c>
      <c r="HL976" s="19">
        <v>3.5</v>
      </c>
      <c r="HM976" s="19">
        <v>3.3</v>
      </c>
      <c r="HN976" s="19">
        <v>2.8</v>
      </c>
      <c r="HO976" s="19">
        <v>2.3</v>
      </c>
      <c r="HP976" s="19">
        <v>1.8</v>
      </c>
      <c r="HQ976" s="19">
        <v>1.4</v>
      </c>
      <c r="HR976" s="19">
        <v>0.9</v>
      </c>
      <c r="HS976" s="19">
        <v>12.8</v>
      </c>
      <c r="HT976" s="19">
        <v>21.4</v>
      </c>
      <c r="HU976" s="19">
        <v>20.4</v>
      </c>
      <c r="HV976" s="19">
        <v>19.4</v>
      </c>
      <c r="HW976" s="19">
        <v>16.8</v>
      </c>
      <c r="HX976" s="19">
        <v>15.9</v>
      </c>
      <c r="HY976" s="19">
        <v>15</v>
      </c>
      <c r="HZ976" s="19">
        <v>14</v>
      </c>
      <c r="IA976" s="19">
        <v>14.2</v>
      </c>
      <c r="IB976" s="19">
        <v>15.2</v>
      </c>
    </row>
    <row r="977">
      <c r="A977" s="2" t="s">
        <v>4973</v>
      </c>
      <c r="B977" s="2" t="s">
        <v>872</v>
      </c>
      <c r="C977" s="2" t="s">
        <v>280</v>
      </c>
      <c r="D977" s="2" t="s">
        <v>884</v>
      </c>
      <c r="E977" s="2" t="s">
        <v>4974</v>
      </c>
      <c r="F977" s="2" t="s">
        <v>4975</v>
      </c>
      <c r="G977" s="2" t="s">
        <v>4976</v>
      </c>
      <c r="H977" s="2" t="s">
        <v>4977</v>
      </c>
      <c r="I977" s="2" t="s">
        <v>4978</v>
      </c>
      <c r="J977" s="2" t="s">
        <v>336</v>
      </c>
      <c r="K977" s="2" t="s">
        <v>229</v>
      </c>
      <c r="L977" s="3">
        <v>63.7</v>
      </c>
      <c r="M977" s="3">
        <v>66.88</v>
      </c>
      <c r="N977" s="3">
        <v>129.99</v>
      </c>
      <c r="O977" s="2" t="s">
        <v>230</v>
      </c>
      <c r="P977" s="2" t="s">
        <v>231</v>
      </c>
      <c r="Q977" s="2" t="s">
        <v>232</v>
      </c>
      <c r="R977" s="2" t="s">
        <v>233</v>
      </c>
      <c r="S977" s="2" t="s">
        <v>4979</v>
      </c>
      <c r="T977" s="2" t="s">
        <v>233</v>
      </c>
      <c r="U977" s="2" t="s">
        <v>608</v>
      </c>
      <c r="V977" s="2" t="s">
        <v>1251</v>
      </c>
      <c r="W977" s="2" t="s">
        <v>818</v>
      </c>
      <c r="X977" s="2" t="s">
        <v>1123</v>
      </c>
      <c r="Y977" s="2" t="s">
        <v>4980</v>
      </c>
      <c r="Z977" s="4">
        <v>544</v>
      </c>
      <c r="AA977" s="4">
        <f>=ROUNDDOWN(45.3333333333333,0)</f>
      </c>
      <c r="AB977" s="5">
        <v>12</v>
      </c>
      <c r="AC977" s="2" t="s">
        <v>233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233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233</v>
      </c>
      <c r="AW977" s="8" t="s">
        <v>233</v>
      </c>
      <c r="AX977" s="4" t="s">
        <v>233</v>
      </c>
      <c r="AY977" s="8" t="s">
        <v>233</v>
      </c>
      <c r="AZ977" s="7" t="s">
        <v>233</v>
      </c>
      <c r="BA977" s="7" t="s">
        <v>233</v>
      </c>
      <c r="BB977" s="7"/>
      <c r="BC977" s="4" t="s">
        <v>233</v>
      </c>
      <c r="BD977" s="8" t="s">
        <v>233</v>
      </c>
      <c r="BE977" s="4" t="s">
        <v>233</v>
      </c>
      <c r="BF977" s="8" t="s">
        <v>233</v>
      </c>
      <c r="BG977" s="7" t="s">
        <v>233</v>
      </c>
      <c r="BH977" s="7" t="s">
        <v>233</v>
      </c>
      <c r="BI977" s="7"/>
      <c r="BJ977" s="4">
        <v>68</v>
      </c>
      <c r="BK977" s="8">
        <v>4209.91</v>
      </c>
      <c r="BL977" s="2" t="s">
        <v>4981</v>
      </c>
      <c r="BM977" s="7"/>
      <c r="BN977" s="7"/>
      <c r="BO977" s="4"/>
      <c r="BP977" s="8"/>
      <c r="BQ977" s="4"/>
      <c r="BR977" s="8"/>
      <c r="BS977" s="7"/>
      <c r="BT977" s="7"/>
      <c r="BU977" s="2" t="s">
        <v>4982</v>
      </c>
      <c r="BV977" s="2" t="s">
        <v>233</v>
      </c>
      <c r="BW977" s="2" t="s">
        <v>233</v>
      </c>
      <c r="BX977" s="2" t="s">
        <v>293</v>
      </c>
      <c r="BY977" s="2" t="s">
        <v>242</v>
      </c>
      <c r="BZ977" s="2" t="s">
        <v>230</v>
      </c>
      <c r="CA977" s="2" t="s">
        <v>4983</v>
      </c>
      <c r="CB977" s="2" t="s">
        <v>844</v>
      </c>
      <c r="CC977" s="2" t="s">
        <v>245</v>
      </c>
      <c r="CD977" s="2" t="s">
        <v>233</v>
      </c>
      <c r="CE977" s="4">
        <v>239</v>
      </c>
      <c r="CF977" s="4">
        <v>305</v>
      </c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>
        <v>545</v>
      </c>
      <c r="GD977" s="4">
        <v>491</v>
      </c>
      <c r="GE977" s="4">
        <v>469</v>
      </c>
      <c r="GF977" s="4">
        <v>447</v>
      </c>
      <c r="GG977" s="4">
        <v>407</v>
      </c>
      <c r="GH977" s="4">
        <v>387</v>
      </c>
      <c r="GI977" s="4">
        <v>370</v>
      </c>
      <c r="GJ977" s="4">
        <v>359</v>
      </c>
      <c r="GK977" s="4">
        <v>348</v>
      </c>
      <c r="GL977" s="4">
        <v>335</v>
      </c>
      <c r="GM977" s="4">
        <v>323</v>
      </c>
      <c r="GN977" s="4">
        <v>311</v>
      </c>
      <c r="GO977" s="4">
        <v>299</v>
      </c>
      <c r="GP977" s="4">
        <v>287</v>
      </c>
      <c r="GQ977" s="4">
        <v>275</v>
      </c>
      <c r="GR977" s="4">
        <v>263</v>
      </c>
      <c r="GS977" s="4">
        <v>251</v>
      </c>
      <c r="GT977" s="4">
        <v>238</v>
      </c>
      <c r="GU977" s="4">
        <v>226</v>
      </c>
      <c r="GV977" s="4">
        <v>214</v>
      </c>
      <c r="GW977" s="4">
        <v>202</v>
      </c>
      <c r="GX977" s="4">
        <v>190</v>
      </c>
      <c r="GY977" s="4">
        <v>178</v>
      </c>
      <c r="GZ977" s="4">
        <v>166</v>
      </c>
      <c r="HA977" s="4">
        <v>154</v>
      </c>
      <c r="HB977" s="4">
        <v>142</v>
      </c>
      <c r="HC977" s="19">
        <v>16</v>
      </c>
      <c r="HD977" s="19">
        <v>18.9</v>
      </c>
      <c r="HE977" s="19">
        <v>18.8</v>
      </c>
      <c r="HF977" s="19">
        <v>20.3</v>
      </c>
      <c r="HG977" s="19">
        <v>27.1</v>
      </c>
      <c r="HH977" s="19">
        <v>29.8</v>
      </c>
      <c r="HI977" s="19">
        <v>30.8</v>
      </c>
      <c r="HJ977" s="19">
        <v>29.9</v>
      </c>
      <c r="HK977" s="19">
        <v>29</v>
      </c>
      <c r="HL977" s="19">
        <v>27.9</v>
      </c>
      <c r="HM977" s="19">
        <v>26.9</v>
      </c>
      <c r="HN977" s="19">
        <v>25.9</v>
      </c>
      <c r="HO977" s="19">
        <v>24.9</v>
      </c>
      <c r="HP977" s="19">
        <v>23.9</v>
      </c>
      <c r="HQ977" s="19">
        <v>22.9</v>
      </c>
      <c r="HR977" s="19">
        <v>21.9</v>
      </c>
      <c r="HS977" s="19">
        <v>20.9</v>
      </c>
      <c r="HT977" s="19">
        <v>19.8</v>
      </c>
      <c r="HU977" s="19">
        <v>18.8</v>
      </c>
      <c r="HV977" s="19">
        <v>17.8</v>
      </c>
      <c r="HW977" s="19">
        <v>16.8</v>
      </c>
      <c r="HX977" s="19">
        <v>15.8</v>
      </c>
      <c r="HY977" s="19">
        <v>14.8</v>
      </c>
      <c r="HZ977" s="19">
        <v>13.8</v>
      </c>
      <c r="IA977" s="19">
        <v>12.8</v>
      </c>
      <c r="IB977" s="19">
        <v>11.8</v>
      </c>
    </row>
    <row r="978">
      <c r="A978" s="2" t="s">
        <v>4984</v>
      </c>
      <c r="B978" s="2" t="s">
        <v>872</v>
      </c>
      <c r="C978" s="2" t="s">
        <v>280</v>
      </c>
      <c r="D978" s="2" t="s">
        <v>261</v>
      </c>
      <c r="E978" s="2" t="s">
        <v>603</v>
      </c>
      <c r="F978" s="2" t="s">
        <v>4975</v>
      </c>
      <c r="G978" s="2" t="s">
        <v>4976</v>
      </c>
      <c r="H978" s="2" t="s">
        <v>4977</v>
      </c>
      <c r="I978" s="2" t="s">
        <v>1384</v>
      </c>
      <c r="J978" s="2" t="s">
        <v>285</v>
      </c>
      <c r="K978" s="2" t="s">
        <v>229</v>
      </c>
      <c r="L978" s="3">
        <v>76.49</v>
      </c>
      <c r="M978" s="3">
        <v>80.32</v>
      </c>
      <c r="N978" s="3">
        <v>149.99</v>
      </c>
      <c r="O978" s="2" t="s">
        <v>230</v>
      </c>
      <c r="P978" s="2" t="s">
        <v>231</v>
      </c>
      <c r="Q978" s="2" t="s">
        <v>232</v>
      </c>
      <c r="R978" s="2" t="s">
        <v>233</v>
      </c>
      <c r="S978" s="2" t="s">
        <v>4985</v>
      </c>
      <c r="T978" s="2" t="s">
        <v>233</v>
      </c>
      <c r="U978" s="2" t="s">
        <v>635</v>
      </c>
      <c r="V978" s="2" t="s">
        <v>1251</v>
      </c>
      <c r="W978" s="2" t="s">
        <v>818</v>
      </c>
      <c r="X978" s="2" t="s">
        <v>4146</v>
      </c>
      <c r="Y978" s="2" t="s">
        <v>238</v>
      </c>
      <c r="Z978" s="4">
        <v>157</v>
      </c>
      <c r="AA978" s="4">
        <f>=ROUNDDOWN(58.1481481481481,0)</f>
      </c>
      <c r="AB978" s="5">
        <v>2.7</v>
      </c>
      <c r="AC978" s="2" t="s">
        <v>474</v>
      </c>
      <c r="AD978" s="4">
        <v>50</v>
      </c>
      <c r="AE978" s="4">
        <v>50</v>
      </c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233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233</v>
      </c>
      <c r="AW978" s="8" t="s">
        <v>233</v>
      </c>
      <c r="AX978" s="4" t="s">
        <v>233</v>
      </c>
      <c r="AY978" s="8" t="s">
        <v>233</v>
      </c>
      <c r="AZ978" s="7" t="s">
        <v>233</v>
      </c>
      <c r="BA978" s="7" t="s">
        <v>233</v>
      </c>
      <c r="BB978" s="7"/>
      <c r="BC978" s="4" t="s">
        <v>233</v>
      </c>
      <c r="BD978" s="8" t="s">
        <v>233</v>
      </c>
      <c r="BE978" s="4" t="s">
        <v>233</v>
      </c>
      <c r="BF978" s="8" t="s">
        <v>233</v>
      </c>
      <c r="BG978" s="7" t="s">
        <v>233</v>
      </c>
      <c r="BH978" s="7" t="s">
        <v>233</v>
      </c>
      <c r="BI978" s="7"/>
      <c r="BJ978" s="4">
        <v>19</v>
      </c>
      <c r="BK978" s="8">
        <v>1567.01</v>
      </c>
      <c r="BL978" s="2" t="s">
        <v>4986</v>
      </c>
      <c r="BM978" s="7"/>
      <c r="BN978" s="7"/>
      <c r="BO978" s="4"/>
      <c r="BP978" s="8"/>
      <c r="BQ978" s="4"/>
      <c r="BR978" s="8"/>
      <c r="BS978" s="7"/>
      <c r="BT978" s="7"/>
      <c r="BU978" s="2" t="s">
        <v>4987</v>
      </c>
      <c r="BV978" s="2" t="s">
        <v>233</v>
      </c>
      <c r="BW978" s="2" t="s">
        <v>233</v>
      </c>
      <c r="BX978" s="2" t="s">
        <v>241</v>
      </c>
      <c r="BY978" s="2" t="s">
        <v>242</v>
      </c>
      <c r="BZ978" s="2" t="s">
        <v>230</v>
      </c>
      <c r="CA978" s="2" t="s">
        <v>243</v>
      </c>
      <c r="CB978" s="2" t="s">
        <v>1057</v>
      </c>
      <c r="CC978" s="2" t="s">
        <v>245</v>
      </c>
      <c r="CD978" s="2" t="s">
        <v>233</v>
      </c>
      <c r="CE978" s="4">
        <v>128</v>
      </c>
      <c r="CF978" s="4">
        <v>29</v>
      </c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>
        <v>50</v>
      </c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>
        <v>160</v>
      </c>
      <c r="GD978" s="4">
        <v>134</v>
      </c>
      <c r="GE978" s="4">
        <v>129</v>
      </c>
      <c r="GF978" s="4">
        <v>124</v>
      </c>
      <c r="GG978" s="4">
        <v>116</v>
      </c>
      <c r="GH978" s="4">
        <v>112</v>
      </c>
      <c r="GI978" s="4">
        <v>109</v>
      </c>
      <c r="GJ978" s="4">
        <v>106</v>
      </c>
      <c r="GK978" s="4">
        <v>103</v>
      </c>
      <c r="GL978" s="4">
        <v>100</v>
      </c>
      <c r="GM978" s="4">
        <v>97</v>
      </c>
      <c r="GN978" s="4">
        <v>94</v>
      </c>
      <c r="GO978" s="4">
        <v>141</v>
      </c>
      <c r="GP978" s="4">
        <v>138</v>
      </c>
      <c r="GQ978" s="4">
        <v>135</v>
      </c>
      <c r="GR978" s="4">
        <v>132</v>
      </c>
      <c r="GS978" s="4">
        <v>129</v>
      </c>
      <c r="GT978" s="4">
        <v>126</v>
      </c>
      <c r="GU978" s="4">
        <v>123</v>
      </c>
      <c r="GV978" s="4">
        <v>120</v>
      </c>
      <c r="GW978" s="4">
        <v>117</v>
      </c>
      <c r="GX978" s="4">
        <v>114</v>
      </c>
      <c r="GY978" s="4">
        <v>111</v>
      </c>
      <c r="GZ978" s="4">
        <v>108</v>
      </c>
      <c r="HA978" s="4">
        <v>105</v>
      </c>
      <c r="HB978" s="4">
        <v>102</v>
      </c>
      <c r="HC978" s="19">
        <v>14.5</v>
      </c>
      <c r="HD978" s="19">
        <v>22.3</v>
      </c>
      <c r="HE978" s="19">
        <v>25.8</v>
      </c>
      <c r="HF978" s="19">
        <v>31</v>
      </c>
      <c r="HG978" s="19">
        <v>38.7</v>
      </c>
      <c r="HH978" s="19">
        <v>37.3</v>
      </c>
      <c r="HI978" s="19">
        <v>36.3</v>
      </c>
      <c r="HJ978" s="19">
        <v>35.3</v>
      </c>
      <c r="HK978" s="19">
        <v>34.3</v>
      </c>
      <c r="HL978" s="19">
        <v>33.3</v>
      </c>
      <c r="HM978" s="19">
        <v>32.3</v>
      </c>
      <c r="HN978" s="19">
        <v>31.3</v>
      </c>
      <c r="HO978" s="19">
        <v>47</v>
      </c>
      <c r="HP978" s="19">
        <v>46</v>
      </c>
      <c r="HQ978" s="19">
        <v>45</v>
      </c>
      <c r="HR978" s="19">
        <v>44</v>
      </c>
      <c r="HS978" s="19">
        <v>43</v>
      </c>
      <c r="HT978" s="19">
        <v>42</v>
      </c>
      <c r="HU978" s="19">
        <v>41</v>
      </c>
      <c r="HV978" s="19">
        <v>40</v>
      </c>
      <c r="HW978" s="19">
        <v>39</v>
      </c>
      <c r="HX978" s="19">
        <v>38</v>
      </c>
      <c r="HY978" s="19">
        <v>37</v>
      </c>
      <c r="HZ978" s="19">
        <v>36</v>
      </c>
      <c r="IA978" s="19">
        <v>35</v>
      </c>
      <c r="IB978" s="19">
        <v>34</v>
      </c>
    </row>
    <row r="979">
      <c r="A979" s="2" t="s">
        <v>4988</v>
      </c>
      <c r="B979" s="2" t="s">
        <v>872</v>
      </c>
      <c r="C979" s="2" t="s">
        <v>280</v>
      </c>
      <c r="D979" s="2" t="s">
        <v>261</v>
      </c>
      <c r="E979" s="2" t="s">
        <v>603</v>
      </c>
      <c r="F979" s="2" t="s">
        <v>4975</v>
      </c>
      <c r="G979" s="2" t="s">
        <v>4976</v>
      </c>
      <c r="H979" s="2" t="s">
        <v>4977</v>
      </c>
      <c r="I979" s="2" t="s">
        <v>1384</v>
      </c>
      <c r="J979" s="2" t="s">
        <v>336</v>
      </c>
      <c r="K979" s="2" t="s">
        <v>1121</v>
      </c>
      <c r="L979" s="3">
        <v>57.6</v>
      </c>
      <c r="M979" s="3">
        <v>60.47</v>
      </c>
      <c r="N979" s="3">
        <v>119.99</v>
      </c>
      <c r="O979" s="2" t="s">
        <v>230</v>
      </c>
      <c r="P979" s="2" t="s">
        <v>231</v>
      </c>
      <c r="Q979" s="2" t="s">
        <v>232</v>
      </c>
      <c r="R979" s="2" t="s">
        <v>233</v>
      </c>
      <c r="S979" s="2" t="s">
        <v>4985</v>
      </c>
      <c r="T979" s="2" t="s">
        <v>233</v>
      </c>
      <c r="U979" s="2" t="s">
        <v>635</v>
      </c>
      <c r="V979" s="2" t="s">
        <v>1251</v>
      </c>
      <c r="W979" s="2" t="s">
        <v>818</v>
      </c>
      <c r="X979" s="2" t="s">
        <v>4146</v>
      </c>
      <c r="Y979" s="2" t="s">
        <v>238</v>
      </c>
      <c r="Z979" s="4">
        <v>468</v>
      </c>
      <c r="AA979" s="4">
        <f>=ROUNDDOWN(46.8,0)</f>
      </c>
      <c r="AB979" s="5">
        <v>10</v>
      </c>
      <c r="AC979" s="2" t="s">
        <v>168</v>
      </c>
      <c r="AD979" s="4">
        <v>90</v>
      </c>
      <c r="AE979" s="4">
        <v>90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233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233</v>
      </c>
      <c r="AW979" s="8" t="s">
        <v>233</v>
      </c>
      <c r="AX979" s="4" t="s">
        <v>233</v>
      </c>
      <c r="AY979" s="8" t="s">
        <v>233</v>
      </c>
      <c r="AZ979" s="7" t="s">
        <v>233</v>
      </c>
      <c r="BA979" s="7" t="s">
        <v>233</v>
      </c>
      <c r="BB979" s="7"/>
      <c r="BC979" s="4" t="s">
        <v>233</v>
      </c>
      <c r="BD979" s="8" t="s">
        <v>233</v>
      </c>
      <c r="BE979" s="4" t="s">
        <v>233</v>
      </c>
      <c r="BF979" s="8" t="s">
        <v>233</v>
      </c>
      <c r="BG979" s="7" t="s">
        <v>233</v>
      </c>
      <c r="BH979" s="7" t="s">
        <v>233</v>
      </c>
      <c r="BI979" s="7"/>
      <c r="BJ979" s="4">
        <v>49</v>
      </c>
      <c r="BK979" s="8">
        <v>2797.14</v>
      </c>
      <c r="BL979" s="2" t="s">
        <v>2313</v>
      </c>
      <c r="BM979" s="7"/>
      <c r="BN979" s="7"/>
      <c r="BO979" s="4"/>
      <c r="BP979" s="8"/>
      <c r="BQ979" s="4"/>
      <c r="BR979" s="8"/>
      <c r="BS979" s="7"/>
      <c r="BT979" s="7"/>
      <c r="BU979" s="2" t="s">
        <v>4987</v>
      </c>
      <c r="BV979" s="2" t="s">
        <v>233</v>
      </c>
      <c r="BW979" s="2" t="s">
        <v>233</v>
      </c>
      <c r="BX979" s="2" t="s">
        <v>241</v>
      </c>
      <c r="BY979" s="2" t="s">
        <v>242</v>
      </c>
      <c r="BZ979" s="2" t="s">
        <v>230</v>
      </c>
      <c r="CA979" s="2" t="s">
        <v>243</v>
      </c>
      <c r="CB979" s="2" t="s">
        <v>1057</v>
      </c>
      <c r="CC979" s="2" t="s">
        <v>245</v>
      </c>
      <c r="CD979" s="2" t="s">
        <v>233</v>
      </c>
      <c r="CE979" s="4">
        <v>468</v>
      </c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>
        <v>90</v>
      </c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>
        <v>479</v>
      </c>
      <c r="GD979" s="4">
        <v>420</v>
      </c>
      <c r="GE979" s="4">
        <v>402</v>
      </c>
      <c r="GF979" s="4">
        <v>384</v>
      </c>
      <c r="GG979" s="4">
        <v>355</v>
      </c>
      <c r="GH979" s="4">
        <v>339</v>
      </c>
      <c r="GI979" s="4">
        <v>325</v>
      </c>
      <c r="GJ979" s="4">
        <v>405</v>
      </c>
      <c r="GK979" s="4">
        <v>394</v>
      </c>
      <c r="GL979" s="4">
        <v>383</v>
      </c>
      <c r="GM979" s="4">
        <v>372</v>
      </c>
      <c r="GN979" s="4">
        <v>362</v>
      </c>
      <c r="GO979" s="4">
        <v>352</v>
      </c>
      <c r="GP979" s="4">
        <v>342</v>
      </c>
      <c r="GQ979" s="4">
        <v>332</v>
      </c>
      <c r="GR979" s="4">
        <v>322</v>
      </c>
      <c r="GS979" s="4">
        <v>312</v>
      </c>
      <c r="GT979" s="4">
        <v>301</v>
      </c>
      <c r="GU979" s="4">
        <v>291</v>
      </c>
      <c r="GV979" s="4">
        <v>281</v>
      </c>
      <c r="GW979" s="4">
        <v>271</v>
      </c>
      <c r="GX979" s="4">
        <v>261</v>
      </c>
      <c r="GY979" s="4">
        <v>251</v>
      </c>
      <c r="GZ979" s="4">
        <v>241</v>
      </c>
      <c r="HA979" s="4">
        <v>230</v>
      </c>
      <c r="HB979" s="4">
        <v>220</v>
      </c>
      <c r="HC979" s="19">
        <v>15.5</v>
      </c>
      <c r="HD979" s="19">
        <v>21</v>
      </c>
      <c r="HE979" s="19">
        <v>21.2</v>
      </c>
      <c r="HF979" s="19">
        <v>22.6</v>
      </c>
      <c r="HG979" s="19">
        <v>27.3</v>
      </c>
      <c r="HH979" s="19">
        <v>28.3</v>
      </c>
      <c r="HI979" s="19">
        <v>29.5</v>
      </c>
      <c r="HJ979" s="19">
        <v>36.8</v>
      </c>
      <c r="HK979" s="19">
        <v>39.4</v>
      </c>
      <c r="HL979" s="19">
        <v>38.3</v>
      </c>
      <c r="HM979" s="19">
        <v>37.2</v>
      </c>
      <c r="HN979" s="19">
        <v>36.2</v>
      </c>
      <c r="HO979" s="19">
        <v>35.2</v>
      </c>
      <c r="HP979" s="19">
        <v>34.2</v>
      </c>
      <c r="HQ979" s="19">
        <v>33.2</v>
      </c>
      <c r="HR979" s="19">
        <v>32.2</v>
      </c>
      <c r="HS979" s="19">
        <v>31.2</v>
      </c>
      <c r="HT979" s="19">
        <v>30.1</v>
      </c>
      <c r="HU979" s="19">
        <v>29.1</v>
      </c>
      <c r="HV979" s="19">
        <v>28.1</v>
      </c>
      <c r="HW979" s="19">
        <v>27.1</v>
      </c>
      <c r="HX979" s="19">
        <v>26.1</v>
      </c>
      <c r="HY979" s="19">
        <v>25.1</v>
      </c>
      <c r="HZ979" s="19">
        <v>24.1</v>
      </c>
      <c r="IA979" s="19">
        <v>23</v>
      </c>
      <c r="IB979" s="19">
        <v>22</v>
      </c>
    </row>
    <row r="980">
      <c r="A980" s="2" t="s">
        <v>4989</v>
      </c>
      <c r="B980" s="2" t="s">
        <v>872</v>
      </c>
      <c r="C980" s="2" t="s">
        <v>280</v>
      </c>
      <c r="D980" s="2" t="s">
        <v>261</v>
      </c>
      <c r="E980" s="2" t="s">
        <v>603</v>
      </c>
      <c r="F980" s="2" t="s">
        <v>4975</v>
      </c>
      <c r="G980" s="2" t="s">
        <v>4976</v>
      </c>
      <c r="H980" s="2" t="s">
        <v>4977</v>
      </c>
      <c r="I980" s="2" t="s">
        <v>1384</v>
      </c>
      <c r="J980" s="2" t="s">
        <v>285</v>
      </c>
      <c r="K980" s="2" t="s">
        <v>1121</v>
      </c>
      <c r="L980" s="3">
        <v>76.49</v>
      </c>
      <c r="M980" s="3">
        <v>80.32</v>
      </c>
      <c r="N980" s="3">
        <v>149.99</v>
      </c>
      <c r="O980" s="2" t="s">
        <v>230</v>
      </c>
      <c r="P980" s="2" t="s">
        <v>231</v>
      </c>
      <c r="Q980" s="2" t="s">
        <v>232</v>
      </c>
      <c r="R980" s="2" t="s">
        <v>233</v>
      </c>
      <c r="S980" s="2" t="s">
        <v>4985</v>
      </c>
      <c r="T980" s="2" t="s">
        <v>233</v>
      </c>
      <c r="U980" s="2" t="s">
        <v>635</v>
      </c>
      <c r="V980" s="2" t="s">
        <v>1251</v>
      </c>
      <c r="W980" s="2" t="s">
        <v>818</v>
      </c>
      <c r="X980" s="2" t="s">
        <v>4146</v>
      </c>
      <c r="Y980" s="2" t="s">
        <v>238</v>
      </c>
      <c r="Z980" s="4">
        <v>310</v>
      </c>
      <c r="AA980" s="4">
        <f>=ROUNDDOWN(62,0)</f>
      </c>
      <c r="AB980" s="5">
        <v>5</v>
      </c>
      <c r="AC980" s="2" t="s">
        <v>233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233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233</v>
      </c>
      <c r="AW980" s="8" t="s">
        <v>233</v>
      </c>
      <c r="AX980" s="4" t="s">
        <v>233</v>
      </c>
      <c r="AY980" s="8" t="s">
        <v>233</v>
      </c>
      <c r="AZ980" s="7" t="s">
        <v>233</v>
      </c>
      <c r="BA980" s="7" t="s">
        <v>233</v>
      </c>
      <c r="BB980" s="7"/>
      <c r="BC980" s="4" t="s">
        <v>233</v>
      </c>
      <c r="BD980" s="8" t="s">
        <v>233</v>
      </c>
      <c r="BE980" s="4" t="s">
        <v>233</v>
      </c>
      <c r="BF980" s="8" t="s">
        <v>233</v>
      </c>
      <c r="BG980" s="7" t="s">
        <v>233</v>
      </c>
      <c r="BH980" s="7" t="s">
        <v>233</v>
      </c>
      <c r="BI980" s="7"/>
      <c r="BJ980" s="4">
        <v>18</v>
      </c>
      <c r="BK980" s="8">
        <v>1330.27</v>
      </c>
      <c r="BL980" s="2" t="s">
        <v>4990</v>
      </c>
      <c r="BM980" s="7"/>
      <c r="BN980" s="7"/>
      <c r="BO980" s="4"/>
      <c r="BP980" s="8"/>
      <c r="BQ980" s="4"/>
      <c r="BR980" s="8"/>
      <c r="BS980" s="7"/>
      <c r="BT980" s="7"/>
      <c r="BU980" s="2" t="s">
        <v>4987</v>
      </c>
      <c r="BV980" s="2" t="s">
        <v>233</v>
      </c>
      <c r="BW980" s="2" t="s">
        <v>233</v>
      </c>
      <c r="BX980" s="2" t="s">
        <v>241</v>
      </c>
      <c r="BY980" s="2" t="s">
        <v>242</v>
      </c>
      <c r="BZ980" s="2" t="s">
        <v>230</v>
      </c>
      <c r="CA980" s="2" t="s">
        <v>243</v>
      </c>
      <c r="CB980" s="2" t="s">
        <v>1057</v>
      </c>
      <c r="CC980" s="2" t="s">
        <v>245</v>
      </c>
      <c r="CD980" s="2" t="s">
        <v>233</v>
      </c>
      <c r="CE980" s="4">
        <v>62</v>
      </c>
      <c r="CF980" s="4">
        <v>248</v>
      </c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>
        <v>317</v>
      </c>
      <c r="GD980" s="4">
        <v>266</v>
      </c>
      <c r="GE980" s="4">
        <v>257</v>
      </c>
      <c r="GF980" s="4">
        <v>248</v>
      </c>
      <c r="GG980" s="4">
        <v>234</v>
      </c>
      <c r="GH980" s="4">
        <v>228</v>
      </c>
      <c r="GI980" s="4">
        <v>222</v>
      </c>
      <c r="GJ980" s="4">
        <v>217</v>
      </c>
      <c r="GK980" s="4">
        <v>212</v>
      </c>
      <c r="GL980" s="4">
        <v>207</v>
      </c>
      <c r="GM980" s="4">
        <v>202</v>
      </c>
      <c r="GN980" s="4">
        <v>197</v>
      </c>
      <c r="GO980" s="4">
        <v>192</v>
      </c>
      <c r="GP980" s="4">
        <v>187</v>
      </c>
      <c r="GQ980" s="4">
        <v>182</v>
      </c>
      <c r="GR980" s="4">
        <v>177</v>
      </c>
      <c r="GS980" s="4">
        <v>172</v>
      </c>
      <c r="GT980" s="4">
        <v>167</v>
      </c>
      <c r="GU980" s="4">
        <v>162</v>
      </c>
      <c r="GV980" s="4">
        <v>157</v>
      </c>
      <c r="GW980" s="4">
        <v>152</v>
      </c>
      <c r="GX980" s="4">
        <v>147</v>
      </c>
      <c r="GY980" s="4">
        <v>142</v>
      </c>
      <c r="GZ980" s="4">
        <v>137</v>
      </c>
      <c r="HA980" s="4">
        <v>132</v>
      </c>
      <c r="HB980" s="4">
        <v>127</v>
      </c>
      <c r="HC980" s="19">
        <v>15.1</v>
      </c>
      <c r="HD980" s="19">
        <v>26.6</v>
      </c>
      <c r="HE980" s="19">
        <v>28.6</v>
      </c>
      <c r="HF980" s="19">
        <v>31</v>
      </c>
      <c r="HG980" s="19">
        <v>39</v>
      </c>
      <c r="HH980" s="19">
        <v>45.6</v>
      </c>
      <c r="HI980" s="19">
        <v>44.4</v>
      </c>
      <c r="HJ980" s="19">
        <v>43.4</v>
      </c>
      <c r="HK980" s="19">
        <v>42.4</v>
      </c>
      <c r="HL980" s="19">
        <v>41.4</v>
      </c>
      <c r="HM980" s="19">
        <v>40.4</v>
      </c>
      <c r="HN980" s="19">
        <v>39.4</v>
      </c>
      <c r="HO980" s="19">
        <v>38.4</v>
      </c>
      <c r="HP980" s="19">
        <v>37.4</v>
      </c>
      <c r="HQ980" s="19">
        <v>36.4</v>
      </c>
      <c r="HR980" s="19">
        <v>35.4</v>
      </c>
      <c r="HS980" s="19">
        <v>34.4</v>
      </c>
      <c r="HT980" s="19">
        <v>33.4</v>
      </c>
      <c r="HU980" s="19">
        <v>32.4</v>
      </c>
      <c r="HV980" s="19">
        <v>31.4</v>
      </c>
      <c r="HW980" s="19">
        <v>30.4</v>
      </c>
      <c r="HX980" s="19">
        <v>29.4</v>
      </c>
      <c r="HY980" s="19">
        <v>28.4</v>
      </c>
      <c r="HZ980" s="19">
        <v>27.4</v>
      </c>
      <c r="IA980" s="19">
        <v>26.4</v>
      </c>
      <c r="IB980" s="19">
        <v>25.4</v>
      </c>
    </row>
    <row r="981">
      <c r="A981" s="2" t="s">
        <v>4991</v>
      </c>
      <c r="B981" s="2" t="s">
        <v>279</v>
      </c>
      <c r="C981" s="2" t="s">
        <v>1411</v>
      </c>
      <c r="D981" s="2" t="s">
        <v>281</v>
      </c>
      <c r="E981" s="2" t="s">
        <v>282</v>
      </c>
      <c r="F981" s="2" t="s">
        <v>4992</v>
      </c>
      <c r="G981" s="2" t="s">
        <v>4992</v>
      </c>
      <c r="H981" s="2" t="s">
        <v>4992</v>
      </c>
      <c r="I981" s="2" t="s">
        <v>345</v>
      </c>
      <c r="J981" s="2" t="s">
        <v>228</v>
      </c>
      <c r="K981" s="2" t="s">
        <v>4993</v>
      </c>
      <c r="L981" s="3">
        <v>11.95</v>
      </c>
      <c r="M981" s="3">
        <v>12.55</v>
      </c>
      <c r="N981" s="3">
        <v>24.99</v>
      </c>
      <c r="O981" s="2" t="s">
        <v>230</v>
      </c>
      <c r="P981" s="2" t="s">
        <v>231</v>
      </c>
      <c r="Q981" s="2" t="s">
        <v>232</v>
      </c>
      <c r="R981" s="2" t="s">
        <v>233</v>
      </c>
      <c r="S981" s="2" t="s">
        <v>4994</v>
      </c>
      <c r="T981" s="2" t="s">
        <v>469</v>
      </c>
      <c r="U981" s="2" t="s">
        <v>781</v>
      </c>
      <c r="V981" s="2" t="s">
        <v>834</v>
      </c>
      <c r="W981" s="2" t="s">
        <v>237</v>
      </c>
      <c r="X981" s="2" t="s">
        <v>233</v>
      </c>
      <c r="Y981" s="2" t="s">
        <v>4995</v>
      </c>
      <c r="Z981" s="4">
        <v>136</v>
      </c>
      <c r="AA981" s="4">
        <f>=ROUNDDOWN(45.3333333333333,0)</f>
      </c>
      <c r="AB981" s="5">
        <v>3</v>
      </c>
      <c r="AC981" s="2" t="s">
        <v>233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233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233</v>
      </c>
      <c r="AW981" s="8" t="s">
        <v>233</v>
      </c>
      <c r="AX981" s="4" t="s">
        <v>233</v>
      </c>
      <c r="AY981" s="8" t="s">
        <v>233</v>
      </c>
      <c r="AZ981" s="7" t="s">
        <v>233</v>
      </c>
      <c r="BA981" s="7" t="s">
        <v>233</v>
      </c>
      <c r="BB981" s="7"/>
      <c r="BC981" s="4" t="s">
        <v>233</v>
      </c>
      <c r="BD981" s="8" t="s">
        <v>233</v>
      </c>
      <c r="BE981" s="4" t="s">
        <v>233</v>
      </c>
      <c r="BF981" s="8" t="s">
        <v>233</v>
      </c>
      <c r="BG981" s="7" t="s">
        <v>233</v>
      </c>
      <c r="BH981" s="7" t="s">
        <v>233</v>
      </c>
      <c r="BI981" s="7"/>
      <c r="BJ981" s="4">
        <v>14</v>
      </c>
      <c r="BK981" s="8">
        <v>190.43</v>
      </c>
      <c r="BL981" s="2" t="s">
        <v>2199</v>
      </c>
      <c r="BM981" s="7"/>
      <c r="BN981" s="7"/>
      <c r="BO981" s="4"/>
      <c r="BP981" s="8"/>
      <c r="BQ981" s="4"/>
      <c r="BR981" s="8"/>
      <c r="BS981" s="7"/>
      <c r="BT981" s="7"/>
      <c r="BU981" s="2" t="s">
        <v>4996</v>
      </c>
      <c r="BV981" s="2" t="s">
        <v>233</v>
      </c>
      <c r="BW981" s="2" t="s">
        <v>233</v>
      </c>
      <c r="BX981" s="2" t="s">
        <v>241</v>
      </c>
      <c r="BY981" s="2" t="s">
        <v>242</v>
      </c>
      <c r="BZ981" s="2" t="s">
        <v>230</v>
      </c>
      <c r="CA981" s="2" t="s">
        <v>1143</v>
      </c>
      <c r="CB981" s="2" t="s">
        <v>600</v>
      </c>
      <c r="CC981" s="2" t="s">
        <v>245</v>
      </c>
      <c r="CD981" s="2" t="s">
        <v>233</v>
      </c>
      <c r="CE981" s="4">
        <v>136</v>
      </c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>
        <v>142</v>
      </c>
      <c r="GD981" s="4">
        <v>141</v>
      </c>
      <c r="GE981" s="4">
        <v>138</v>
      </c>
      <c r="GF981" s="4">
        <v>135</v>
      </c>
      <c r="GG981" s="4">
        <v>129</v>
      </c>
      <c r="GH981" s="4">
        <v>123</v>
      </c>
      <c r="GI981" s="4">
        <v>118</v>
      </c>
      <c r="GJ981" s="4">
        <v>115</v>
      </c>
      <c r="GK981" s="4">
        <v>113</v>
      </c>
      <c r="GL981" s="4">
        <v>111</v>
      </c>
      <c r="GM981" s="4">
        <v>109</v>
      </c>
      <c r="GN981" s="4">
        <v>106</v>
      </c>
      <c r="GO981" s="4">
        <v>103</v>
      </c>
      <c r="GP981" s="4">
        <v>100</v>
      </c>
      <c r="GQ981" s="4">
        <v>97</v>
      </c>
      <c r="GR981" s="4">
        <v>94</v>
      </c>
      <c r="GS981" s="4">
        <v>91</v>
      </c>
      <c r="GT981" s="4">
        <v>88</v>
      </c>
      <c r="GU981" s="4">
        <v>85</v>
      </c>
      <c r="GV981" s="4">
        <v>82</v>
      </c>
      <c r="GW981" s="4">
        <v>79</v>
      </c>
      <c r="GX981" s="4">
        <v>76</v>
      </c>
      <c r="GY981" s="4">
        <v>73</v>
      </c>
      <c r="GZ981" s="4">
        <v>70</v>
      </c>
      <c r="HA981" s="4">
        <v>67</v>
      </c>
      <c r="HB981" s="4">
        <v>64</v>
      </c>
      <c r="HC981" s="19">
        <v>47.3</v>
      </c>
      <c r="HD981" s="19">
        <v>35.3</v>
      </c>
      <c r="HE981" s="19">
        <v>27.6</v>
      </c>
      <c r="HF981" s="19">
        <v>27</v>
      </c>
      <c r="HG981" s="19">
        <v>32.3</v>
      </c>
      <c r="HH981" s="19">
        <v>41</v>
      </c>
      <c r="HI981" s="19">
        <v>59</v>
      </c>
      <c r="HJ981" s="19">
        <v>57.5</v>
      </c>
      <c r="HK981" s="19">
        <v>56.5</v>
      </c>
      <c r="HL981" s="19">
        <v>37</v>
      </c>
      <c r="HM981" s="19">
        <v>36.3</v>
      </c>
      <c r="HN981" s="19">
        <v>35.3</v>
      </c>
      <c r="HO981" s="19">
        <v>34.3</v>
      </c>
      <c r="HP981" s="19">
        <v>33.3</v>
      </c>
      <c r="HQ981" s="19">
        <v>32.3</v>
      </c>
      <c r="HR981" s="19">
        <v>31.3</v>
      </c>
      <c r="HS981" s="19">
        <v>30.3</v>
      </c>
      <c r="HT981" s="19">
        <v>29.3</v>
      </c>
      <c r="HU981" s="19">
        <v>28.3</v>
      </c>
      <c r="HV981" s="19">
        <v>27.3</v>
      </c>
      <c r="HW981" s="19">
        <v>26.3</v>
      </c>
      <c r="HX981" s="19">
        <v>25.3</v>
      </c>
      <c r="HY981" s="19">
        <v>24.3</v>
      </c>
      <c r="HZ981" s="19">
        <v>23.3</v>
      </c>
      <c r="IA981" s="19">
        <v>22.3</v>
      </c>
      <c r="IB981" s="19">
        <v>16</v>
      </c>
    </row>
    <row r="982">
      <c r="A982" s="2" t="s">
        <v>4997</v>
      </c>
      <c r="B982" s="2" t="s">
        <v>279</v>
      </c>
      <c r="C982" s="2" t="s">
        <v>1411</v>
      </c>
      <c r="D982" s="2" t="s">
        <v>281</v>
      </c>
      <c r="E982" s="2" t="s">
        <v>282</v>
      </c>
      <c r="F982" s="2" t="s">
        <v>4992</v>
      </c>
      <c r="G982" s="2" t="s">
        <v>4992</v>
      </c>
      <c r="H982" s="2" t="s">
        <v>4992</v>
      </c>
      <c r="I982" s="2" t="s">
        <v>345</v>
      </c>
      <c r="J982" s="2" t="s">
        <v>252</v>
      </c>
      <c r="K982" s="2" t="s">
        <v>4993</v>
      </c>
      <c r="L982" s="3">
        <v>13.55</v>
      </c>
      <c r="M982" s="3">
        <v>14.23</v>
      </c>
      <c r="N982" s="3">
        <v>27.99</v>
      </c>
      <c r="O982" s="2" t="s">
        <v>230</v>
      </c>
      <c r="P982" s="2" t="s">
        <v>231</v>
      </c>
      <c r="Q982" s="2" t="s">
        <v>232</v>
      </c>
      <c r="R982" s="2" t="s">
        <v>233</v>
      </c>
      <c r="S982" s="2" t="s">
        <v>4994</v>
      </c>
      <c r="T982" s="2" t="s">
        <v>469</v>
      </c>
      <c r="U982" s="2" t="s">
        <v>287</v>
      </c>
      <c r="V982" s="2" t="s">
        <v>834</v>
      </c>
      <c r="W982" s="2" t="s">
        <v>237</v>
      </c>
      <c r="X982" s="2" t="s">
        <v>233</v>
      </c>
      <c r="Y982" s="2" t="s">
        <v>4995</v>
      </c>
      <c r="Z982" s="4">
        <v>96</v>
      </c>
      <c r="AA982" s="4">
        <f>=ROUNDDOWN(16,0)</f>
      </c>
      <c r="AB982" s="5">
        <v>6</v>
      </c>
      <c r="AC982" s="2" t="s">
        <v>139</v>
      </c>
      <c r="AD982" s="4">
        <v>80</v>
      </c>
      <c r="AE982" s="4">
        <v>80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233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233</v>
      </c>
      <c r="AW982" s="8" t="s">
        <v>233</v>
      </c>
      <c r="AX982" s="4" t="s">
        <v>233</v>
      </c>
      <c r="AY982" s="8" t="s">
        <v>233</v>
      </c>
      <c r="AZ982" s="7" t="s">
        <v>233</v>
      </c>
      <c r="BA982" s="7" t="s">
        <v>233</v>
      </c>
      <c r="BB982" s="7"/>
      <c r="BC982" s="4" t="s">
        <v>233</v>
      </c>
      <c r="BD982" s="8" t="s">
        <v>233</v>
      </c>
      <c r="BE982" s="4" t="s">
        <v>233</v>
      </c>
      <c r="BF982" s="8" t="s">
        <v>233</v>
      </c>
      <c r="BG982" s="7" t="s">
        <v>233</v>
      </c>
      <c r="BH982" s="7" t="s">
        <v>233</v>
      </c>
      <c r="BI982" s="7"/>
      <c r="BJ982" s="4">
        <v>32</v>
      </c>
      <c r="BK982" s="8">
        <v>482</v>
      </c>
      <c r="BL982" s="2" t="s">
        <v>1658</v>
      </c>
      <c r="BM982" s="7"/>
      <c r="BN982" s="7"/>
      <c r="BO982" s="4"/>
      <c r="BP982" s="8"/>
      <c r="BQ982" s="4"/>
      <c r="BR982" s="8"/>
      <c r="BS982" s="7"/>
      <c r="BT982" s="7"/>
      <c r="BU982" s="2" t="s">
        <v>4996</v>
      </c>
      <c r="BV982" s="2" t="s">
        <v>233</v>
      </c>
      <c r="BW982" s="2" t="s">
        <v>233</v>
      </c>
      <c r="BX982" s="2" t="s">
        <v>241</v>
      </c>
      <c r="BY982" s="2" t="s">
        <v>242</v>
      </c>
      <c r="BZ982" s="2" t="s">
        <v>230</v>
      </c>
      <c r="CA982" s="2" t="s">
        <v>1143</v>
      </c>
      <c r="CB982" s="2" t="s">
        <v>4911</v>
      </c>
      <c r="CC982" s="2" t="s">
        <v>245</v>
      </c>
      <c r="CD982" s="2" t="s">
        <v>233</v>
      </c>
      <c r="CE982" s="4">
        <v>96</v>
      </c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>
        <v>80</v>
      </c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>
        <v>97</v>
      </c>
      <c r="GD982" s="4">
        <v>95</v>
      </c>
      <c r="GE982" s="4">
        <v>171</v>
      </c>
      <c r="GF982" s="4">
        <v>166</v>
      </c>
      <c r="GG982" s="4">
        <v>156</v>
      </c>
      <c r="GH982" s="4">
        <v>147</v>
      </c>
      <c r="GI982" s="4">
        <v>139</v>
      </c>
      <c r="GJ982" s="4">
        <v>133</v>
      </c>
      <c r="GK982" s="4">
        <v>128</v>
      </c>
      <c r="GL982" s="4">
        <v>122</v>
      </c>
      <c r="GM982" s="4">
        <v>116</v>
      </c>
      <c r="GN982" s="4">
        <v>110</v>
      </c>
      <c r="GO982" s="4">
        <v>104</v>
      </c>
      <c r="GP982" s="4">
        <v>98</v>
      </c>
      <c r="GQ982" s="4">
        <v>92</v>
      </c>
      <c r="GR982" s="4">
        <v>86</v>
      </c>
      <c r="GS982" s="4">
        <v>80</v>
      </c>
      <c r="GT982" s="4">
        <v>74</v>
      </c>
      <c r="GU982" s="4">
        <v>68</v>
      </c>
      <c r="GV982" s="4">
        <v>62</v>
      </c>
      <c r="GW982" s="4">
        <v>56</v>
      </c>
      <c r="GX982" s="4">
        <v>50</v>
      </c>
      <c r="GY982" s="4">
        <v>44</v>
      </c>
      <c r="GZ982" s="4">
        <v>38</v>
      </c>
      <c r="HA982" s="4">
        <v>32</v>
      </c>
      <c r="HB982" s="4">
        <v>84</v>
      </c>
      <c r="HC982" s="19">
        <v>19.4</v>
      </c>
      <c r="HD982" s="19">
        <v>13.6</v>
      </c>
      <c r="HE982" s="19">
        <v>21.4</v>
      </c>
      <c r="HF982" s="19">
        <v>20.8</v>
      </c>
      <c r="HG982" s="19">
        <v>22.3</v>
      </c>
      <c r="HH982" s="19">
        <v>24.5</v>
      </c>
      <c r="HI982" s="19">
        <v>23.2</v>
      </c>
      <c r="HJ982" s="19">
        <v>22.2</v>
      </c>
      <c r="HK982" s="19">
        <v>21.3</v>
      </c>
      <c r="HL982" s="19">
        <v>20.3</v>
      </c>
      <c r="HM982" s="19">
        <v>19.3</v>
      </c>
      <c r="HN982" s="19">
        <v>18.3</v>
      </c>
      <c r="HO982" s="19">
        <v>17.3</v>
      </c>
      <c r="HP982" s="19">
        <v>16.3</v>
      </c>
      <c r="HQ982" s="19">
        <v>15.3</v>
      </c>
      <c r="HR982" s="19">
        <v>14.3</v>
      </c>
      <c r="HS982" s="19">
        <v>13.3</v>
      </c>
      <c r="HT982" s="19">
        <v>12.3</v>
      </c>
      <c r="HU982" s="19">
        <v>11.3</v>
      </c>
      <c r="HV982" s="19">
        <v>10.3</v>
      </c>
      <c r="HW982" s="19">
        <v>9.3</v>
      </c>
      <c r="HX982" s="19">
        <v>8.3</v>
      </c>
      <c r="HY982" s="19">
        <v>7.3</v>
      </c>
      <c r="HZ982" s="19">
        <v>6.3</v>
      </c>
      <c r="IA982" s="19">
        <v>5.3</v>
      </c>
      <c r="IB982" s="19">
        <v>12</v>
      </c>
    </row>
    <row r="983">
      <c r="A983" s="2" t="s">
        <v>4998</v>
      </c>
      <c r="B983" s="2" t="s">
        <v>279</v>
      </c>
      <c r="C983" s="2" t="s">
        <v>1411</v>
      </c>
      <c r="D983" s="2" t="s">
        <v>281</v>
      </c>
      <c r="E983" s="2" t="s">
        <v>282</v>
      </c>
      <c r="F983" s="2" t="s">
        <v>4992</v>
      </c>
      <c r="G983" s="2" t="s">
        <v>4992</v>
      </c>
      <c r="H983" s="2" t="s">
        <v>4992</v>
      </c>
      <c r="I983" s="2" t="s">
        <v>345</v>
      </c>
      <c r="J983" s="2" t="s">
        <v>336</v>
      </c>
      <c r="K983" s="2" t="s">
        <v>4993</v>
      </c>
      <c r="L983" s="3">
        <v>14.75</v>
      </c>
      <c r="M983" s="3">
        <v>15.49</v>
      </c>
      <c r="N983" s="3">
        <v>29.99</v>
      </c>
      <c r="O983" s="2" t="s">
        <v>230</v>
      </c>
      <c r="P983" s="2" t="s">
        <v>231</v>
      </c>
      <c r="Q983" s="2" t="s">
        <v>232</v>
      </c>
      <c r="R983" s="2" t="s">
        <v>233</v>
      </c>
      <c r="S983" s="2" t="s">
        <v>4994</v>
      </c>
      <c r="T983" s="2" t="s">
        <v>469</v>
      </c>
      <c r="U983" s="2" t="s">
        <v>287</v>
      </c>
      <c r="V983" s="2" t="s">
        <v>834</v>
      </c>
      <c r="W983" s="2" t="s">
        <v>237</v>
      </c>
      <c r="X983" s="2" t="s">
        <v>233</v>
      </c>
      <c r="Y983" s="2" t="s">
        <v>4995</v>
      </c>
      <c r="Z983" s="4">
        <v>105</v>
      </c>
      <c r="AA983" s="4">
        <f>=ROUNDDOWN(9.72222222222222,0)</f>
      </c>
      <c r="AB983" s="5">
        <v>10.8</v>
      </c>
      <c r="AC983" s="2" t="s">
        <v>139</v>
      </c>
      <c r="AD983" s="4">
        <v>400</v>
      </c>
      <c r="AE983" s="4">
        <v>400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233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233</v>
      </c>
      <c r="AW983" s="8" t="s">
        <v>233</v>
      </c>
      <c r="AX983" s="4" t="s">
        <v>233</v>
      </c>
      <c r="AY983" s="8" t="s">
        <v>233</v>
      </c>
      <c r="AZ983" s="7" t="s">
        <v>233</v>
      </c>
      <c r="BA983" s="7" t="s">
        <v>233</v>
      </c>
      <c r="BB983" s="7"/>
      <c r="BC983" s="4" t="s">
        <v>233</v>
      </c>
      <c r="BD983" s="8" t="s">
        <v>233</v>
      </c>
      <c r="BE983" s="4" t="s">
        <v>233</v>
      </c>
      <c r="BF983" s="8" t="s">
        <v>233</v>
      </c>
      <c r="BG983" s="7" t="s">
        <v>233</v>
      </c>
      <c r="BH983" s="7" t="s">
        <v>233</v>
      </c>
      <c r="BI983" s="7"/>
      <c r="BJ983" s="4">
        <v>44</v>
      </c>
      <c r="BK983" s="8">
        <v>725.93</v>
      </c>
      <c r="BL983" s="2" t="s">
        <v>1870</v>
      </c>
      <c r="BM983" s="7"/>
      <c r="BN983" s="7"/>
      <c r="BO983" s="4"/>
      <c r="BP983" s="8"/>
      <c r="BQ983" s="4"/>
      <c r="BR983" s="8"/>
      <c r="BS983" s="7"/>
      <c r="BT983" s="7"/>
      <c r="BU983" s="2" t="s">
        <v>4996</v>
      </c>
      <c r="BV983" s="2" t="s">
        <v>233</v>
      </c>
      <c r="BW983" s="2" t="s">
        <v>233</v>
      </c>
      <c r="BX983" s="2" t="s">
        <v>241</v>
      </c>
      <c r="BY983" s="2" t="s">
        <v>242</v>
      </c>
      <c r="BZ983" s="2" t="s">
        <v>230</v>
      </c>
      <c r="CA983" s="2" t="s">
        <v>4999</v>
      </c>
      <c r="CB983" s="2" t="s">
        <v>5000</v>
      </c>
      <c r="CC983" s="2" t="s">
        <v>245</v>
      </c>
      <c r="CD983" s="2" t="s">
        <v>233</v>
      </c>
      <c r="CE983" s="4">
        <v>105</v>
      </c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>
        <v>400</v>
      </c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>
        <v>110</v>
      </c>
      <c r="GD983" s="4">
        <v>104</v>
      </c>
      <c r="GE983" s="4">
        <v>498</v>
      </c>
      <c r="GF983" s="4">
        <v>491</v>
      </c>
      <c r="GG983" s="4">
        <v>476</v>
      </c>
      <c r="GH983" s="4">
        <v>462</v>
      </c>
      <c r="GI983" s="4">
        <v>450</v>
      </c>
      <c r="GJ983" s="4">
        <v>444</v>
      </c>
      <c r="GK983" s="4">
        <v>436</v>
      </c>
      <c r="GL983" s="4">
        <v>425</v>
      </c>
      <c r="GM983" s="4">
        <v>414</v>
      </c>
      <c r="GN983" s="4">
        <v>403</v>
      </c>
      <c r="GO983" s="4">
        <v>392</v>
      </c>
      <c r="GP983" s="4">
        <v>381</v>
      </c>
      <c r="GQ983" s="4">
        <v>370</v>
      </c>
      <c r="GR983" s="4">
        <v>359</v>
      </c>
      <c r="GS983" s="4">
        <v>348</v>
      </c>
      <c r="GT983" s="4">
        <v>337</v>
      </c>
      <c r="GU983" s="4">
        <v>326</v>
      </c>
      <c r="GV983" s="4">
        <v>315</v>
      </c>
      <c r="GW983" s="4">
        <v>304</v>
      </c>
      <c r="GX983" s="4">
        <v>293</v>
      </c>
      <c r="GY983" s="4">
        <v>282</v>
      </c>
      <c r="GZ983" s="4">
        <v>271</v>
      </c>
      <c r="HA983" s="4">
        <v>260</v>
      </c>
      <c r="HB983" s="4">
        <v>249</v>
      </c>
      <c r="HC983" s="19">
        <v>13.8</v>
      </c>
      <c r="HD983" s="19">
        <v>10.4</v>
      </c>
      <c r="HE983" s="19">
        <v>41.5</v>
      </c>
      <c r="HF983" s="19">
        <v>40.9</v>
      </c>
      <c r="HG983" s="19">
        <v>47.6</v>
      </c>
      <c r="HH983" s="19">
        <v>51.3</v>
      </c>
      <c r="HI983" s="19">
        <v>50</v>
      </c>
      <c r="HJ983" s="19">
        <v>44.4</v>
      </c>
      <c r="HK983" s="19">
        <v>39.6</v>
      </c>
      <c r="HL983" s="19">
        <v>38.6</v>
      </c>
      <c r="HM983" s="19">
        <v>37.6</v>
      </c>
      <c r="HN983" s="19">
        <v>36.6</v>
      </c>
      <c r="HO983" s="19">
        <v>35.6</v>
      </c>
      <c r="HP983" s="19">
        <v>34.6</v>
      </c>
      <c r="HQ983" s="19">
        <v>33.6</v>
      </c>
      <c r="HR983" s="19">
        <v>32.6</v>
      </c>
      <c r="HS983" s="19">
        <v>31.6</v>
      </c>
      <c r="HT983" s="19">
        <v>30.6</v>
      </c>
      <c r="HU983" s="19">
        <v>29.6</v>
      </c>
      <c r="HV983" s="19">
        <v>28.6</v>
      </c>
      <c r="HW983" s="19">
        <v>27.6</v>
      </c>
      <c r="HX983" s="19">
        <v>26.6</v>
      </c>
      <c r="HY983" s="19">
        <v>25.6</v>
      </c>
      <c r="HZ983" s="19">
        <v>24.6</v>
      </c>
      <c r="IA983" s="19">
        <v>23.6</v>
      </c>
      <c r="IB983" s="19">
        <v>20.8</v>
      </c>
    </row>
    <row r="984">
      <c r="A984" s="2" t="s">
        <v>5001</v>
      </c>
      <c r="B984" s="2" t="s">
        <v>279</v>
      </c>
      <c r="C984" s="2" t="s">
        <v>1411</v>
      </c>
      <c r="D984" s="2" t="s">
        <v>281</v>
      </c>
      <c r="E984" s="2" t="s">
        <v>282</v>
      </c>
      <c r="F984" s="2" t="s">
        <v>4992</v>
      </c>
      <c r="G984" s="2" t="s">
        <v>4992</v>
      </c>
      <c r="H984" s="2" t="s">
        <v>4992</v>
      </c>
      <c r="I984" s="2" t="s">
        <v>345</v>
      </c>
      <c r="J984" s="2" t="s">
        <v>228</v>
      </c>
      <c r="K984" s="2" t="s">
        <v>5002</v>
      </c>
      <c r="L984" s="3">
        <v>11.95</v>
      </c>
      <c r="M984" s="3">
        <v>12.55</v>
      </c>
      <c r="N984" s="3">
        <v>24.99</v>
      </c>
      <c r="O984" s="2" t="s">
        <v>230</v>
      </c>
      <c r="P984" s="2" t="s">
        <v>231</v>
      </c>
      <c r="Q984" s="2" t="s">
        <v>232</v>
      </c>
      <c r="R984" s="2" t="s">
        <v>233</v>
      </c>
      <c r="S984" s="2" t="s">
        <v>5003</v>
      </c>
      <c r="T984" s="2" t="s">
        <v>469</v>
      </c>
      <c r="U984" s="2" t="s">
        <v>781</v>
      </c>
      <c r="V984" s="2" t="s">
        <v>4522</v>
      </c>
      <c r="W984" s="2" t="s">
        <v>237</v>
      </c>
      <c r="X984" s="2" t="s">
        <v>233</v>
      </c>
      <c r="Y984" s="2" t="s">
        <v>4995</v>
      </c>
      <c r="Z984" s="4">
        <v>123</v>
      </c>
      <c r="AA984" s="4">
        <f>=ROUNDDOWN(30.75,0)</f>
      </c>
      <c r="AB984" s="5">
        <v>4</v>
      </c>
      <c r="AC984" s="2" t="s">
        <v>233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233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233</v>
      </c>
      <c r="AW984" s="8" t="s">
        <v>233</v>
      </c>
      <c r="AX984" s="4" t="s">
        <v>233</v>
      </c>
      <c r="AY984" s="8" t="s">
        <v>233</v>
      </c>
      <c r="AZ984" s="7" t="s">
        <v>233</v>
      </c>
      <c r="BA984" s="7" t="s">
        <v>233</v>
      </c>
      <c r="BB984" s="7"/>
      <c r="BC984" s="4" t="s">
        <v>233</v>
      </c>
      <c r="BD984" s="8" t="s">
        <v>233</v>
      </c>
      <c r="BE984" s="4" t="s">
        <v>233</v>
      </c>
      <c r="BF984" s="8" t="s">
        <v>233</v>
      </c>
      <c r="BG984" s="7" t="s">
        <v>233</v>
      </c>
      <c r="BH984" s="7" t="s">
        <v>233</v>
      </c>
      <c r="BI984" s="7"/>
      <c r="BJ984" s="4">
        <v>23</v>
      </c>
      <c r="BK984" s="8">
        <v>300.28</v>
      </c>
      <c r="BL984" s="2" t="s">
        <v>5004</v>
      </c>
      <c r="BM984" s="7"/>
      <c r="BN984" s="7"/>
      <c r="BO984" s="4"/>
      <c r="BP984" s="8"/>
      <c r="BQ984" s="4"/>
      <c r="BR984" s="8"/>
      <c r="BS984" s="7"/>
      <c r="BT984" s="7"/>
      <c r="BU984" s="2" t="s">
        <v>4996</v>
      </c>
      <c r="BV984" s="2" t="s">
        <v>233</v>
      </c>
      <c r="BW984" s="2" t="s">
        <v>233</v>
      </c>
      <c r="BX984" s="2" t="s">
        <v>241</v>
      </c>
      <c r="BY984" s="2" t="s">
        <v>242</v>
      </c>
      <c r="BZ984" s="2" t="s">
        <v>230</v>
      </c>
      <c r="CA984" s="2" t="s">
        <v>1143</v>
      </c>
      <c r="CB984" s="2" t="s">
        <v>600</v>
      </c>
      <c r="CC984" s="2" t="s">
        <v>245</v>
      </c>
      <c r="CD984" s="2" t="s">
        <v>233</v>
      </c>
      <c r="CE984" s="4">
        <v>64</v>
      </c>
      <c r="CF984" s="4">
        <v>59</v>
      </c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>
        <v>125</v>
      </c>
      <c r="GD984" s="4">
        <v>121</v>
      </c>
      <c r="GE984" s="4">
        <v>116</v>
      </c>
      <c r="GF984" s="4">
        <v>110</v>
      </c>
      <c r="GG984" s="4">
        <v>98</v>
      </c>
      <c r="GH984" s="4">
        <v>86</v>
      </c>
      <c r="GI984" s="4">
        <v>76</v>
      </c>
      <c r="GJ984" s="4">
        <v>71</v>
      </c>
      <c r="GK984" s="4">
        <v>67</v>
      </c>
      <c r="GL984" s="4">
        <v>63</v>
      </c>
      <c r="GM984" s="4">
        <v>59</v>
      </c>
      <c r="GN984" s="4">
        <v>55</v>
      </c>
      <c r="GO984" s="4">
        <v>51</v>
      </c>
      <c r="GP984" s="4">
        <v>47</v>
      </c>
      <c r="GQ984" s="4">
        <v>43</v>
      </c>
      <c r="GR984" s="4">
        <v>39</v>
      </c>
      <c r="GS984" s="4">
        <v>35</v>
      </c>
      <c r="GT984" s="4">
        <v>31</v>
      </c>
      <c r="GU984" s="4">
        <v>27</v>
      </c>
      <c r="GV984" s="4">
        <v>23</v>
      </c>
      <c r="GW984" s="4">
        <v>19</v>
      </c>
      <c r="GX984" s="4">
        <v>15</v>
      </c>
      <c r="GY984" s="4">
        <v>11</v>
      </c>
      <c r="GZ984" s="4">
        <v>7</v>
      </c>
      <c r="HA984" s="4">
        <v>3</v>
      </c>
      <c r="HB984" s="4">
        <v>44</v>
      </c>
      <c r="HC984" s="19">
        <v>17.9</v>
      </c>
      <c r="HD984" s="19">
        <v>13.4</v>
      </c>
      <c r="HE984" s="19">
        <v>11.6</v>
      </c>
      <c r="HF984" s="19">
        <v>11</v>
      </c>
      <c r="HG984" s="19">
        <v>12.3</v>
      </c>
      <c r="HH984" s="19">
        <v>14.3</v>
      </c>
      <c r="HI984" s="19">
        <v>19</v>
      </c>
      <c r="HJ984" s="19">
        <v>17.8</v>
      </c>
      <c r="HK984" s="19">
        <v>16.8</v>
      </c>
      <c r="HL984" s="19">
        <v>15.8</v>
      </c>
      <c r="HM984" s="19">
        <v>14.8</v>
      </c>
      <c r="HN984" s="19">
        <v>13.8</v>
      </c>
      <c r="HO984" s="19">
        <v>12.8</v>
      </c>
      <c r="HP984" s="19">
        <v>11.8</v>
      </c>
      <c r="HQ984" s="19">
        <v>10.8</v>
      </c>
      <c r="HR984" s="19">
        <v>9.8</v>
      </c>
      <c r="HS984" s="19">
        <v>8.8</v>
      </c>
      <c r="HT984" s="19">
        <v>7.8</v>
      </c>
      <c r="HU984" s="19">
        <v>6.8</v>
      </c>
      <c r="HV984" s="19">
        <v>5.8</v>
      </c>
      <c r="HW984" s="19">
        <v>4.8</v>
      </c>
      <c r="HX984" s="19">
        <v>3.8</v>
      </c>
      <c r="HY984" s="19">
        <v>2.8</v>
      </c>
      <c r="HZ984" s="19">
        <v>1.8</v>
      </c>
      <c r="IA984" s="19">
        <v>0.8</v>
      </c>
      <c r="IB984" s="19">
        <v>11</v>
      </c>
    </row>
    <row r="985">
      <c r="A985" s="2" t="s">
        <v>5005</v>
      </c>
      <c r="B985" s="2" t="s">
        <v>279</v>
      </c>
      <c r="C985" s="2" t="s">
        <v>1411</v>
      </c>
      <c r="D985" s="2" t="s">
        <v>281</v>
      </c>
      <c r="E985" s="2" t="s">
        <v>282</v>
      </c>
      <c r="F985" s="2" t="s">
        <v>4992</v>
      </c>
      <c r="G985" s="2" t="s">
        <v>4992</v>
      </c>
      <c r="H985" s="2" t="s">
        <v>4992</v>
      </c>
      <c r="I985" s="2" t="s">
        <v>345</v>
      </c>
      <c r="J985" s="2" t="s">
        <v>252</v>
      </c>
      <c r="K985" s="2" t="s">
        <v>5002</v>
      </c>
      <c r="L985" s="3">
        <v>13.55</v>
      </c>
      <c r="M985" s="3">
        <v>14.23</v>
      </c>
      <c r="N985" s="3">
        <v>27.99</v>
      </c>
      <c r="O985" s="2" t="s">
        <v>230</v>
      </c>
      <c r="P985" s="2" t="s">
        <v>231</v>
      </c>
      <c r="Q985" s="2" t="s">
        <v>232</v>
      </c>
      <c r="R985" s="2" t="s">
        <v>233</v>
      </c>
      <c r="S985" s="2" t="s">
        <v>5003</v>
      </c>
      <c r="T985" s="2" t="s">
        <v>469</v>
      </c>
      <c r="U985" s="2" t="s">
        <v>287</v>
      </c>
      <c r="V985" s="2" t="s">
        <v>4522</v>
      </c>
      <c r="W985" s="2" t="s">
        <v>237</v>
      </c>
      <c r="X985" s="2" t="s">
        <v>233</v>
      </c>
      <c r="Y985" s="2" t="s">
        <v>4995</v>
      </c>
      <c r="Z985" s="4">
        <v>212</v>
      </c>
      <c r="AA985" s="4">
        <f>=ROUNDDOWN(60.5714285714286,0)</f>
      </c>
      <c r="AB985" s="5">
        <v>3.5</v>
      </c>
      <c r="AC985" s="2" t="s">
        <v>2230</v>
      </c>
      <c r="AD985" s="4">
        <v>60</v>
      </c>
      <c r="AE985" s="4">
        <v>60</v>
      </c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233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233</v>
      </c>
      <c r="AW985" s="8" t="s">
        <v>233</v>
      </c>
      <c r="AX985" s="4" t="s">
        <v>233</v>
      </c>
      <c r="AY985" s="8" t="s">
        <v>233</v>
      </c>
      <c r="AZ985" s="7" t="s">
        <v>233</v>
      </c>
      <c r="BA985" s="7" t="s">
        <v>233</v>
      </c>
      <c r="BB985" s="7"/>
      <c r="BC985" s="4" t="s">
        <v>233</v>
      </c>
      <c r="BD985" s="8" t="s">
        <v>233</v>
      </c>
      <c r="BE985" s="4" t="s">
        <v>233</v>
      </c>
      <c r="BF985" s="8" t="s">
        <v>233</v>
      </c>
      <c r="BG985" s="7" t="s">
        <v>233</v>
      </c>
      <c r="BH985" s="7" t="s">
        <v>233</v>
      </c>
      <c r="BI985" s="7"/>
      <c r="BJ985" s="4">
        <v>9</v>
      </c>
      <c r="BK985" s="8">
        <v>134.29</v>
      </c>
      <c r="BL985" s="2" t="s">
        <v>2907</v>
      </c>
      <c r="BM985" s="7"/>
      <c r="BN985" s="7"/>
      <c r="BO985" s="4"/>
      <c r="BP985" s="8"/>
      <c r="BQ985" s="4"/>
      <c r="BR985" s="8"/>
      <c r="BS985" s="7"/>
      <c r="BT985" s="7"/>
      <c r="BU985" s="2" t="s">
        <v>4996</v>
      </c>
      <c r="BV985" s="2" t="s">
        <v>233</v>
      </c>
      <c r="BW985" s="2" t="s">
        <v>233</v>
      </c>
      <c r="BX985" s="2" t="s">
        <v>241</v>
      </c>
      <c r="BY985" s="2" t="s">
        <v>242</v>
      </c>
      <c r="BZ985" s="2" t="s">
        <v>230</v>
      </c>
      <c r="CA985" s="2" t="s">
        <v>1143</v>
      </c>
      <c r="CB985" s="2" t="s">
        <v>440</v>
      </c>
      <c r="CC985" s="2" t="s">
        <v>245</v>
      </c>
      <c r="CD985" s="2" t="s">
        <v>233</v>
      </c>
      <c r="CE985" s="4">
        <v>142</v>
      </c>
      <c r="CF985" s="4">
        <v>70</v>
      </c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>
        <v>60</v>
      </c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>
        <v>213</v>
      </c>
      <c r="GD985" s="4">
        <v>210</v>
      </c>
      <c r="GE985" s="4">
        <v>207</v>
      </c>
      <c r="GF985" s="4">
        <v>203</v>
      </c>
      <c r="GG985" s="4">
        <v>195</v>
      </c>
      <c r="GH985" s="4">
        <v>188</v>
      </c>
      <c r="GI985" s="4">
        <v>182</v>
      </c>
      <c r="GJ985" s="4">
        <v>179</v>
      </c>
      <c r="GK985" s="4">
        <v>177</v>
      </c>
      <c r="GL985" s="4">
        <v>174</v>
      </c>
      <c r="GM985" s="4">
        <v>171</v>
      </c>
      <c r="GN985" s="4">
        <v>168</v>
      </c>
      <c r="GO985" s="4">
        <v>165</v>
      </c>
      <c r="GP985" s="4">
        <v>162</v>
      </c>
      <c r="GQ985" s="4">
        <v>159</v>
      </c>
      <c r="GR985" s="4">
        <v>216</v>
      </c>
      <c r="GS985" s="4">
        <v>213</v>
      </c>
      <c r="GT985" s="4">
        <v>210</v>
      </c>
      <c r="GU985" s="4">
        <v>207</v>
      </c>
      <c r="GV985" s="4">
        <v>204</v>
      </c>
      <c r="GW985" s="4">
        <v>201</v>
      </c>
      <c r="GX985" s="4">
        <v>198</v>
      </c>
      <c r="GY985" s="4">
        <v>195</v>
      </c>
      <c r="GZ985" s="4">
        <v>192</v>
      </c>
      <c r="HA985" s="4">
        <v>189</v>
      </c>
      <c r="HB985" s="4">
        <v>186</v>
      </c>
      <c r="HC985" s="19">
        <v>53.3</v>
      </c>
      <c r="HD985" s="19">
        <v>35</v>
      </c>
      <c r="HE985" s="19">
        <v>34.5</v>
      </c>
      <c r="HF985" s="19">
        <v>33.8</v>
      </c>
      <c r="HG985" s="19">
        <v>48.8</v>
      </c>
      <c r="HH985" s="19">
        <v>47</v>
      </c>
      <c r="HI985" s="19">
        <v>60.7</v>
      </c>
      <c r="HJ985" s="19">
        <v>59.7</v>
      </c>
      <c r="HK985" s="19">
        <v>59</v>
      </c>
      <c r="HL985" s="19">
        <v>58</v>
      </c>
      <c r="HM985" s="19">
        <v>57</v>
      </c>
      <c r="HN985" s="19">
        <v>56</v>
      </c>
      <c r="HO985" s="19">
        <v>55</v>
      </c>
      <c r="HP985" s="19">
        <v>54</v>
      </c>
      <c r="HQ985" s="19">
        <v>53</v>
      </c>
      <c r="HR985" s="19">
        <v>72</v>
      </c>
      <c r="HS985" s="19">
        <v>71</v>
      </c>
      <c r="HT985" s="19">
        <v>70</v>
      </c>
      <c r="HU985" s="19">
        <v>69</v>
      </c>
      <c r="HV985" s="19">
        <v>68</v>
      </c>
      <c r="HW985" s="19">
        <v>67</v>
      </c>
      <c r="HX985" s="19">
        <v>66</v>
      </c>
      <c r="HY985" s="19">
        <v>65</v>
      </c>
      <c r="HZ985" s="19">
        <v>64</v>
      </c>
      <c r="IA985" s="19">
        <v>63</v>
      </c>
      <c r="IB985" s="19">
        <v>62</v>
      </c>
    </row>
    <row r="986">
      <c r="A986" s="2" t="s">
        <v>5006</v>
      </c>
      <c r="B986" s="2" t="s">
        <v>279</v>
      </c>
      <c r="C986" s="2" t="s">
        <v>1411</v>
      </c>
      <c r="D986" s="2" t="s">
        <v>281</v>
      </c>
      <c r="E986" s="2" t="s">
        <v>282</v>
      </c>
      <c r="F986" s="2" t="s">
        <v>4992</v>
      </c>
      <c r="G986" s="2" t="s">
        <v>4992</v>
      </c>
      <c r="H986" s="2" t="s">
        <v>4992</v>
      </c>
      <c r="I986" s="2" t="s">
        <v>345</v>
      </c>
      <c r="J986" s="2" t="s">
        <v>336</v>
      </c>
      <c r="K986" s="2" t="s">
        <v>5002</v>
      </c>
      <c r="L986" s="3">
        <v>14.75</v>
      </c>
      <c r="M986" s="3">
        <v>15.49</v>
      </c>
      <c r="N986" s="3">
        <v>29.99</v>
      </c>
      <c r="O986" s="2" t="s">
        <v>230</v>
      </c>
      <c r="P986" s="2" t="s">
        <v>231</v>
      </c>
      <c r="Q986" s="2" t="s">
        <v>232</v>
      </c>
      <c r="R986" s="2" t="s">
        <v>233</v>
      </c>
      <c r="S986" s="2" t="s">
        <v>5003</v>
      </c>
      <c r="T986" s="2" t="s">
        <v>469</v>
      </c>
      <c r="U986" s="2" t="s">
        <v>287</v>
      </c>
      <c r="V986" s="2" t="s">
        <v>4522</v>
      </c>
      <c r="W986" s="2" t="s">
        <v>237</v>
      </c>
      <c r="X986" s="2" t="s">
        <v>233</v>
      </c>
      <c r="Y986" s="2" t="s">
        <v>4995</v>
      </c>
      <c r="Z986" s="4">
        <v>240</v>
      </c>
      <c r="AA986" s="4">
        <f>=ROUNDDOWN(26.6666666666667,0)</f>
      </c>
      <c r="AB986" s="5">
        <v>9</v>
      </c>
      <c r="AC986" s="2" t="s">
        <v>746</v>
      </c>
      <c r="AD986" s="4">
        <v>100</v>
      </c>
      <c r="AE986" s="4">
        <v>390</v>
      </c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233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233</v>
      </c>
      <c r="AW986" s="8" t="s">
        <v>233</v>
      </c>
      <c r="AX986" s="4" t="s">
        <v>233</v>
      </c>
      <c r="AY986" s="8" t="s">
        <v>233</v>
      </c>
      <c r="AZ986" s="7" t="s">
        <v>233</v>
      </c>
      <c r="BA986" s="7" t="s">
        <v>233</v>
      </c>
      <c r="BB986" s="7"/>
      <c r="BC986" s="4" t="s">
        <v>233</v>
      </c>
      <c r="BD986" s="8" t="s">
        <v>233</v>
      </c>
      <c r="BE986" s="4" t="s">
        <v>233</v>
      </c>
      <c r="BF986" s="8" t="s">
        <v>233</v>
      </c>
      <c r="BG986" s="7" t="s">
        <v>233</v>
      </c>
      <c r="BH986" s="7" t="s">
        <v>233</v>
      </c>
      <c r="BI986" s="7"/>
      <c r="BJ986" s="4">
        <v>22</v>
      </c>
      <c r="BK986" s="8">
        <v>359.85</v>
      </c>
      <c r="BL986" s="2" t="s">
        <v>570</v>
      </c>
      <c r="BM986" s="7"/>
      <c r="BN986" s="7"/>
      <c r="BO986" s="4"/>
      <c r="BP986" s="8"/>
      <c r="BQ986" s="4"/>
      <c r="BR986" s="8"/>
      <c r="BS986" s="7"/>
      <c r="BT986" s="7"/>
      <c r="BU986" s="2" t="s">
        <v>4996</v>
      </c>
      <c r="BV986" s="2" t="s">
        <v>233</v>
      </c>
      <c r="BW986" s="2" t="s">
        <v>233</v>
      </c>
      <c r="BX986" s="2" t="s">
        <v>241</v>
      </c>
      <c r="BY986" s="2" t="s">
        <v>242</v>
      </c>
      <c r="BZ986" s="2" t="s">
        <v>230</v>
      </c>
      <c r="CA986" s="2" t="s">
        <v>1143</v>
      </c>
      <c r="CB986" s="2" t="s">
        <v>5000</v>
      </c>
      <c r="CC986" s="2" t="s">
        <v>245</v>
      </c>
      <c r="CD986" s="2" t="s">
        <v>233</v>
      </c>
      <c r="CE986" s="4">
        <v>140</v>
      </c>
      <c r="CF986" s="4">
        <v>100</v>
      </c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>
        <v>100</v>
      </c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>
        <v>290</v>
      </c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>
        <v>241</v>
      </c>
      <c r="GD986" s="4">
        <v>231</v>
      </c>
      <c r="GE986" s="4">
        <v>222</v>
      </c>
      <c r="GF986" s="4">
        <v>212</v>
      </c>
      <c r="GG986" s="4">
        <v>192</v>
      </c>
      <c r="GH986" s="4">
        <v>274</v>
      </c>
      <c r="GI986" s="4">
        <v>258</v>
      </c>
      <c r="GJ986" s="4">
        <v>249</v>
      </c>
      <c r="GK986" s="4">
        <v>241</v>
      </c>
      <c r="GL986" s="4">
        <v>232</v>
      </c>
      <c r="GM986" s="4">
        <v>223</v>
      </c>
      <c r="GN986" s="4">
        <v>214</v>
      </c>
      <c r="GO986" s="4">
        <v>205</v>
      </c>
      <c r="GP986" s="4">
        <v>196</v>
      </c>
      <c r="GQ986" s="4">
        <v>187</v>
      </c>
      <c r="GR986" s="4">
        <v>468</v>
      </c>
      <c r="GS986" s="4">
        <v>459</v>
      </c>
      <c r="GT986" s="4">
        <v>450</v>
      </c>
      <c r="GU986" s="4">
        <v>441</v>
      </c>
      <c r="GV986" s="4">
        <v>432</v>
      </c>
      <c r="GW986" s="4">
        <v>423</v>
      </c>
      <c r="GX986" s="4">
        <v>414</v>
      </c>
      <c r="GY986" s="4">
        <v>405</v>
      </c>
      <c r="GZ986" s="4">
        <v>396</v>
      </c>
      <c r="HA986" s="4">
        <v>387</v>
      </c>
      <c r="HB986" s="4">
        <v>378</v>
      </c>
      <c r="HC986" s="19">
        <v>20.1</v>
      </c>
      <c r="HD986" s="19">
        <v>16.5</v>
      </c>
      <c r="HE986" s="19">
        <v>13.9</v>
      </c>
      <c r="HF986" s="19">
        <v>13.3</v>
      </c>
      <c r="HG986" s="19">
        <v>14.8</v>
      </c>
      <c r="HH986" s="19">
        <v>27.4</v>
      </c>
      <c r="HI986" s="19">
        <v>28.7</v>
      </c>
      <c r="HJ986" s="19">
        <v>27.7</v>
      </c>
      <c r="HK986" s="19">
        <v>26.8</v>
      </c>
      <c r="HL986" s="19">
        <v>25.8</v>
      </c>
      <c r="HM986" s="19">
        <v>24.8</v>
      </c>
      <c r="HN986" s="19">
        <v>23.8</v>
      </c>
      <c r="HO986" s="19">
        <v>22.8</v>
      </c>
      <c r="HP986" s="19">
        <v>21.8</v>
      </c>
      <c r="HQ986" s="19">
        <v>20.8</v>
      </c>
      <c r="HR986" s="19">
        <v>52</v>
      </c>
      <c r="HS986" s="19">
        <v>51</v>
      </c>
      <c r="HT986" s="19">
        <v>50</v>
      </c>
      <c r="HU986" s="19">
        <v>49</v>
      </c>
      <c r="HV986" s="19">
        <v>48</v>
      </c>
      <c r="HW986" s="19">
        <v>47</v>
      </c>
      <c r="HX986" s="19">
        <v>46</v>
      </c>
      <c r="HY986" s="19">
        <v>45</v>
      </c>
      <c r="HZ986" s="19">
        <v>44</v>
      </c>
      <c r="IA986" s="19">
        <v>43</v>
      </c>
      <c r="IB986" s="19">
        <v>42</v>
      </c>
    </row>
    <row r="987">
      <c r="A987" s="2" t="s">
        <v>5007</v>
      </c>
      <c r="B987" s="2" t="s">
        <v>279</v>
      </c>
      <c r="C987" s="2" t="s">
        <v>343</v>
      </c>
      <c r="D987" s="2" t="s">
        <v>281</v>
      </c>
      <c r="E987" s="2" t="s">
        <v>282</v>
      </c>
      <c r="F987" s="2" t="s">
        <v>5008</v>
      </c>
      <c r="G987" s="2" t="s">
        <v>5008</v>
      </c>
      <c r="H987" s="2" t="s">
        <v>5008</v>
      </c>
      <c r="I987" s="2" t="s">
        <v>345</v>
      </c>
      <c r="J987" s="2" t="s">
        <v>228</v>
      </c>
      <c r="K987" s="2" t="s">
        <v>5009</v>
      </c>
      <c r="L987" s="3">
        <v>15</v>
      </c>
      <c r="M987" s="3">
        <v>15.75</v>
      </c>
      <c r="N987" s="3">
        <v>29.99</v>
      </c>
      <c r="O987" s="2" t="s">
        <v>230</v>
      </c>
      <c r="P987" s="2" t="s">
        <v>231</v>
      </c>
      <c r="Q987" s="2" t="s">
        <v>232</v>
      </c>
      <c r="R987" s="2" t="s">
        <v>233</v>
      </c>
      <c r="S987" s="2" t="s">
        <v>5010</v>
      </c>
      <c r="T987" s="2" t="s">
        <v>5011</v>
      </c>
      <c r="U987" s="2" t="s">
        <v>781</v>
      </c>
      <c r="V987" s="2" t="s">
        <v>1268</v>
      </c>
      <c r="W987" s="2" t="s">
        <v>288</v>
      </c>
      <c r="X987" s="2" t="s">
        <v>237</v>
      </c>
      <c r="Y987" s="2" t="s">
        <v>5012</v>
      </c>
      <c r="Z987" s="4">
        <v>118</v>
      </c>
      <c r="AA987" s="4">
        <f>=ROUNDDOWN(16.8571428571429,0)</f>
      </c>
      <c r="AB987" s="5">
        <v>7</v>
      </c>
      <c r="AC987" s="2" t="s">
        <v>490</v>
      </c>
      <c r="AD987" s="4">
        <v>200</v>
      </c>
      <c r="AE987" s="4">
        <v>240</v>
      </c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233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/>
      <c r="AW987" s="8"/>
      <c r="AX987" s="4"/>
      <c r="AY987" s="8"/>
      <c r="AZ987" s="7"/>
      <c r="BA987" s="7"/>
      <c r="BB987" s="7"/>
      <c r="BC987" s="4" t="s">
        <v>233</v>
      </c>
      <c r="BD987" s="8" t="s">
        <v>233</v>
      </c>
      <c r="BE987" s="4" t="s">
        <v>233</v>
      </c>
      <c r="BF987" s="8" t="s">
        <v>233</v>
      </c>
      <c r="BG987" s="7" t="s">
        <v>233</v>
      </c>
      <c r="BH987" s="7" t="s">
        <v>233</v>
      </c>
      <c r="BI987" s="7"/>
      <c r="BJ987" s="4">
        <v>28</v>
      </c>
      <c r="BK987" s="8">
        <v>475.46</v>
      </c>
      <c r="BL987" s="2" t="s">
        <v>356</v>
      </c>
      <c r="BM987" s="7"/>
      <c r="BN987" s="7"/>
      <c r="BO987" s="4"/>
      <c r="BP987" s="8"/>
      <c r="BQ987" s="4"/>
      <c r="BR987" s="8"/>
      <c r="BS987" s="7"/>
      <c r="BT987" s="7"/>
      <c r="BU987" s="2" t="s">
        <v>5013</v>
      </c>
      <c r="BV987" s="2" t="s">
        <v>233</v>
      </c>
      <c r="BW987" s="2" t="s">
        <v>233</v>
      </c>
      <c r="BX987" s="2" t="s">
        <v>624</v>
      </c>
      <c r="BY987" s="2" t="s">
        <v>242</v>
      </c>
      <c r="BZ987" s="2" t="s">
        <v>230</v>
      </c>
      <c r="CA987" s="2" t="s">
        <v>2200</v>
      </c>
      <c r="CB987" s="2" t="s">
        <v>5014</v>
      </c>
      <c r="CC987" s="2" t="s">
        <v>245</v>
      </c>
      <c r="CD987" s="2" t="s">
        <v>233</v>
      </c>
      <c r="CE987" s="4">
        <v>118</v>
      </c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>
        <v>200</v>
      </c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>
        <v>40</v>
      </c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>
        <v>129</v>
      </c>
      <c r="GD987" s="4">
        <v>80</v>
      </c>
      <c r="GE987" s="4">
        <v>68</v>
      </c>
      <c r="GF987" s="4">
        <v>54</v>
      </c>
      <c r="GG987" s="4">
        <v>26</v>
      </c>
      <c r="GH987" s="4">
        <v>9</v>
      </c>
      <c r="GI987" s="4">
        <v>200</v>
      </c>
      <c r="GJ987" s="4">
        <v>183</v>
      </c>
      <c r="GK987" s="4">
        <v>171</v>
      </c>
      <c r="GL987" s="4">
        <v>161</v>
      </c>
      <c r="GM987" s="4">
        <v>151</v>
      </c>
      <c r="GN987" s="4">
        <v>141</v>
      </c>
      <c r="GO987" s="4">
        <v>133</v>
      </c>
      <c r="GP987" s="4">
        <v>166</v>
      </c>
      <c r="GQ987" s="4">
        <v>156</v>
      </c>
      <c r="GR987" s="4">
        <v>146</v>
      </c>
      <c r="GS987" s="4">
        <v>137</v>
      </c>
      <c r="GT987" s="4">
        <v>127</v>
      </c>
      <c r="GU987" s="4">
        <v>118</v>
      </c>
      <c r="GV987" s="4">
        <v>206</v>
      </c>
      <c r="GW987" s="4">
        <v>198</v>
      </c>
      <c r="GX987" s="4">
        <v>189</v>
      </c>
      <c r="GY987" s="4">
        <v>179</v>
      </c>
      <c r="GZ987" s="4">
        <v>171</v>
      </c>
      <c r="HA987" s="4">
        <v>162</v>
      </c>
      <c r="HB987" s="4">
        <v>155</v>
      </c>
      <c r="HC987" s="19">
        <v>5</v>
      </c>
      <c r="HD987" s="19">
        <v>4.4</v>
      </c>
      <c r="HE987" s="19">
        <v>3.8</v>
      </c>
      <c r="HF987" s="19">
        <v>2.8</v>
      </c>
      <c r="HG987" s="19">
        <v>1.7</v>
      </c>
      <c r="HH987" s="19">
        <v>0.7</v>
      </c>
      <c r="HI987" s="19">
        <v>16.7</v>
      </c>
      <c r="HJ987" s="19">
        <v>18.3</v>
      </c>
      <c r="HK987" s="19">
        <v>17.1</v>
      </c>
      <c r="HL987" s="19">
        <v>17.9</v>
      </c>
      <c r="HM987" s="19">
        <v>16.8</v>
      </c>
      <c r="HN987" s="19">
        <v>15.7</v>
      </c>
      <c r="HO987" s="19">
        <v>14.8</v>
      </c>
      <c r="HP987" s="19">
        <v>16.6</v>
      </c>
      <c r="HQ987" s="19">
        <v>15.6</v>
      </c>
      <c r="HR987" s="19">
        <v>16.2</v>
      </c>
      <c r="HS987" s="19">
        <v>15.2</v>
      </c>
      <c r="HT987" s="19">
        <v>14.1</v>
      </c>
      <c r="HU987" s="19">
        <v>13.1</v>
      </c>
      <c r="HV987" s="19">
        <v>22.9</v>
      </c>
      <c r="HW987" s="19">
        <v>22</v>
      </c>
      <c r="HX987" s="19">
        <v>23.6</v>
      </c>
      <c r="HY987" s="19">
        <v>22.4</v>
      </c>
      <c r="HZ987" s="19">
        <v>21.4</v>
      </c>
      <c r="IA987" s="19">
        <v>20.3</v>
      </c>
      <c r="IB987" s="19">
        <v>19.4</v>
      </c>
    </row>
    <row r="988">
      <c r="A988" s="2" t="s">
        <v>5015</v>
      </c>
      <c r="B988" s="2" t="s">
        <v>279</v>
      </c>
      <c r="C988" s="2" t="s">
        <v>343</v>
      </c>
      <c r="D988" s="2" t="s">
        <v>281</v>
      </c>
      <c r="E988" s="2" t="s">
        <v>282</v>
      </c>
      <c r="F988" s="2" t="s">
        <v>5008</v>
      </c>
      <c r="G988" s="2" t="s">
        <v>5008</v>
      </c>
      <c r="H988" s="2" t="s">
        <v>5008</v>
      </c>
      <c r="I988" s="2" t="s">
        <v>345</v>
      </c>
      <c r="J988" s="2" t="s">
        <v>228</v>
      </c>
      <c r="K988" s="2" t="s">
        <v>5016</v>
      </c>
      <c r="L988" s="3">
        <v>15</v>
      </c>
      <c r="M988" s="3">
        <v>15.75</v>
      </c>
      <c r="N988" s="3">
        <v>29.99</v>
      </c>
      <c r="O988" s="2" t="s">
        <v>230</v>
      </c>
      <c r="P988" s="2" t="s">
        <v>231</v>
      </c>
      <c r="Q988" s="2" t="s">
        <v>232</v>
      </c>
      <c r="R988" s="2" t="s">
        <v>233</v>
      </c>
      <c r="S988" s="2" t="s">
        <v>5017</v>
      </c>
      <c r="T988" s="2" t="s">
        <v>5011</v>
      </c>
      <c r="U988" s="2" t="s">
        <v>781</v>
      </c>
      <c r="V988" s="2" t="s">
        <v>1268</v>
      </c>
      <c r="W988" s="2" t="s">
        <v>288</v>
      </c>
      <c r="X988" s="2" t="s">
        <v>237</v>
      </c>
      <c r="Y988" s="2" t="s">
        <v>5012</v>
      </c>
      <c r="Z988" s="4">
        <v>58</v>
      </c>
      <c r="AA988" s="4">
        <f>=ROUNDDOWN(11.6,0)</f>
      </c>
      <c r="AB988" s="5">
        <v>5</v>
      </c>
      <c r="AC988" s="2" t="s">
        <v>139</v>
      </c>
      <c r="AD988" s="4">
        <v>110</v>
      </c>
      <c r="AE988" s="4">
        <v>210</v>
      </c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233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233</v>
      </c>
      <c r="AW988" s="8" t="s">
        <v>233</v>
      </c>
      <c r="AX988" s="4" t="s">
        <v>233</v>
      </c>
      <c r="AY988" s="8" t="s">
        <v>233</v>
      </c>
      <c r="AZ988" s="7" t="s">
        <v>233</v>
      </c>
      <c r="BA988" s="7" t="s">
        <v>233</v>
      </c>
      <c r="BB988" s="7"/>
      <c r="BC988" s="4" t="s">
        <v>233</v>
      </c>
      <c r="BD988" s="8" t="s">
        <v>233</v>
      </c>
      <c r="BE988" s="4" t="s">
        <v>233</v>
      </c>
      <c r="BF988" s="8" t="s">
        <v>233</v>
      </c>
      <c r="BG988" s="7" t="s">
        <v>233</v>
      </c>
      <c r="BH988" s="7" t="s">
        <v>233</v>
      </c>
      <c r="BI988" s="7"/>
      <c r="BJ988" s="4">
        <v>26</v>
      </c>
      <c r="BK988" s="8">
        <v>440.72</v>
      </c>
      <c r="BL988" s="2" t="s">
        <v>1874</v>
      </c>
      <c r="BM988" s="7"/>
      <c r="BN988" s="7"/>
      <c r="BO988" s="4"/>
      <c r="BP988" s="8"/>
      <c r="BQ988" s="4"/>
      <c r="BR988" s="8"/>
      <c r="BS988" s="7"/>
      <c r="BT988" s="7"/>
      <c r="BU988" s="2" t="s">
        <v>5013</v>
      </c>
      <c r="BV988" s="2" t="s">
        <v>233</v>
      </c>
      <c r="BW988" s="2" t="s">
        <v>233</v>
      </c>
      <c r="BX988" s="2" t="s">
        <v>624</v>
      </c>
      <c r="BY988" s="2" t="s">
        <v>242</v>
      </c>
      <c r="BZ988" s="2" t="s">
        <v>230</v>
      </c>
      <c r="CA988" s="2" t="s">
        <v>2200</v>
      </c>
      <c r="CB988" s="2" t="s">
        <v>378</v>
      </c>
      <c r="CC988" s="2" t="s">
        <v>245</v>
      </c>
      <c r="CD988" s="2" t="s">
        <v>233</v>
      </c>
      <c r="CE988" s="4">
        <v>58</v>
      </c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>
        <v>110</v>
      </c>
      <c r="DB988" s="4"/>
      <c r="DC988" s="4">
        <v>20</v>
      </c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>
        <v>50</v>
      </c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>
        <v>30</v>
      </c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>
        <v>67</v>
      </c>
      <c r="GD988" s="4">
        <v>36</v>
      </c>
      <c r="GE988" s="4">
        <v>138</v>
      </c>
      <c r="GF988" s="4">
        <v>148</v>
      </c>
      <c r="GG988" s="4">
        <v>127</v>
      </c>
      <c r="GH988" s="4">
        <v>115</v>
      </c>
      <c r="GI988" s="4">
        <v>152</v>
      </c>
      <c r="GJ988" s="4">
        <v>142</v>
      </c>
      <c r="GK988" s="4">
        <v>134</v>
      </c>
      <c r="GL988" s="4">
        <v>126</v>
      </c>
      <c r="GM988" s="4">
        <v>119</v>
      </c>
      <c r="GN988" s="4">
        <v>112</v>
      </c>
      <c r="GO988" s="4">
        <v>106</v>
      </c>
      <c r="GP988" s="4">
        <v>131</v>
      </c>
      <c r="GQ988" s="4">
        <v>124</v>
      </c>
      <c r="GR988" s="4">
        <v>116</v>
      </c>
      <c r="GS988" s="4">
        <v>109</v>
      </c>
      <c r="GT988" s="4">
        <v>101</v>
      </c>
      <c r="GU988" s="4">
        <v>95</v>
      </c>
      <c r="GV988" s="4">
        <v>118</v>
      </c>
      <c r="GW988" s="4">
        <v>112</v>
      </c>
      <c r="GX988" s="4">
        <v>106</v>
      </c>
      <c r="GY988" s="4">
        <v>100</v>
      </c>
      <c r="GZ988" s="4">
        <v>94</v>
      </c>
      <c r="HA988" s="4">
        <v>88</v>
      </c>
      <c r="HB988" s="4">
        <v>83</v>
      </c>
      <c r="HC988" s="19">
        <v>3.7</v>
      </c>
      <c r="HD988" s="19">
        <v>2.8</v>
      </c>
      <c r="HE988" s="19">
        <v>9.9</v>
      </c>
      <c r="HF988" s="19">
        <v>10.6</v>
      </c>
      <c r="HG988" s="19">
        <v>11.5</v>
      </c>
      <c r="HH988" s="19">
        <v>11.5</v>
      </c>
      <c r="HI988" s="19">
        <v>19</v>
      </c>
      <c r="HJ988" s="19">
        <v>17.8</v>
      </c>
      <c r="HK988" s="19">
        <v>19.1</v>
      </c>
      <c r="HL988" s="19">
        <v>21</v>
      </c>
      <c r="HM988" s="19">
        <v>19.8</v>
      </c>
      <c r="HN988" s="19">
        <v>18.7</v>
      </c>
      <c r="HO988" s="19">
        <v>15.1</v>
      </c>
      <c r="HP988" s="19">
        <v>16.4</v>
      </c>
      <c r="HQ988" s="19">
        <v>17.7</v>
      </c>
      <c r="HR988" s="19">
        <v>16.6</v>
      </c>
      <c r="HS988" s="19">
        <v>15.6</v>
      </c>
      <c r="HT988" s="19">
        <v>16.8</v>
      </c>
      <c r="HU988" s="19">
        <v>15.8</v>
      </c>
      <c r="HV988" s="19">
        <v>19.7</v>
      </c>
      <c r="HW988" s="19">
        <v>18.7</v>
      </c>
      <c r="HX988" s="19">
        <v>17.7</v>
      </c>
      <c r="HY988" s="19">
        <v>16.7</v>
      </c>
      <c r="HZ988" s="19">
        <v>15.7</v>
      </c>
      <c r="IA988" s="19">
        <v>14.7</v>
      </c>
      <c r="IB988" s="19">
        <v>13.8</v>
      </c>
    </row>
    <row r="989">
      <c r="A989" s="2" t="s">
        <v>5018</v>
      </c>
      <c r="B989" s="2" t="s">
        <v>279</v>
      </c>
      <c r="C989" s="2" t="s">
        <v>343</v>
      </c>
      <c r="D989" s="2" t="s">
        <v>281</v>
      </c>
      <c r="E989" s="2" t="s">
        <v>282</v>
      </c>
      <c r="F989" s="2" t="s">
        <v>5008</v>
      </c>
      <c r="G989" s="2" t="s">
        <v>5008</v>
      </c>
      <c r="H989" s="2" t="s">
        <v>5008</v>
      </c>
      <c r="I989" s="2" t="s">
        <v>345</v>
      </c>
      <c r="J989" s="2" t="s">
        <v>252</v>
      </c>
      <c r="K989" s="2" t="s">
        <v>5016</v>
      </c>
      <c r="L989" s="3">
        <v>16.5</v>
      </c>
      <c r="M989" s="3">
        <v>17.33</v>
      </c>
      <c r="N989" s="3">
        <v>32.99</v>
      </c>
      <c r="O989" s="2" t="s">
        <v>230</v>
      </c>
      <c r="P989" s="2" t="s">
        <v>231</v>
      </c>
      <c r="Q989" s="2" t="s">
        <v>232</v>
      </c>
      <c r="R989" s="2" t="s">
        <v>233</v>
      </c>
      <c r="S989" s="2" t="s">
        <v>5017</v>
      </c>
      <c r="T989" s="2" t="s">
        <v>5011</v>
      </c>
      <c r="U989" s="2" t="s">
        <v>287</v>
      </c>
      <c r="V989" s="2" t="s">
        <v>1268</v>
      </c>
      <c r="W989" s="2" t="s">
        <v>288</v>
      </c>
      <c r="X989" s="2" t="s">
        <v>237</v>
      </c>
      <c r="Y989" s="2" t="s">
        <v>5012</v>
      </c>
      <c r="Z989" s="4"/>
      <c r="AA989" s="4">
        <f>=ROUNDDOWN({0},0)</f>
      </c>
      <c r="AB989" s="5">
        <v>12</v>
      </c>
      <c r="AC989" s="2" t="s">
        <v>139</v>
      </c>
      <c r="AD989" s="4">
        <v>160</v>
      </c>
      <c r="AE989" s="4">
        <v>600</v>
      </c>
      <c r="AF989" s="6">
        <v>65</v>
      </c>
      <c r="AG989" s="6"/>
      <c r="AH989" s="7">
        <v>0.4194</v>
      </c>
      <c r="AI989" s="4"/>
      <c r="AJ989" s="4">
        <f>=ROUNDDOWN({0},0)</f>
      </c>
      <c r="AK989" s="5"/>
      <c r="AL989" s="2" t="s">
        <v>233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233</v>
      </c>
      <c r="AW989" s="8" t="s">
        <v>233</v>
      </c>
      <c r="AX989" s="4" t="s">
        <v>233</v>
      </c>
      <c r="AY989" s="8" t="s">
        <v>233</v>
      </c>
      <c r="AZ989" s="7" t="s">
        <v>233</v>
      </c>
      <c r="BA989" s="7" t="s">
        <v>233</v>
      </c>
      <c r="BB989" s="7"/>
      <c r="BC989" s="4" t="s">
        <v>233</v>
      </c>
      <c r="BD989" s="8" t="s">
        <v>233</v>
      </c>
      <c r="BE989" s="4" t="s">
        <v>233</v>
      </c>
      <c r="BF989" s="8" t="s">
        <v>233</v>
      </c>
      <c r="BG989" s="7" t="s">
        <v>233</v>
      </c>
      <c r="BH989" s="7" t="s">
        <v>233</v>
      </c>
      <c r="BI989" s="7"/>
      <c r="BJ989" s="4">
        <v>45</v>
      </c>
      <c r="BK989" s="8">
        <v>851.06</v>
      </c>
      <c r="BL989" s="2" t="s">
        <v>981</v>
      </c>
      <c r="BM989" s="7"/>
      <c r="BN989" s="7"/>
      <c r="BO989" s="4"/>
      <c r="BP989" s="8"/>
      <c r="BQ989" s="4"/>
      <c r="BR989" s="8"/>
      <c r="BS989" s="7"/>
      <c r="BT989" s="7"/>
      <c r="BU989" s="2" t="s">
        <v>5013</v>
      </c>
      <c r="BV989" s="2" t="s">
        <v>233</v>
      </c>
      <c r="BW989" s="2" t="s">
        <v>233</v>
      </c>
      <c r="BX989" s="2" t="s">
        <v>624</v>
      </c>
      <c r="BY989" s="2" t="s">
        <v>242</v>
      </c>
      <c r="BZ989" s="2" t="s">
        <v>230</v>
      </c>
      <c r="CA989" s="2" t="s">
        <v>2200</v>
      </c>
      <c r="CB989" s="2" t="s">
        <v>5019</v>
      </c>
      <c r="CC989" s="2" t="s">
        <v>245</v>
      </c>
      <c r="CD989" s="2" t="s">
        <v>233</v>
      </c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>
        <v>160</v>
      </c>
      <c r="DB989" s="4"/>
      <c r="DC989" s="4">
        <v>170</v>
      </c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>
        <v>220</v>
      </c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>
        <v>50</v>
      </c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>
        <v>1</v>
      </c>
      <c r="GD989" s="4"/>
      <c r="GE989" s="4">
        <v>160</v>
      </c>
      <c r="GF989" s="4">
        <v>184</v>
      </c>
      <c r="GG989" s="4">
        <v>144</v>
      </c>
      <c r="GH989" s="4">
        <v>120</v>
      </c>
      <c r="GI989" s="4">
        <v>315</v>
      </c>
      <c r="GJ989" s="4">
        <v>293</v>
      </c>
      <c r="GK989" s="4">
        <v>273</v>
      </c>
      <c r="GL989" s="4">
        <v>256</v>
      </c>
      <c r="GM989" s="4">
        <v>239</v>
      </c>
      <c r="GN989" s="4">
        <v>222</v>
      </c>
      <c r="GO989" s="4">
        <v>208</v>
      </c>
      <c r="GP989" s="4">
        <v>245</v>
      </c>
      <c r="GQ989" s="4">
        <v>229</v>
      </c>
      <c r="GR989" s="4">
        <v>211</v>
      </c>
      <c r="GS989" s="4">
        <v>195</v>
      </c>
      <c r="GT989" s="4">
        <v>178</v>
      </c>
      <c r="GU989" s="4">
        <v>163</v>
      </c>
      <c r="GV989" s="4">
        <v>277</v>
      </c>
      <c r="GW989" s="4">
        <v>262</v>
      </c>
      <c r="GX989" s="4">
        <v>248</v>
      </c>
      <c r="GY989" s="4">
        <v>233</v>
      </c>
      <c r="GZ989" s="4">
        <v>220</v>
      </c>
      <c r="HA989" s="4">
        <v>205</v>
      </c>
      <c r="HB989" s="4">
        <v>191</v>
      </c>
      <c r="HC989" s="20">
        <v>0</v>
      </c>
      <c r="HD989" s="20">
        <v>0</v>
      </c>
      <c r="HE989" s="19">
        <v>2.7</v>
      </c>
      <c r="HF989" s="19">
        <v>6.6</v>
      </c>
      <c r="HG989" s="19">
        <v>6.3</v>
      </c>
      <c r="HH989" s="19">
        <v>5.7</v>
      </c>
      <c r="HI989" s="19">
        <v>16.6</v>
      </c>
      <c r="HJ989" s="19">
        <v>16.3</v>
      </c>
      <c r="HK989" s="19">
        <v>17.1</v>
      </c>
      <c r="HL989" s="19">
        <v>17.1</v>
      </c>
      <c r="HM989" s="19">
        <v>15.9</v>
      </c>
      <c r="HN989" s="19">
        <v>14.8</v>
      </c>
      <c r="HO989" s="19">
        <v>13</v>
      </c>
      <c r="HP989" s="19">
        <v>14.4</v>
      </c>
      <c r="HQ989" s="19">
        <v>14.3</v>
      </c>
      <c r="HR989" s="19">
        <v>13.2</v>
      </c>
      <c r="HS989" s="19">
        <v>12.2</v>
      </c>
      <c r="HT989" s="19">
        <v>11.9</v>
      </c>
      <c r="HU989" s="19">
        <v>10.9</v>
      </c>
      <c r="HV989" s="19">
        <v>19.8</v>
      </c>
      <c r="HW989" s="19">
        <v>18.7</v>
      </c>
      <c r="HX989" s="19">
        <v>17.7</v>
      </c>
      <c r="HY989" s="19">
        <v>16.6</v>
      </c>
      <c r="HZ989" s="19">
        <v>14.7</v>
      </c>
      <c r="IA989" s="19">
        <v>14.6</v>
      </c>
      <c r="IB989" s="19">
        <v>13.6</v>
      </c>
    </row>
    <row r="990">
      <c r="A990" s="2" t="s">
        <v>5020</v>
      </c>
      <c r="B990" s="2" t="s">
        <v>872</v>
      </c>
      <c r="C990" s="2" t="s">
        <v>280</v>
      </c>
      <c r="D990" s="2" t="s">
        <v>884</v>
      </c>
      <c r="E990" s="2" t="s">
        <v>3542</v>
      </c>
      <c r="F990" s="2" t="s">
        <v>5021</v>
      </c>
      <c r="G990" s="2" t="s">
        <v>5022</v>
      </c>
      <c r="H990" s="2" t="s">
        <v>5023</v>
      </c>
      <c r="I990" s="2" t="s">
        <v>5024</v>
      </c>
      <c r="J990" s="2" t="s">
        <v>1052</v>
      </c>
      <c r="K990" s="2" t="s">
        <v>1157</v>
      </c>
      <c r="L990" s="3">
        <v>26.9</v>
      </c>
      <c r="M990" s="3">
        <v>28.24</v>
      </c>
      <c r="N990" s="3">
        <v>54.99</v>
      </c>
      <c r="O990" s="2" t="s">
        <v>230</v>
      </c>
      <c r="P990" s="2" t="s">
        <v>231</v>
      </c>
      <c r="Q990" s="2" t="s">
        <v>232</v>
      </c>
      <c r="R990" s="2" t="s">
        <v>233</v>
      </c>
      <c r="S990" s="2" t="s">
        <v>5025</v>
      </c>
      <c r="T990" s="2" t="s">
        <v>233</v>
      </c>
      <c r="U990" s="2" t="s">
        <v>711</v>
      </c>
      <c r="V990" s="2" t="s">
        <v>236</v>
      </c>
      <c r="W990" s="2" t="s">
        <v>712</v>
      </c>
      <c r="X990" s="2" t="s">
        <v>237</v>
      </c>
      <c r="Y990" s="2" t="s">
        <v>238</v>
      </c>
      <c r="Z990" s="4">
        <v>563</v>
      </c>
      <c r="AA990" s="4">
        <f>=ROUNDDOWN(40.2142857142857,0)</f>
      </c>
      <c r="AB990" s="5">
        <v>14</v>
      </c>
      <c r="AC990" s="2" t="s">
        <v>141</v>
      </c>
      <c r="AD990" s="4">
        <v>30</v>
      </c>
      <c r="AE990" s="4">
        <v>210</v>
      </c>
      <c r="AF990" s="6">
        <v>65</v>
      </c>
      <c r="AG990" s="6">
        <v>48</v>
      </c>
      <c r="AH990" s="7">
        <v>1</v>
      </c>
      <c r="AI990" s="4"/>
      <c r="AJ990" s="4">
        <f>=ROUNDDOWN({0},0)</f>
      </c>
      <c r="AK990" s="5"/>
      <c r="AL990" s="2" t="s">
        <v>233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 t="s">
        <v>233</v>
      </c>
      <c r="BD990" s="8" t="s">
        <v>233</v>
      </c>
      <c r="BE990" s="4" t="s">
        <v>233</v>
      </c>
      <c r="BF990" s="8" t="s">
        <v>233</v>
      </c>
      <c r="BG990" s="7" t="s">
        <v>233</v>
      </c>
      <c r="BH990" s="7" t="s">
        <v>233</v>
      </c>
      <c r="BI990" s="7"/>
      <c r="BJ990" s="4">
        <v>36</v>
      </c>
      <c r="BK990" s="8">
        <v>1083.84</v>
      </c>
      <c r="BL990" s="2" t="s">
        <v>5026</v>
      </c>
      <c r="BM990" s="7"/>
      <c r="BN990" s="7"/>
      <c r="BO990" s="4"/>
      <c r="BP990" s="8"/>
      <c r="BQ990" s="4"/>
      <c r="BR990" s="8"/>
      <c r="BS990" s="7"/>
      <c r="BT990" s="7"/>
      <c r="BU990" s="2" t="s">
        <v>5027</v>
      </c>
      <c r="BV990" s="2" t="s">
        <v>233</v>
      </c>
      <c r="BW990" s="2" t="s">
        <v>233</v>
      </c>
      <c r="BX990" s="2" t="s">
        <v>293</v>
      </c>
      <c r="BY990" s="2" t="s">
        <v>242</v>
      </c>
      <c r="BZ990" s="2" t="s">
        <v>230</v>
      </c>
      <c r="CA990" s="2" t="s">
        <v>243</v>
      </c>
      <c r="CB990" s="2" t="s">
        <v>1102</v>
      </c>
      <c r="CC990" s="2" t="s">
        <v>245</v>
      </c>
      <c r="CD990" s="2" t="s">
        <v>233</v>
      </c>
      <c r="CE990" s="4">
        <v>238</v>
      </c>
      <c r="CF990" s="4">
        <v>130</v>
      </c>
      <c r="CG990" s="4"/>
      <c r="CH990" s="4">
        <v>195</v>
      </c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>
        <v>30</v>
      </c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>
        <v>180</v>
      </c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>
        <v>565</v>
      </c>
      <c r="GD990" s="4">
        <v>424</v>
      </c>
      <c r="GE990" s="4">
        <v>401</v>
      </c>
      <c r="GF990" s="4">
        <v>410</v>
      </c>
      <c r="GG990" s="4">
        <v>382</v>
      </c>
      <c r="GH990" s="4">
        <v>540</v>
      </c>
      <c r="GI990" s="4">
        <v>521</v>
      </c>
      <c r="GJ990" s="4">
        <v>511</v>
      </c>
      <c r="GK990" s="4">
        <v>500</v>
      </c>
      <c r="GL990" s="4">
        <v>485</v>
      </c>
      <c r="GM990" s="4">
        <v>470</v>
      </c>
      <c r="GN990" s="4">
        <v>456</v>
      </c>
      <c r="GO990" s="4">
        <v>442</v>
      </c>
      <c r="GP990" s="4">
        <v>428</v>
      </c>
      <c r="GQ990" s="4">
        <v>414</v>
      </c>
      <c r="GR990" s="4">
        <v>400</v>
      </c>
      <c r="GS990" s="4">
        <v>386</v>
      </c>
      <c r="GT990" s="4">
        <v>371</v>
      </c>
      <c r="GU990" s="4">
        <v>357</v>
      </c>
      <c r="GV990" s="4">
        <v>343</v>
      </c>
      <c r="GW990" s="4">
        <v>329</v>
      </c>
      <c r="GX990" s="4">
        <v>315</v>
      </c>
      <c r="GY990" s="4">
        <v>301</v>
      </c>
      <c r="GZ990" s="4">
        <v>287</v>
      </c>
      <c r="HA990" s="4">
        <v>272</v>
      </c>
      <c r="HB990" s="4">
        <v>259</v>
      </c>
      <c r="HC990" s="19">
        <v>12.6</v>
      </c>
      <c r="HD990" s="19">
        <v>23.8</v>
      </c>
      <c r="HE990" s="19">
        <v>22.8</v>
      </c>
      <c r="HF990" s="19">
        <v>27.5</v>
      </c>
      <c r="HG990" s="19">
        <v>34.7</v>
      </c>
      <c r="HH990" s="19">
        <v>63.9</v>
      </c>
      <c r="HI990" s="19">
        <v>90.3</v>
      </c>
      <c r="HJ990" s="19">
        <v>61.9</v>
      </c>
      <c r="HK990" s="19">
        <v>60.5</v>
      </c>
      <c r="HL990" s="19">
        <v>60.1</v>
      </c>
      <c r="HM990" s="19">
        <v>59.1</v>
      </c>
      <c r="HN990" s="19">
        <v>58.1</v>
      </c>
      <c r="HO990" s="19">
        <v>57.1</v>
      </c>
      <c r="HP990" s="19">
        <v>56.1</v>
      </c>
      <c r="HQ990" s="19">
        <v>55.1</v>
      </c>
      <c r="HR990" s="19">
        <v>54.1</v>
      </c>
      <c r="HS990" s="19">
        <v>53.1</v>
      </c>
      <c r="HT990" s="19">
        <v>52.1</v>
      </c>
      <c r="HU990" s="19">
        <v>51.1</v>
      </c>
      <c r="HV990" s="19">
        <v>50.1</v>
      </c>
      <c r="HW990" s="19">
        <v>49.1</v>
      </c>
      <c r="HX990" s="19">
        <v>29.7</v>
      </c>
      <c r="HY990" s="19">
        <v>21.5</v>
      </c>
      <c r="HZ990" s="19">
        <v>15.5</v>
      </c>
      <c r="IA990" s="19">
        <v>12</v>
      </c>
      <c r="IB990" s="19">
        <v>10</v>
      </c>
    </row>
    <row r="991">
      <c r="A991" s="2" t="s">
        <v>5028</v>
      </c>
      <c r="B991" s="2" t="s">
        <v>872</v>
      </c>
      <c r="C991" s="2" t="s">
        <v>280</v>
      </c>
      <c r="D991" s="2" t="s">
        <v>884</v>
      </c>
      <c r="E991" s="2" t="s">
        <v>3542</v>
      </c>
      <c r="F991" s="2" t="s">
        <v>5021</v>
      </c>
      <c r="G991" s="2" t="s">
        <v>5022</v>
      </c>
      <c r="H991" s="2" t="s">
        <v>5023</v>
      </c>
      <c r="I991" s="2" t="s">
        <v>5024</v>
      </c>
      <c r="J991" s="2" t="s">
        <v>1052</v>
      </c>
      <c r="K991" s="2" t="s">
        <v>534</v>
      </c>
      <c r="L991" s="3">
        <v>26.9</v>
      </c>
      <c r="M991" s="3">
        <v>28.24</v>
      </c>
      <c r="N991" s="3">
        <v>54.99</v>
      </c>
      <c r="O991" s="2" t="s">
        <v>230</v>
      </c>
      <c r="P991" s="2" t="s">
        <v>597</v>
      </c>
      <c r="Q991" s="2" t="s">
        <v>232</v>
      </c>
      <c r="R991" s="2" t="s">
        <v>233</v>
      </c>
      <c r="S991" s="2" t="s">
        <v>5029</v>
      </c>
      <c r="T991" s="2" t="s">
        <v>233</v>
      </c>
      <c r="U991" s="2" t="s">
        <v>711</v>
      </c>
      <c r="V991" s="2" t="s">
        <v>236</v>
      </c>
      <c r="W991" s="2" t="s">
        <v>712</v>
      </c>
      <c r="X991" s="2" t="s">
        <v>237</v>
      </c>
      <c r="Y991" s="2" t="s">
        <v>238</v>
      </c>
      <c r="Z991" s="4">
        <v>304</v>
      </c>
      <c r="AA991" s="4">
        <f>=ROUNDDOWN(38,0)</f>
      </c>
      <c r="AB991" s="5">
        <v>8</v>
      </c>
      <c r="AC991" s="2" t="s">
        <v>154</v>
      </c>
      <c r="AD991" s="4">
        <v>90</v>
      </c>
      <c r="AE991" s="4">
        <v>90</v>
      </c>
      <c r="AF991" s="6">
        <v>65</v>
      </c>
      <c r="AG991" s="6">
        <v>48</v>
      </c>
      <c r="AH991" s="7">
        <v>1</v>
      </c>
      <c r="AI991" s="4"/>
      <c r="AJ991" s="4">
        <f>=ROUNDDOWN({0},0)</f>
      </c>
      <c r="AK991" s="5"/>
      <c r="AL991" s="2" t="s">
        <v>233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233</v>
      </c>
      <c r="AW991" s="8" t="s">
        <v>233</v>
      </c>
      <c r="AX991" s="4" t="s">
        <v>233</v>
      </c>
      <c r="AY991" s="8" t="s">
        <v>233</v>
      </c>
      <c r="AZ991" s="7" t="s">
        <v>233</v>
      </c>
      <c r="BA991" s="7" t="s">
        <v>233</v>
      </c>
      <c r="BB991" s="7"/>
      <c r="BC991" s="4" t="s">
        <v>233</v>
      </c>
      <c r="BD991" s="8" t="s">
        <v>233</v>
      </c>
      <c r="BE991" s="4" t="s">
        <v>233</v>
      </c>
      <c r="BF991" s="8" t="s">
        <v>233</v>
      </c>
      <c r="BG991" s="7" t="s">
        <v>233</v>
      </c>
      <c r="BH991" s="7" t="s">
        <v>233</v>
      </c>
      <c r="BI991" s="7"/>
      <c r="BJ991" s="4">
        <v>15</v>
      </c>
      <c r="BK991" s="8">
        <v>438.64</v>
      </c>
      <c r="BL991" s="2" t="s">
        <v>5030</v>
      </c>
      <c r="BM991" s="7"/>
      <c r="BN991" s="7"/>
      <c r="BO991" s="4"/>
      <c r="BP991" s="8"/>
      <c r="BQ991" s="4"/>
      <c r="BR991" s="8"/>
      <c r="BS991" s="7"/>
      <c r="BT991" s="7"/>
      <c r="BU991" s="2" t="s">
        <v>5027</v>
      </c>
      <c r="BV991" s="2" t="s">
        <v>233</v>
      </c>
      <c r="BW991" s="2" t="s">
        <v>233</v>
      </c>
      <c r="BX991" s="2" t="s">
        <v>293</v>
      </c>
      <c r="BY991" s="2" t="s">
        <v>242</v>
      </c>
      <c r="BZ991" s="2" t="s">
        <v>230</v>
      </c>
      <c r="CA991" s="2" t="s">
        <v>243</v>
      </c>
      <c r="CB991" s="2" t="s">
        <v>1102</v>
      </c>
      <c r="CC991" s="2" t="s">
        <v>245</v>
      </c>
      <c r="CD991" s="2" t="s">
        <v>233</v>
      </c>
      <c r="CE991" s="4">
        <v>211</v>
      </c>
      <c r="CF991" s="4"/>
      <c r="CG991" s="4"/>
      <c r="CH991" s="4">
        <v>93</v>
      </c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>
        <v>90</v>
      </c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>
        <v>307</v>
      </c>
      <c r="GD991" s="4">
        <v>264</v>
      </c>
      <c r="GE991" s="4">
        <v>253</v>
      </c>
      <c r="GF991" s="4">
        <v>238</v>
      </c>
      <c r="GG991" s="4">
        <v>217</v>
      </c>
      <c r="GH991" s="4">
        <v>289</v>
      </c>
      <c r="GI991" s="4">
        <v>274</v>
      </c>
      <c r="GJ991" s="4">
        <v>269</v>
      </c>
      <c r="GK991" s="4">
        <v>263</v>
      </c>
      <c r="GL991" s="4">
        <v>255</v>
      </c>
      <c r="GM991" s="4">
        <v>247</v>
      </c>
      <c r="GN991" s="4">
        <v>239</v>
      </c>
      <c r="GO991" s="4">
        <v>231</v>
      </c>
      <c r="GP991" s="4">
        <v>223</v>
      </c>
      <c r="GQ991" s="4">
        <v>215</v>
      </c>
      <c r="GR991" s="4">
        <v>207</v>
      </c>
      <c r="GS991" s="4">
        <v>199</v>
      </c>
      <c r="GT991" s="4">
        <v>191</v>
      </c>
      <c r="GU991" s="4">
        <v>183</v>
      </c>
      <c r="GV991" s="4">
        <v>175</v>
      </c>
      <c r="GW991" s="4">
        <v>167</v>
      </c>
      <c r="GX991" s="4">
        <v>159</v>
      </c>
      <c r="GY991" s="4">
        <v>151</v>
      </c>
      <c r="GZ991" s="4">
        <v>143</v>
      </c>
      <c r="HA991" s="4">
        <v>135</v>
      </c>
      <c r="HB991" s="4">
        <v>127</v>
      </c>
      <c r="HC991" s="19">
        <v>13.4</v>
      </c>
      <c r="HD991" s="19">
        <v>15.1</v>
      </c>
      <c r="HE991" s="19">
        <v>13.8</v>
      </c>
      <c r="HF991" s="19">
        <v>15.6</v>
      </c>
      <c r="HG991" s="19">
        <v>19.1</v>
      </c>
      <c r="HH991" s="19">
        <v>36.6</v>
      </c>
      <c r="HI991" s="19">
        <v>52.4</v>
      </c>
      <c r="HJ991" s="19">
        <v>36.5</v>
      </c>
      <c r="HK991" s="19">
        <v>35.7</v>
      </c>
      <c r="HL991" s="19">
        <v>34.7</v>
      </c>
      <c r="HM991" s="19">
        <v>33.7</v>
      </c>
      <c r="HN991" s="19">
        <v>32.7</v>
      </c>
      <c r="HO991" s="19">
        <v>31.7</v>
      </c>
      <c r="HP991" s="19">
        <v>30.7</v>
      </c>
      <c r="HQ991" s="19">
        <v>29.7</v>
      </c>
      <c r="HR991" s="19">
        <v>28.7</v>
      </c>
      <c r="HS991" s="19">
        <v>27.7</v>
      </c>
      <c r="HT991" s="19">
        <v>26.7</v>
      </c>
      <c r="HU991" s="19">
        <v>25.7</v>
      </c>
      <c r="HV991" s="19">
        <v>24.7</v>
      </c>
      <c r="HW991" s="19">
        <v>23.7</v>
      </c>
      <c r="HX991" s="19">
        <v>22.7</v>
      </c>
      <c r="HY991" s="19">
        <v>21.7</v>
      </c>
      <c r="HZ991" s="19">
        <v>20.7</v>
      </c>
      <c r="IA991" s="19">
        <v>19.7</v>
      </c>
      <c r="IB991" s="19">
        <v>18.7</v>
      </c>
    </row>
    <row r="992">
      <c r="A992" s="2" t="s">
        <v>5031</v>
      </c>
      <c r="B992" s="2" t="s">
        <v>872</v>
      </c>
      <c r="C992" s="2" t="s">
        <v>280</v>
      </c>
      <c r="D992" s="2" t="s">
        <v>884</v>
      </c>
      <c r="E992" s="2" t="s">
        <v>5032</v>
      </c>
      <c r="F992" s="2" t="s">
        <v>5021</v>
      </c>
      <c r="G992" s="2" t="s">
        <v>5022</v>
      </c>
      <c r="H992" s="2" t="s">
        <v>5023</v>
      </c>
      <c r="I992" s="2" t="s">
        <v>5033</v>
      </c>
      <c r="J992" s="2" t="s">
        <v>256</v>
      </c>
      <c r="K992" s="2" t="s">
        <v>534</v>
      </c>
      <c r="L992" s="3">
        <v>57.6</v>
      </c>
      <c r="M992" s="3">
        <v>60.47</v>
      </c>
      <c r="N992" s="3">
        <v>119.99</v>
      </c>
      <c r="O992" s="2" t="s">
        <v>230</v>
      </c>
      <c r="P992" s="2" t="s">
        <v>231</v>
      </c>
      <c r="Q992" s="2" t="s">
        <v>232</v>
      </c>
      <c r="R992" s="2" t="s">
        <v>233</v>
      </c>
      <c r="S992" s="2" t="s">
        <v>5034</v>
      </c>
      <c r="T992" s="2" t="s">
        <v>233</v>
      </c>
      <c r="U992" s="2" t="s">
        <v>781</v>
      </c>
      <c r="V992" s="2" t="s">
        <v>236</v>
      </c>
      <c r="W992" s="2" t="s">
        <v>712</v>
      </c>
      <c r="X992" s="2" t="s">
        <v>237</v>
      </c>
      <c r="Y992" s="2" t="s">
        <v>5035</v>
      </c>
      <c r="Z992" s="4">
        <v>384</v>
      </c>
      <c r="AA992" s="4">
        <f>=ROUNDDOWN(32,0)</f>
      </c>
      <c r="AB992" s="5">
        <v>12</v>
      </c>
      <c r="AC992" s="2" t="s">
        <v>154</v>
      </c>
      <c r="AD992" s="4">
        <v>90</v>
      </c>
      <c r="AE992" s="4">
        <v>190</v>
      </c>
      <c r="AF992" s="6">
        <v>65</v>
      </c>
      <c r="AG992" s="6">
        <v>48</v>
      </c>
      <c r="AH992" s="7">
        <v>1</v>
      </c>
      <c r="AI992" s="4"/>
      <c r="AJ992" s="4">
        <f>=ROUNDDOWN({0},0)</f>
      </c>
      <c r="AK992" s="5"/>
      <c r="AL992" s="2" t="s">
        <v>233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233</v>
      </c>
      <c r="AW992" s="8" t="s">
        <v>233</v>
      </c>
      <c r="AX992" s="4" t="s">
        <v>233</v>
      </c>
      <c r="AY992" s="8" t="s">
        <v>233</v>
      </c>
      <c r="AZ992" s="7" t="s">
        <v>233</v>
      </c>
      <c r="BA992" s="7" t="s">
        <v>233</v>
      </c>
      <c r="BB992" s="7"/>
      <c r="BC992" s="4" t="s">
        <v>233</v>
      </c>
      <c r="BD992" s="8" t="s">
        <v>233</v>
      </c>
      <c r="BE992" s="4" t="s">
        <v>233</v>
      </c>
      <c r="BF992" s="8" t="s">
        <v>233</v>
      </c>
      <c r="BG992" s="7" t="s">
        <v>233</v>
      </c>
      <c r="BH992" s="7" t="s">
        <v>233</v>
      </c>
      <c r="BI992" s="7"/>
      <c r="BJ992" s="4">
        <v>41</v>
      </c>
      <c r="BK992" s="8">
        <v>2655.81</v>
      </c>
      <c r="BL992" s="2" t="s">
        <v>5036</v>
      </c>
      <c r="BM992" s="7"/>
      <c r="BN992" s="7"/>
      <c r="BO992" s="4"/>
      <c r="BP992" s="8"/>
      <c r="BQ992" s="4"/>
      <c r="BR992" s="8"/>
      <c r="BS992" s="7"/>
      <c r="BT992" s="7"/>
      <c r="BU992" s="2" t="s">
        <v>5037</v>
      </c>
      <c r="BV992" s="2" t="s">
        <v>233</v>
      </c>
      <c r="BW992" s="2" t="s">
        <v>233</v>
      </c>
      <c r="BX992" s="2" t="s">
        <v>241</v>
      </c>
      <c r="BY992" s="2" t="s">
        <v>242</v>
      </c>
      <c r="BZ992" s="2" t="s">
        <v>230</v>
      </c>
      <c r="CA992" s="2" t="s">
        <v>2805</v>
      </c>
      <c r="CB992" s="2" t="s">
        <v>1089</v>
      </c>
      <c r="CC992" s="2" t="s">
        <v>245</v>
      </c>
      <c r="CD992" s="2" t="s">
        <v>233</v>
      </c>
      <c r="CE992" s="4">
        <v>292</v>
      </c>
      <c r="CF992" s="4"/>
      <c r="CG992" s="4"/>
      <c r="CH992" s="4">
        <v>92</v>
      </c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>
        <v>90</v>
      </c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>
        <v>100</v>
      </c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>
        <v>400</v>
      </c>
      <c r="GD992" s="4">
        <v>326</v>
      </c>
      <c r="GE992" s="4">
        <v>308</v>
      </c>
      <c r="GF992" s="4">
        <v>290</v>
      </c>
      <c r="GG992" s="4">
        <v>263</v>
      </c>
      <c r="GH992" s="4">
        <v>332</v>
      </c>
      <c r="GI992" s="4">
        <v>313</v>
      </c>
      <c r="GJ992" s="4">
        <v>304</v>
      </c>
      <c r="GK992" s="4">
        <v>293</v>
      </c>
      <c r="GL992" s="4">
        <v>280</v>
      </c>
      <c r="GM992" s="4">
        <v>268</v>
      </c>
      <c r="GN992" s="4">
        <v>256</v>
      </c>
      <c r="GO992" s="4">
        <v>244</v>
      </c>
      <c r="GP992" s="4">
        <v>232</v>
      </c>
      <c r="GQ992" s="4">
        <v>220</v>
      </c>
      <c r="GR992" s="4">
        <v>308</v>
      </c>
      <c r="GS992" s="4">
        <v>296</v>
      </c>
      <c r="GT992" s="4">
        <v>283</v>
      </c>
      <c r="GU992" s="4">
        <v>271</v>
      </c>
      <c r="GV992" s="4">
        <v>259</v>
      </c>
      <c r="GW992" s="4">
        <v>247</v>
      </c>
      <c r="GX992" s="4">
        <v>235</v>
      </c>
      <c r="GY992" s="4">
        <v>223</v>
      </c>
      <c r="GZ992" s="4">
        <v>211</v>
      </c>
      <c r="HA992" s="4">
        <v>199</v>
      </c>
      <c r="HB992" s="4">
        <v>187</v>
      </c>
      <c r="HC992" s="19">
        <v>11.6</v>
      </c>
      <c r="HD992" s="19">
        <v>15.7</v>
      </c>
      <c r="HE992" s="19">
        <v>14.9</v>
      </c>
      <c r="HF992" s="19">
        <v>15</v>
      </c>
      <c r="HG992" s="19">
        <v>17.2</v>
      </c>
      <c r="HH992" s="19">
        <v>34.1</v>
      </c>
      <c r="HI992" s="19">
        <v>34.7</v>
      </c>
      <c r="HJ992" s="19">
        <v>32.8</v>
      </c>
      <c r="HK992" s="19">
        <v>31.9</v>
      </c>
      <c r="HL992" s="19">
        <v>30.8</v>
      </c>
      <c r="HM992" s="19">
        <v>29.8</v>
      </c>
      <c r="HN992" s="19">
        <v>28.8</v>
      </c>
      <c r="HO992" s="19">
        <v>27.8</v>
      </c>
      <c r="HP992" s="19">
        <v>26.8</v>
      </c>
      <c r="HQ992" s="19">
        <v>25.8</v>
      </c>
      <c r="HR992" s="19">
        <v>30.4</v>
      </c>
      <c r="HS992" s="19">
        <v>29.4</v>
      </c>
      <c r="HT992" s="19">
        <v>28.3</v>
      </c>
      <c r="HU992" s="19">
        <v>27.3</v>
      </c>
      <c r="HV992" s="19">
        <v>26.3</v>
      </c>
      <c r="HW992" s="19">
        <v>25.3</v>
      </c>
      <c r="HX992" s="19">
        <v>24.3</v>
      </c>
      <c r="HY992" s="19">
        <v>23.3</v>
      </c>
      <c r="HZ992" s="19">
        <v>22.3</v>
      </c>
      <c r="IA992" s="19">
        <v>21.3</v>
      </c>
      <c r="IB992" s="19">
        <v>20.3</v>
      </c>
    </row>
    <row r="993">
      <c r="A993" s="2" t="s">
        <v>5038</v>
      </c>
      <c r="B993" s="2" t="s">
        <v>872</v>
      </c>
      <c r="C993" s="2" t="s">
        <v>280</v>
      </c>
      <c r="D993" s="2" t="s">
        <v>884</v>
      </c>
      <c r="E993" s="2" t="s">
        <v>3542</v>
      </c>
      <c r="F993" s="2" t="s">
        <v>5021</v>
      </c>
      <c r="G993" s="2" t="s">
        <v>5022</v>
      </c>
      <c r="H993" s="2" t="s">
        <v>5023</v>
      </c>
      <c r="I993" s="2" t="s">
        <v>5024</v>
      </c>
      <c r="J993" s="2" t="s">
        <v>265</v>
      </c>
      <c r="K993" s="2" t="s">
        <v>5039</v>
      </c>
      <c r="L993" s="3">
        <v>34.55</v>
      </c>
      <c r="M993" s="3">
        <v>36.28</v>
      </c>
      <c r="N993" s="3">
        <v>69.99</v>
      </c>
      <c r="O993" s="2" t="s">
        <v>230</v>
      </c>
      <c r="P993" s="2" t="s">
        <v>597</v>
      </c>
      <c r="Q993" s="2" t="s">
        <v>232</v>
      </c>
      <c r="R993" s="2" t="s">
        <v>233</v>
      </c>
      <c r="S993" s="2" t="s">
        <v>5040</v>
      </c>
      <c r="T993" s="2" t="s">
        <v>233</v>
      </c>
      <c r="U993" s="2" t="s">
        <v>781</v>
      </c>
      <c r="V993" s="2" t="s">
        <v>236</v>
      </c>
      <c r="W993" s="2" t="s">
        <v>712</v>
      </c>
      <c r="X993" s="2" t="s">
        <v>237</v>
      </c>
      <c r="Y993" s="2" t="s">
        <v>2818</v>
      </c>
      <c r="Z993" s="4">
        <v>313</v>
      </c>
      <c r="AA993" s="4">
        <f>=ROUNDDOWN(24.0769230769231,0)</f>
      </c>
      <c r="AB993" s="5">
        <v>13</v>
      </c>
      <c r="AC993" s="2" t="s">
        <v>140</v>
      </c>
      <c r="AD993" s="4">
        <v>210</v>
      </c>
      <c r="AE993" s="4">
        <v>350</v>
      </c>
      <c r="AF993" s="6">
        <v>65</v>
      </c>
      <c r="AG993" s="6">
        <v>48</v>
      </c>
      <c r="AH993" s="7">
        <v>1</v>
      </c>
      <c r="AI993" s="4"/>
      <c r="AJ993" s="4">
        <f>=ROUNDDOWN({0},0)</f>
      </c>
      <c r="AK993" s="5"/>
      <c r="AL993" s="2" t="s">
        <v>233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/>
      <c r="AW993" s="8"/>
      <c r="AX993" s="4"/>
      <c r="AY993" s="8"/>
      <c r="AZ993" s="7"/>
      <c r="BA993" s="7"/>
      <c r="BB993" s="7"/>
      <c r="BC993" s="4" t="s">
        <v>233</v>
      </c>
      <c r="BD993" s="8" t="s">
        <v>233</v>
      </c>
      <c r="BE993" s="4" t="s">
        <v>233</v>
      </c>
      <c r="BF993" s="8" t="s">
        <v>233</v>
      </c>
      <c r="BG993" s="7" t="s">
        <v>233</v>
      </c>
      <c r="BH993" s="7" t="s">
        <v>233</v>
      </c>
      <c r="BI993" s="7"/>
      <c r="BJ993" s="4">
        <v>58</v>
      </c>
      <c r="BK993" s="8">
        <v>2106.81</v>
      </c>
      <c r="BL993" s="2" t="s">
        <v>4147</v>
      </c>
      <c r="BM993" s="7"/>
      <c r="BN993" s="7"/>
      <c r="BO993" s="4"/>
      <c r="BP993" s="8"/>
      <c r="BQ993" s="4"/>
      <c r="BR993" s="8"/>
      <c r="BS993" s="7"/>
      <c r="BT993" s="7"/>
      <c r="BU993" s="2" t="s">
        <v>5027</v>
      </c>
      <c r="BV993" s="2" t="s">
        <v>233</v>
      </c>
      <c r="BW993" s="2" t="s">
        <v>233</v>
      </c>
      <c r="BX993" s="2" t="s">
        <v>293</v>
      </c>
      <c r="BY993" s="2" t="s">
        <v>242</v>
      </c>
      <c r="BZ993" s="2" t="s">
        <v>230</v>
      </c>
      <c r="CA993" s="2" t="s">
        <v>5041</v>
      </c>
      <c r="CB993" s="2" t="s">
        <v>5042</v>
      </c>
      <c r="CC993" s="2" t="s">
        <v>245</v>
      </c>
      <c r="CD993" s="2" t="s">
        <v>233</v>
      </c>
      <c r="CE993" s="4">
        <v>91</v>
      </c>
      <c r="CF993" s="4">
        <v>55</v>
      </c>
      <c r="CG993" s="4"/>
      <c r="CH993" s="4">
        <v>167</v>
      </c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>
        <v>210</v>
      </c>
      <c r="DC993" s="4">
        <v>140</v>
      </c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>
        <v>320</v>
      </c>
      <c r="GD993" s="4">
        <v>259</v>
      </c>
      <c r="GE993" s="4">
        <v>447</v>
      </c>
      <c r="GF993" s="4">
        <v>563</v>
      </c>
      <c r="GG993" s="4">
        <v>528</v>
      </c>
      <c r="GH993" s="4">
        <v>500</v>
      </c>
      <c r="GI993" s="4">
        <v>476</v>
      </c>
      <c r="GJ993" s="4">
        <v>467</v>
      </c>
      <c r="GK993" s="4">
        <v>457</v>
      </c>
      <c r="GL993" s="4">
        <v>443</v>
      </c>
      <c r="GM993" s="4">
        <v>430</v>
      </c>
      <c r="GN993" s="4">
        <v>417</v>
      </c>
      <c r="GO993" s="4">
        <v>404</v>
      </c>
      <c r="GP993" s="4">
        <v>391</v>
      </c>
      <c r="GQ993" s="4">
        <v>378</v>
      </c>
      <c r="GR993" s="4">
        <v>365</v>
      </c>
      <c r="GS993" s="4">
        <v>352</v>
      </c>
      <c r="GT993" s="4">
        <v>338</v>
      </c>
      <c r="GU993" s="4">
        <v>325</v>
      </c>
      <c r="GV993" s="4">
        <v>312</v>
      </c>
      <c r="GW993" s="4">
        <v>299</v>
      </c>
      <c r="GX993" s="4">
        <v>287</v>
      </c>
      <c r="GY993" s="4">
        <v>275</v>
      </c>
      <c r="GZ993" s="4">
        <v>263</v>
      </c>
      <c r="HA993" s="4">
        <v>251</v>
      </c>
      <c r="HB993" s="4">
        <v>239</v>
      </c>
      <c r="HC993" s="19">
        <v>14.7</v>
      </c>
      <c r="HD993" s="19">
        <v>15.5</v>
      </c>
      <c r="HE993" s="19">
        <v>32.1</v>
      </c>
      <c r="HF993" s="19">
        <v>41.1</v>
      </c>
      <c r="HG993" s="19">
        <v>50</v>
      </c>
      <c r="HH993" s="19">
        <v>64.2</v>
      </c>
      <c r="HI993" s="19">
        <v>92</v>
      </c>
      <c r="HJ993" s="19">
        <v>62.5</v>
      </c>
      <c r="HK993" s="19">
        <v>61.7</v>
      </c>
      <c r="HL993" s="19">
        <v>60.7</v>
      </c>
      <c r="HM993" s="19">
        <v>59.7</v>
      </c>
      <c r="HN993" s="19">
        <v>58.7</v>
      </c>
      <c r="HO993" s="19">
        <v>57.7</v>
      </c>
      <c r="HP993" s="19">
        <v>56.7</v>
      </c>
      <c r="HQ993" s="19">
        <v>55.7</v>
      </c>
      <c r="HR993" s="19">
        <v>54.7</v>
      </c>
      <c r="HS993" s="19">
        <v>53.7</v>
      </c>
      <c r="HT993" s="19">
        <v>32.6</v>
      </c>
      <c r="HU993" s="19">
        <v>23.5</v>
      </c>
      <c r="HV993" s="19">
        <v>18.2</v>
      </c>
      <c r="HW993" s="19">
        <v>12.9</v>
      </c>
      <c r="HX993" s="19">
        <v>12</v>
      </c>
      <c r="HY993" s="19">
        <v>11.5</v>
      </c>
      <c r="HZ993" s="19">
        <v>11</v>
      </c>
      <c r="IA993" s="19">
        <v>10.5</v>
      </c>
      <c r="IB993" s="19">
        <v>10</v>
      </c>
    </row>
    <row r="994">
      <c r="A994" s="2" t="s">
        <v>5043</v>
      </c>
      <c r="B994" s="2" t="s">
        <v>872</v>
      </c>
      <c r="C994" s="2" t="s">
        <v>280</v>
      </c>
      <c r="D994" s="2" t="s">
        <v>884</v>
      </c>
      <c r="E994" s="2" t="s">
        <v>3542</v>
      </c>
      <c r="F994" s="2" t="s">
        <v>5021</v>
      </c>
      <c r="G994" s="2" t="s">
        <v>5022</v>
      </c>
      <c r="H994" s="2" t="s">
        <v>5023</v>
      </c>
      <c r="I994" s="2" t="s">
        <v>5024</v>
      </c>
      <c r="J994" s="2" t="s">
        <v>1052</v>
      </c>
      <c r="K994" s="2" t="s">
        <v>870</v>
      </c>
      <c r="L994" s="3">
        <v>26.9</v>
      </c>
      <c r="M994" s="3">
        <v>28.24</v>
      </c>
      <c r="N994" s="3">
        <v>54.99</v>
      </c>
      <c r="O994" s="2" t="s">
        <v>230</v>
      </c>
      <c r="P994" s="2" t="s">
        <v>597</v>
      </c>
      <c r="Q994" s="2" t="s">
        <v>232</v>
      </c>
      <c r="R994" s="2" t="s">
        <v>233</v>
      </c>
      <c r="S994" s="2" t="s">
        <v>5044</v>
      </c>
      <c r="T994" s="2" t="s">
        <v>233</v>
      </c>
      <c r="U994" s="2" t="s">
        <v>711</v>
      </c>
      <c r="V994" s="2" t="s">
        <v>236</v>
      </c>
      <c r="W994" s="2" t="s">
        <v>712</v>
      </c>
      <c r="X994" s="2" t="s">
        <v>237</v>
      </c>
      <c r="Y994" s="2" t="s">
        <v>2739</v>
      </c>
      <c r="Z994" s="4">
        <v>228</v>
      </c>
      <c r="AA994" s="4">
        <f>=ROUNDDOWN(22.8,0)</f>
      </c>
      <c r="AB994" s="5">
        <v>10</v>
      </c>
      <c r="AC994" s="2" t="s">
        <v>154</v>
      </c>
      <c r="AD994" s="4">
        <v>330</v>
      </c>
      <c r="AE994" s="4">
        <v>330</v>
      </c>
      <c r="AF994" s="6">
        <v>65</v>
      </c>
      <c r="AG994" s="6">
        <v>48</v>
      </c>
      <c r="AH994" s="7">
        <v>1</v>
      </c>
      <c r="AI994" s="4"/>
      <c r="AJ994" s="4">
        <f>=ROUNDDOWN({0},0)</f>
      </c>
      <c r="AK994" s="5"/>
      <c r="AL994" s="2" t="s">
        <v>233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 t="s">
        <v>233</v>
      </c>
      <c r="BD994" s="8" t="s">
        <v>233</v>
      </c>
      <c r="BE994" s="4" t="s">
        <v>233</v>
      </c>
      <c r="BF994" s="8" t="s">
        <v>233</v>
      </c>
      <c r="BG994" s="7" t="s">
        <v>233</v>
      </c>
      <c r="BH994" s="7" t="s">
        <v>233</v>
      </c>
      <c r="BI994" s="7"/>
      <c r="BJ994" s="4">
        <v>18</v>
      </c>
      <c r="BK994" s="8">
        <v>496.7</v>
      </c>
      <c r="BL994" s="2" t="s">
        <v>4341</v>
      </c>
      <c r="BM994" s="7"/>
      <c r="BN994" s="7"/>
      <c r="BO994" s="4"/>
      <c r="BP994" s="8"/>
      <c r="BQ994" s="4"/>
      <c r="BR994" s="8"/>
      <c r="BS994" s="7"/>
      <c r="BT994" s="7"/>
      <c r="BU994" s="2" t="s">
        <v>5027</v>
      </c>
      <c r="BV994" s="2" t="s">
        <v>233</v>
      </c>
      <c r="BW994" s="2" t="s">
        <v>233</v>
      </c>
      <c r="BX994" s="2" t="s">
        <v>293</v>
      </c>
      <c r="BY994" s="2" t="s">
        <v>242</v>
      </c>
      <c r="BZ994" s="2" t="s">
        <v>230</v>
      </c>
      <c r="CA994" s="2" t="s">
        <v>3515</v>
      </c>
      <c r="CB994" s="2" t="s">
        <v>5045</v>
      </c>
      <c r="CC994" s="2" t="s">
        <v>245</v>
      </c>
      <c r="CD994" s="2" t="s">
        <v>233</v>
      </c>
      <c r="CE994" s="4">
        <v>152</v>
      </c>
      <c r="CF994" s="4">
        <v>19</v>
      </c>
      <c r="CG994" s="4"/>
      <c r="CH994" s="4">
        <v>57</v>
      </c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>
        <v>330</v>
      </c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>
        <v>233</v>
      </c>
      <c r="GD994" s="4">
        <v>198</v>
      </c>
      <c r="GE994" s="4">
        <v>184</v>
      </c>
      <c r="GF994" s="4">
        <v>171</v>
      </c>
      <c r="GG994" s="4">
        <v>149</v>
      </c>
      <c r="GH994" s="4">
        <v>462</v>
      </c>
      <c r="GI994" s="4">
        <v>447</v>
      </c>
      <c r="GJ994" s="4">
        <v>440</v>
      </c>
      <c r="GK994" s="4">
        <v>433</v>
      </c>
      <c r="GL994" s="4">
        <v>422</v>
      </c>
      <c r="GM994" s="4">
        <v>412</v>
      </c>
      <c r="GN994" s="4">
        <v>402</v>
      </c>
      <c r="GO994" s="4">
        <v>392</v>
      </c>
      <c r="GP994" s="4">
        <v>382</v>
      </c>
      <c r="GQ994" s="4">
        <v>372</v>
      </c>
      <c r="GR994" s="4">
        <v>362</v>
      </c>
      <c r="GS994" s="4">
        <v>352</v>
      </c>
      <c r="GT994" s="4">
        <v>341</v>
      </c>
      <c r="GU994" s="4">
        <v>332</v>
      </c>
      <c r="GV994" s="4">
        <v>323</v>
      </c>
      <c r="GW994" s="4">
        <v>314</v>
      </c>
      <c r="GX994" s="4">
        <v>305</v>
      </c>
      <c r="GY994" s="4">
        <v>296</v>
      </c>
      <c r="GZ994" s="4">
        <v>287</v>
      </c>
      <c r="HA994" s="4">
        <v>278</v>
      </c>
      <c r="HB994" s="4">
        <v>269</v>
      </c>
      <c r="HC994" s="19">
        <v>12.9</v>
      </c>
      <c r="HD994" s="19">
        <v>12.1</v>
      </c>
      <c r="HE994" s="19">
        <v>11.4</v>
      </c>
      <c r="HF994" s="19">
        <v>12.9</v>
      </c>
      <c r="HG994" s="19">
        <v>16.3</v>
      </c>
      <c r="HH994" s="19">
        <v>97.7</v>
      </c>
      <c r="HI994" s="19">
        <v>97</v>
      </c>
      <c r="HJ994" s="19">
        <v>95.6</v>
      </c>
      <c r="HK994" s="19">
        <v>95</v>
      </c>
      <c r="HL994" s="19">
        <v>93.9</v>
      </c>
      <c r="HM994" s="19">
        <v>92.9</v>
      </c>
      <c r="HN994" s="19">
        <v>91.9</v>
      </c>
      <c r="HO994" s="19">
        <v>90.9</v>
      </c>
      <c r="HP994" s="19">
        <v>60.6</v>
      </c>
      <c r="HQ994" s="19">
        <v>45.6</v>
      </c>
      <c r="HR994" s="19">
        <v>30.8</v>
      </c>
      <c r="HS994" s="19">
        <v>23.2</v>
      </c>
      <c r="HT994" s="19">
        <v>19</v>
      </c>
      <c r="HU994" s="19">
        <v>18.5</v>
      </c>
      <c r="HV994" s="19">
        <v>18</v>
      </c>
      <c r="HW994" s="19">
        <v>17.5</v>
      </c>
      <c r="HX994" s="19">
        <v>17</v>
      </c>
      <c r="HY994" s="19">
        <v>16.5</v>
      </c>
      <c r="HZ994" s="19">
        <v>16</v>
      </c>
      <c r="IA994" s="19">
        <v>15.5</v>
      </c>
      <c r="IB994" s="19">
        <v>15</v>
      </c>
    </row>
    <row r="995">
      <c r="A995" s="2" t="s">
        <v>5046</v>
      </c>
      <c r="B995" s="2" t="s">
        <v>872</v>
      </c>
      <c r="C995" s="2" t="s">
        <v>280</v>
      </c>
      <c r="D995" s="2" t="s">
        <v>884</v>
      </c>
      <c r="E995" s="2" t="s">
        <v>3542</v>
      </c>
      <c r="F995" s="2" t="s">
        <v>5021</v>
      </c>
      <c r="G995" s="2" t="s">
        <v>5022</v>
      </c>
      <c r="H995" s="2" t="s">
        <v>5023</v>
      </c>
      <c r="I995" s="2" t="s">
        <v>5024</v>
      </c>
      <c r="J995" s="2" t="s">
        <v>1052</v>
      </c>
      <c r="K995" s="2" t="s">
        <v>266</v>
      </c>
      <c r="L995" s="3">
        <v>26.9</v>
      </c>
      <c r="M995" s="3">
        <v>28.24</v>
      </c>
      <c r="N995" s="3">
        <v>54.99</v>
      </c>
      <c r="O995" s="2" t="s">
        <v>230</v>
      </c>
      <c r="P995" s="2" t="s">
        <v>597</v>
      </c>
      <c r="Q995" s="2" t="s">
        <v>232</v>
      </c>
      <c r="R995" s="2" t="s">
        <v>233</v>
      </c>
      <c r="S995" s="2" t="s">
        <v>5047</v>
      </c>
      <c r="T995" s="2" t="s">
        <v>233</v>
      </c>
      <c r="U995" s="2" t="s">
        <v>711</v>
      </c>
      <c r="V995" s="2" t="s">
        <v>236</v>
      </c>
      <c r="W995" s="2" t="s">
        <v>712</v>
      </c>
      <c r="X995" s="2" t="s">
        <v>237</v>
      </c>
      <c r="Y995" s="2" t="s">
        <v>238</v>
      </c>
      <c r="Z995" s="4">
        <v>228</v>
      </c>
      <c r="AA995" s="4">
        <f>=ROUNDDOWN(32.5714285714286,0)</f>
      </c>
      <c r="AB995" s="5">
        <v>7</v>
      </c>
      <c r="AC995" s="2" t="s">
        <v>140</v>
      </c>
      <c r="AD995" s="4">
        <v>120</v>
      </c>
      <c r="AE995" s="4">
        <v>190</v>
      </c>
      <c r="AF995" s="6">
        <v>65</v>
      </c>
      <c r="AG995" s="6">
        <v>48</v>
      </c>
      <c r="AH995" s="7">
        <v>1</v>
      </c>
      <c r="AI995" s="4"/>
      <c r="AJ995" s="4">
        <f>=ROUNDDOWN({0},0)</f>
      </c>
      <c r="AK995" s="5"/>
      <c r="AL995" s="2" t="s">
        <v>233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/>
      <c r="AW995" s="8"/>
      <c r="AX995" s="4"/>
      <c r="AY995" s="8"/>
      <c r="AZ995" s="7"/>
      <c r="BA995" s="7"/>
      <c r="BB995" s="7"/>
      <c r="BC995" s="4" t="s">
        <v>233</v>
      </c>
      <c r="BD995" s="8" t="s">
        <v>233</v>
      </c>
      <c r="BE995" s="4" t="s">
        <v>233</v>
      </c>
      <c r="BF995" s="8" t="s">
        <v>233</v>
      </c>
      <c r="BG995" s="7" t="s">
        <v>233</v>
      </c>
      <c r="BH995" s="7" t="s">
        <v>233</v>
      </c>
      <c r="BI995" s="7"/>
      <c r="BJ995" s="4">
        <v>7</v>
      </c>
      <c r="BK995" s="8">
        <v>213.57</v>
      </c>
      <c r="BL995" s="2" t="s">
        <v>5048</v>
      </c>
      <c r="BM995" s="7"/>
      <c r="BN995" s="7"/>
      <c r="BO995" s="4"/>
      <c r="BP995" s="8"/>
      <c r="BQ995" s="4"/>
      <c r="BR995" s="8"/>
      <c r="BS995" s="7"/>
      <c r="BT995" s="7"/>
      <c r="BU995" s="2" t="s">
        <v>5027</v>
      </c>
      <c r="BV995" s="2" t="s">
        <v>233</v>
      </c>
      <c r="BW995" s="2" t="s">
        <v>233</v>
      </c>
      <c r="BX995" s="2" t="s">
        <v>293</v>
      </c>
      <c r="BY995" s="2" t="s">
        <v>242</v>
      </c>
      <c r="BZ995" s="2" t="s">
        <v>230</v>
      </c>
      <c r="CA995" s="2" t="s">
        <v>243</v>
      </c>
      <c r="CB995" s="2" t="s">
        <v>5049</v>
      </c>
      <c r="CC995" s="2" t="s">
        <v>245</v>
      </c>
      <c r="CD995" s="2" t="s">
        <v>233</v>
      </c>
      <c r="CE995" s="4">
        <v>112</v>
      </c>
      <c r="CF995" s="4"/>
      <c r="CG995" s="4"/>
      <c r="CH995" s="4">
        <v>116</v>
      </c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>
        <v>120</v>
      </c>
      <c r="DC995" s="4">
        <v>70</v>
      </c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>
        <v>229</v>
      </c>
      <c r="GD995" s="4">
        <v>165</v>
      </c>
      <c r="GE995" s="4">
        <v>273</v>
      </c>
      <c r="GF995" s="4">
        <v>333</v>
      </c>
      <c r="GG995" s="4">
        <v>319</v>
      </c>
      <c r="GH995" s="4">
        <v>308</v>
      </c>
      <c r="GI995" s="4">
        <v>298</v>
      </c>
      <c r="GJ995" s="4">
        <v>292</v>
      </c>
      <c r="GK995" s="4">
        <v>286</v>
      </c>
      <c r="GL995" s="4">
        <v>279</v>
      </c>
      <c r="GM995" s="4">
        <v>272</v>
      </c>
      <c r="GN995" s="4">
        <v>265</v>
      </c>
      <c r="GO995" s="4">
        <v>258</v>
      </c>
      <c r="GP995" s="4">
        <v>251</v>
      </c>
      <c r="GQ995" s="4">
        <v>244</v>
      </c>
      <c r="GR995" s="4">
        <v>237</v>
      </c>
      <c r="GS995" s="4">
        <v>230</v>
      </c>
      <c r="GT995" s="4">
        <v>223</v>
      </c>
      <c r="GU995" s="4">
        <v>216</v>
      </c>
      <c r="GV995" s="4">
        <v>209</v>
      </c>
      <c r="GW995" s="4">
        <v>202</v>
      </c>
      <c r="GX995" s="4">
        <v>195</v>
      </c>
      <c r="GY995" s="4">
        <v>188</v>
      </c>
      <c r="GZ995" s="4">
        <v>181</v>
      </c>
      <c r="HA995" s="4">
        <v>174</v>
      </c>
      <c r="HB995" s="4">
        <v>167</v>
      </c>
      <c r="HC995" s="19">
        <v>12.5</v>
      </c>
      <c r="HD995" s="19">
        <v>20.6</v>
      </c>
      <c r="HE995" s="19">
        <v>27.5</v>
      </c>
      <c r="HF995" s="19">
        <v>33.2</v>
      </c>
      <c r="HG995" s="19">
        <v>42.3</v>
      </c>
      <c r="HH995" s="19">
        <v>44.5</v>
      </c>
      <c r="HI995" s="19">
        <v>48.3</v>
      </c>
      <c r="HJ995" s="19">
        <v>42.1</v>
      </c>
      <c r="HK995" s="19">
        <v>41.2</v>
      </c>
      <c r="HL995" s="19">
        <v>40.2</v>
      </c>
      <c r="HM995" s="19">
        <v>39.2</v>
      </c>
      <c r="HN995" s="19">
        <v>38.2</v>
      </c>
      <c r="HO995" s="19">
        <v>37.2</v>
      </c>
      <c r="HP995" s="19">
        <v>36.2</v>
      </c>
      <c r="HQ995" s="19">
        <v>35.2</v>
      </c>
      <c r="HR995" s="19">
        <v>34.2</v>
      </c>
      <c r="HS995" s="19">
        <v>33.2</v>
      </c>
      <c r="HT995" s="19">
        <v>32.2</v>
      </c>
      <c r="HU995" s="19">
        <v>31.2</v>
      </c>
      <c r="HV995" s="19">
        <v>30.2</v>
      </c>
      <c r="HW995" s="19">
        <v>29.2</v>
      </c>
      <c r="HX995" s="19">
        <v>28.2</v>
      </c>
      <c r="HY995" s="19">
        <v>27.2</v>
      </c>
      <c r="HZ995" s="9"/>
      <c r="IA995" s="19">
        <v>25.2</v>
      </c>
      <c r="IB995" s="19">
        <v>24.2</v>
      </c>
    </row>
    <row r="996">
      <c r="A996" s="2" t="s">
        <v>5050</v>
      </c>
      <c r="B996" s="2" t="s">
        <v>938</v>
      </c>
      <c r="C996" s="2" t="s">
        <v>1411</v>
      </c>
      <c r="D996" s="2" t="s">
        <v>972</v>
      </c>
      <c r="E996" s="2" t="s">
        <v>973</v>
      </c>
      <c r="F996" s="2" t="s">
        <v>5051</v>
      </c>
      <c r="G996" s="2" t="s">
        <v>5052</v>
      </c>
      <c r="H996" s="2" t="s">
        <v>5053</v>
      </c>
      <c r="I996" s="2" t="s">
        <v>5054</v>
      </c>
      <c r="J996" s="2" t="s">
        <v>978</v>
      </c>
      <c r="K996" s="2" t="s">
        <v>5055</v>
      </c>
      <c r="L996" s="3">
        <v>19.2</v>
      </c>
      <c r="M996" s="3">
        <v>20.16</v>
      </c>
      <c r="N996" s="3">
        <v>39.99</v>
      </c>
      <c r="O996" s="2" t="s">
        <v>230</v>
      </c>
      <c r="P996" s="2" t="s">
        <v>586</v>
      </c>
      <c r="Q996" s="2" t="s">
        <v>232</v>
      </c>
      <c r="R996" s="2" t="s">
        <v>233</v>
      </c>
      <c r="S996" s="2" t="s">
        <v>5056</v>
      </c>
      <c r="T996" s="2" t="s">
        <v>233</v>
      </c>
      <c r="U996" s="2" t="s">
        <v>329</v>
      </c>
      <c r="V996" s="2" t="s">
        <v>782</v>
      </c>
      <c r="W996" s="2" t="s">
        <v>237</v>
      </c>
      <c r="X996" s="2" t="s">
        <v>1324</v>
      </c>
      <c r="Y996" s="2" t="s">
        <v>5057</v>
      </c>
      <c r="Z996" s="4">
        <v>1292</v>
      </c>
      <c r="AA996" s="4">
        <f>=ROUNDDOWN(36.9142857142857,0)</f>
      </c>
      <c r="AB996" s="5">
        <v>35</v>
      </c>
      <c r="AC996" s="2" t="s">
        <v>140</v>
      </c>
      <c r="AD996" s="4">
        <v>860</v>
      </c>
      <c r="AE996" s="4">
        <v>860</v>
      </c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233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233</v>
      </c>
      <c r="AW996" s="8" t="s">
        <v>233</v>
      </c>
      <c r="AX996" s="4" t="s">
        <v>233</v>
      </c>
      <c r="AY996" s="8" t="s">
        <v>233</v>
      </c>
      <c r="AZ996" s="7" t="s">
        <v>233</v>
      </c>
      <c r="BA996" s="7" t="s">
        <v>233</v>
      </c>
      <c r="BB996" s="7"/>
      <c r="BC996" s="4" t="s">
        <v>233</v>
      </c>
      <c r="BD996" s="8" t="s">
        <v>233</v>
      </c>
      <c r="BE996" s="4" t="s">
        <v>233</v>
      </c>
      <c r="BF996" s="8" t="s">
        <v>233</v>
      </c>
      <c r="BG996" s="7" t="s">
        <v>233</v>
      </c>
      <c r="BH996" s="7" t="s">
        <v>233</v>
      </c>
      <c r="BI996" s="7"/>
      <c r="BJ996" s="4">
        <v>91</v>
      </c>
      <c r="BK996" s="8">
        <v>2017.51</v>
      </c>
      <c r="BL996" s="2" t="s">
        <v>1287</v>
      </c>
      <c r="BM996" s="7"/>
      <c r="BN996" s="7"/>
      <c r="BO996" s="4"/>
      <c r="BP996" s="8"/>
      <c r="BQ996" s="4"/>
      <c r="BR996" s="8"/>
      <c r="BS996" s="7"/>
      <c r="BT996" s="7"/>
      <c r="BU996" s="2" t="s">
        <v>5058</v>
      </c>
      <c r="BV996" s="2" t="s">
        <v>233</v>
      </c>
      <c r="BW996" s="2" t="s">
        <v>233</v>
      </c>
      <c r="BX996" s="2" t="s">
        <v>293</v>
      </c>
      <c r="BY996" s="2" t="s">
        <v>242</v>
      </c>
      <c r="BZ996" s="2" t="s">
        <v>230</v>
      </c>
      <c r="CA996" s="2" t="s">
        <v>1162</v>
      </c>
      <c r="CB996" s="2" t="s">
        <v>1643</v>
      </c>
      <c r="CC996" s="2" t="s">
        <v>245</v>
      </c>
      <c r="CD996" s="2" t="s">
        <v>233</v>
      </c>
      <c r="CE996" s="4">
        <v>1292</v>
      </c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>
        <v>860</v>
      </c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>
        <v>1316</v>
      </c>
      <c r="GD996" s="4">
        <v>1240</v>
      </c>
      <c r="GE996" s="4">
        <v>2057</v>
      </c>
      <c r="GF996" s="4">
        <v>2017</v>
      </c>
      <c r="GG996" s="4">
        <v>1971</v>
      </c>
      <c r="GH996" s="4">
        <v>1931</v>
      </c>
      <c r="GI996" s="4">
        <v>1885</v>
      </c>
      <c r="GJ996" s="4">
        <v>1850</v>
      </c>
      <c r="GK996" s="4">
        <v>1812</v>
      </c>
      <c r="GL996" s="4">
        <v>1777</v>
      </c>
      <c r="GM996" s="4">
        <v>1738</v>
      </c>
      <c r="GN996" s="4">
        <v>1703</v>
      </c>
      <c r="GO996" s="4">
        <v>1668</v>
      </c>
      <c r="GP996" s="4">
        <v>1633</v>
      </c>
      <c r="GQ996" s="4">
        <v>1598</v>
      </c>
      <c r="GR996" s="4">
        <v>1563</v>
      </c>
      <c r="GS996" s="4">
        <v>1528</v>
      </c>
      <c r="GT996" s="4">
        <v>1490</v>
      </c>
      <c r="GU996" s="4">
        <v>1455</v>
      </c>
      <c r="GV996" s="4">
        <v>1420</v>
      </c>
      <c r="GW996" s="4">
        <v>1385</v>
      </c>
      <c r="GX996" s="4">
        <v>1350</v>
      </c>
      <c r="GY996" s="4">
        <v>1315</v>
      </c>
      <c r="GZ996" s="4">
        <v>1280</v>
      </c>
      <c r="HA996" s="4">
        <v>1241</v>
      </c>
      <c r="HB996" s="4">
        <v>1206</v>
      </c>
      <c r="HC996" s="19">
        <v>25.8</v>
      </c>
      <c r="HD996" s="19">
        <v>29.5</v>
      </c>
      <c r="HE996" s="19">
        <v>47.8</v>
      </c>
      <c r="HF996" s="19">
        <v>48</v>
      </c>
      <c r="HG996" s="19">
        <v>49.3</v>
      </c>
      <c r="HH996" s="19">
        <v>50.8</v>
      </c>
      <c r="HI996" s="19">
        <v>50.9</v>
      </c>
      <c r="HJ996" s="19">
        <v>50</v>
      </c>
      <c r="HK996" s="19">
        <v>50.3</v>
      </c>
      <c r="HL996" s="19">
        <v>49.4</v>
      </c>
      <c r="HM996" s="19">
        <v>49.7</v>
      </c>
      <c r="HN996" s="19">
        <v>48.7</v>
      </c>
      <c r="HO996" s="19">
        <v>47.7</v>
      </c>
      <c r="HP996" s="19">
        <v>45.4</v>
      </c>
      <c r="HQ996" s="19">
        <v>44.4</v>
      </c>
      <c r="HR996" s="19">
        <v>43.4</v>
      </c>
      <c r="HS996" s="19">
        <v>42.4</v>
      </c>
      <c r="HT996" s="19">
        <v>42.6</v>
      </c>
      <c r="HU996" s="19">
        <v>41.6</v>
      </c>
      <c r="HV996" s="19">
        <v>40.6</v>
      </c>
      <c r="HW996" s="19">
        <v>38.5</v>
      </c>
      <c r="HX996" s="19">
        <v>37.5</v>
      </c>
      <c r="HY996" s="19">
        <v>36.5</v>
      </c>
      <c r="HZ996" s="19">
        <v>35.6</v>
      </c>
      <c r="IA996" s="19">
        <v>35.5</v>
      </c>
      <c r="IB996" s="19">
        <v>33.5</v>
      </c>
    </row>
    <row r="997">
      <c r="A997" s="2" t="s">
        <v>5059</v>
      </c>
      <c r="B997" s="2" t="s">
        <v>923</v>
      </c>
      <c r="C997" s="2" t="s">
        <v>1411</v>
      </c>
      <c r="D997" s="2" t="s">
        <v>951</v>
      </c>
      <c r="E997" s="2" t="s">
        <v>952</v>
      </c>
      <c r="F997" s="2" t="s">
        <v>5051</v>
      </c>
      <c r="G997" s="2" t="s">
        <v>5052</v>
      </c>
      <c r="H997" s="2" t="s">
        <v>5053</v>
      </c>
      <c r="I997" s="2" t="s">
        <v>5060</v>
      </c>
      <c r="J997" s="2" t="s">
        <v>954</v>
      </c>
      <c r="K997" s="2" t="s">
        <v>5055</v>
      </c>
      <c r="L997" s="3">
        <v>13.2</v>
      </c>
      <c r="M997" s="3">
        <v>13.86</v>
      </c>
      <c r="N997" s="3">
        <v>29.99</v>
      </c>
      <c r="O997" s="2" t="s">
        <v>230</v>
      </c>
      <c r="P997" s="2" t="s">
        <v>231</v>
      </c>
      <c r="Q997" s="2" t="s">
        <v>232</v>
      </c>
      <c r="R997" s="2" t="s">
        <v>233</v>
      </c>
      <c r="S997" s="2" t="s">
        <v>5056</v>
      </c>
      <c r="T997" s="2" t="s">
        <v>233</v>
      </c>
      <c r="U997" s="2" t="s">
        <v>233</v>
      </c>
      <c r="V997" s="2" t="s">
        <v>782</v>
      </c>
      <c r="W997" s="2" t="s">
        <v>620</v>
      </c>
      <c r="X997" s="2" t="s">
        <v>233</v>
      </c>
      <c r="Y997" s="2" t="s">
        <v>5061</v>
      </c>
      <c r="Z997" s="4">
        <v>444</v>
      </c>
      <c r="AA997" s="4">
        <f>=ROUNDDOWN(17.0769230769231,0)</f>
      </c>
      <c r="AB997" s="5">
        <v>26</v>
      </c>
      <c r="AC997" s="2" t="s">
        <v>140</v>
      </c>
      <c r="AD997" s="4">
        <v>420</v>
      </c>
      <c r="AE997" s="4">
        <v>420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233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233</v>
      </c>
      <c r="AW997" s="8" t="s">
        <v>233</v>
      </c>
      <c r="AX997" s="4" t="s">
        <v>233</v>
      </c>
      <c r="AY997" s="8" t="s">
        <v>233</v>
      </c>
      <c r="AZ997" s="7" t="s">
        <v>233</v>
      </c>
      <c r="BA997" s="7" t="s">
        <v>233</v>
      </c>
      <c r="BB997" s="7"/>
      <c r="BC997" s="4" t="s">
        <v>233</v>
      </c>
      <c r="BD997" s="8" t="s">
        <v>233</v>
      </c>
      <c r="BE997" s="4" t="s">
        <v>233</v>
      </c>
      <c r="BF997" s="8" t="s">
        <v>233</v>
      </c>
      <c r="BG997" s="7" t="s">
        <v>233</v>
      </c>
      <c r="BH997" s="7" t="s">
        <v>233</v>
      </c>
      <c r="BI997" s="7"/>
      <c r="BJ997" s="4">
        <v>68</v>
      </c>
      <c r="BK997" s="8">
        <v>977.98</v>
      </c>
      <c r="BL997" s="2" t="s">
        <v>5062</v>
      </c>
      <c r="BM997" s="7"/>
      <c r="BN997" s="7"/>
      <c r="BO997" s="4"/>
      <c r="BP997" s="8"/>
      <c r="BQ997" s="4"/>
      <c r="BR997" s="8"/>
      <c r="BS997" s="7"/>
      <c r="BT997" s="7"/>
      <c r="BU997" s="2" t="s">
        <v>5063</v>
      </c>
      <c r="BV997" s="2" t="s">
        <v>233</v>
      </c>
      <c r="BW997" s="2" t="s">
        <v>233</v>
      </c>
      <c r="BX997" s="2" t="s">
        <v>241</v>
      </c>
      <c r="BY997" s="2" t="s">
        <v>242</v>
      </c>
      <c r="BZ997" s="2" t="s">
        <v>230</v>
      </c>
      <c r="CA997" s="2" t="s">
        <v>5064</v>
      </c>
      <c r="CB997" s="2" t="s">
        <v>3296</v>
      </c>
      <c r="CC997" s="2" t="s">
        <v>245</v>
      </c>
      <c r="CD997" s="2" t="s">
        <v>233</v>
      </c>
      <c r="CE997" s="4">
        <v>444</v>
      </c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>
        <v>420</v>
      </c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>
        <v>452</v>
      </c>
      <c r="GD997" s="4">
        <v>404</v>
      </c>
      <c r="GE997" s="4">
        <v>778</v>
      </c>
      <c r="GF997" s="4">
        <v>739</v>
      </c>
      <c r="GG997" s="4">
        <v>673</v>
      </c>
      <c r="GH997" s="4">
        <v>624</v>
      </c>
      <c r="GI997" s="4">
        <v>575</v>
      </c>
      <c r="GJ997" s="4">
        <v>551</v>
      </c>
      <c r="GK997" s="4">
        <v>537</v>
      </c>
      <c r="GL997" s="4">
        <v>508</v>
      </c>
      <c r="GM997" s="4">
        <v>482</v>
      </c>
      <c r="GN997" s="4">
        <v>456</v>
      </c>
      <c r="GO997" s="4">
        <v>430</v>
      </c>
      <c r="GP997" s="4">
        <v>404</v>
      </c>
      <c r="GQ997" s="4">
        <v>378</v>
      </c>
      <c r="GR997" s="4">
        <v>352</v>
      </c>
      <c r="GS997" s="4">
        <v>326</v>
      </c>
      <c r="GT997" s="4">
        <v>297</v>
      </c>
      <c r="GU997" s="4">
        <v>271</v>
      </c>
      <c r="GV997" s="4">
        <v>245</v>
      </c>
      <c r="GW997" s="4">
        <v>219</v>
      </c>
      <c r="GX997" s="4">
        <v>193</v>
      </c>
      <c r="GY997" s="4">
        <v>167</v>
      </c>
      <c r="GZ997" s="4">
        <v>141</v>
      </c>
      <c r="HA997" s="4">
        <v>115</v>
      </c>
      <c r="HB997" s="4">
        <v>89</v>
      </c>
      <c r="HC997" s="19">
        <v>9</v>
      </c>
      <c r="HD997" s="19">
        <v>8.1</v>
      </c>
      <c r="HE997" s="19">
        <v>15.3</v>
      </c>
      <c r="HF997" s="19">
        <v>15.7</v>
      </c>
      <c r="HG997" s="19">
        <v>19.8</v>
      </c>
      <c r="HH997" s="19">
        <v>21.5</v>
      </c>
      <c r="HI997" s="19">
        <v>25</v>
      </c>
      <c r="HJ997" s="19">
        <v>23</v>
      </c>
      <c r="HK997" s="19">
        <v>19.9</v>
      </c>
      <c r="HL997" s="19">
        <v>19.5</v>
      </c>
      <c r="HM997" s="19">
        <v>18.5</v>
      </c>
      <c r="HN997" s="19">
        <v>17.5</v>
      </c>
      <c r="HO997" s="19">
        <v>16.5</v>
      </c>
      <c r="HP997" s="19">
        <v>15</v>
      </c>
      <c r="HQ997" s="19">
        <v>14</v>
      </c>
      <c r="HR997" s="19">
        <v>13</v>
      </c>
      <c r="HS997" s="19">
        <v>12.1</v>
      </c>
      <c r="HT997" s="19">
        <v>11.4</v>
      </c>
      <c r="HU997" s="19">
        <v>10.4</v>
      </c>
      <c r="HV997" s="19">
        <v>9.4</v>
      </c>
      <c r="HW997" s="19">
        <v>8.4</v>
      </c>
      <c r="HX997" s="19">
        <v>7.4</v>
      </c>
      <c r="HY997" s="19">
        <v>6.4</v>
      </c>
      <c r="HZ997" s="19">
        <v>5.4</v>
      </c>
      <c r="IA997" s="19">
        <v>4.4</v>
      </c>
      <c r="IB997" s="19">
        <v>3.4</v>
      </c>
    </row>
    <row r="998">
      <c r="A998" s="2" t="s">
        <v>5065</v>
      </c>
      <c r="B998" s="2" t="s">
        <v>825</v>
      </c>
      <c r="C998" s="2" t="s">
        <v>1411</v>
      </c>
      <c r="D998" s="2" t="s">
        <v>261</v>
      </c>
      <c r="E998" s="2" t="s">
        <v>603</v>
      </c>
      <c r="F998" s="2" t="s">
        <v>5051</v>
      </c>
      <c r="G998" s="2" t="s">
        <v>5052</v>
      </c>
      <c r="H998" s="2" t="s">
        <v>5053</v>
      </c>
      <c r="I998" s="2" t="s">
        <v>5066</v>
      </c>
      <c r="J998" s="2" t="s">
        <v>275</v>
      </c>
      <c r="K998" s="2" t="s">
        <v>4174</v>
      </c>
      <c r="L998" s="3">
        <v>45.36</v>
      </c>
      <c r="M998" s="3">
        <v>47.63</v>
      </c>
      <c r="N998" s="3">
        <v>89.99</v>
      </c>
      <c r="O998" s="2" t="s">
        <v>230</v>
      </c>
      <c r="P998" s="2" t="s">
        <v>597</v>
      </c>
      <c r="Q998" s="2" t="s">
        <v>232</v>
      </c>
      <c r="R998" s="2" t="s">
        <v>233</v>
      </c>
      <c r="S998" s="2" t="s">
        <v>5067</v>
      </c>
      <c r="T998" s="2" t="s">
        <v>469</v>
      </c>
      <c r="U998" s="2" t="s">
        <v>608</v>
      </c>
      <c r="V998" s="2" t="s">
        <v>782</v>
      </c>
      <c r="W998" s="2" t="s">
        <v>620</v>
      </c>
      <c r="X998" s="2" t="s">
        <v>288</v>
      </c>
      <c r="Y998" s="2" t="s">
        <v>5061</v>
      </c>
      <c r="Z998" s="4">
        <v>546</v>
      </c>
      <c r="AA998" s="4">
        <f>=ROUNDDOWN(49.6363636363636,0)</f>
      </c>
      <c r="AB998" s="5">
        <v>11</v>
      </c>
      <c r="AC998" s="2" t="s">
        <v>2887</v>
      </c>
      <c r="AD998" s="4">
        <v>60</v>
      </c>
      <c r="AE998" s="4">
        <v>60</v>
      </c>
      <c r="AF998" s="6">
        <v>64</v>
      </c>
      <c r="AG998" s="6">
        <v>47</v>
      </c>
      <c r="AH998" s="7">
        <v>1</v>
      </c>
      <c r="AI998" s="4"/>
      <c r="AJ998" s="4">
        <f>=ROUNDDOWN({0},0)</f>
      </c>
      <c r="AK998" s="5"/>
      <c r="AL998" s="2" t="s">
        <v>233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/>
      <c r="AW998" s="8"/>
      <c r="AX998" s="4"/>
      <c r="AY998" s="8"/>
      <c r="AZ998" s="7"/>
      <c r="BA998" s="7"/>
      <c r="BB998" s="7"/>
      <c r="BC998" s="4" t="s">
        <v>233</v>
      </c>
      <c r="BD998" s="8" t="s">
        <v>233</v>
      </c>
      <c r="BE998" s="4" t="s">
        <v>233</v>
      </c>
      <c r="BF998" s="8" t="s">
        <v>233</v>
      </c>
      <c r="BG998" s="7" t="s">
        <v>233</v>
      </c>
      <c r="BH998" s="7" t="s">
        <v>233</v>
      </c>
      <c r="BI998" s="7"/>
      <c r="BJ998" s="4">
        <v>33</v>
      </c>
      <c r="BK998" s="8">
        <v>1667.24</v>
      </c>
      <c r="BL998" s="2" t="s">
        <v>5068</v>
      </c>
      <c r="BM998" s="7"/>
      <c r="BN998" s="7"/>
      <c r="BO998" s="4"/>
      <c r="BP998" s="8"/>
      <c r="BQ998" s="4"/>
      <c r="BR998" s="8"/>
      <c r="BS998" s="7"/>
      <c r="BT998" s="7"/>
      <c r="BU998" s="2" t="s">
        <v>5069</v>
      </c>
      <c r="BV998" s="2" t="s">
        <v>233</v>
      </c>
      <c r="BW998" s="2" t="s">
        <v>233</v>
      </c>
      <c r="BX998" s="2" t="s">
        <v>293</v>
      </c>
      <c r="BY998" s="2" t="s">
        <v>242</v>
      </c>
      <c r="BZ998" s="2" t="s">
        <v>230</v>
      </c>
      <c r="CA998" s="2" t="s">
        <v>5070</v>
      </c>
      <c r="CB998" s="2" t="s">
        <v>3415</v>
      </c>
      <c r="CC998" s="2" t="s">
        <v>245</v>
      </c>
      <c r="CD998" s="2" t="s">
        <v>233</v>
      </c>
      <c r="CE998" s="4">
        <v>165</v>
      </c>
      <c r="CF998" s="4">
        <v>258</v>
      </c>
      <c r="CG998" s="4"/>
      <c r="CH998" s="4">
        <v>123</v>
      </c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>
        <v>60</v>
      </c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>
        <v>549</v>
      </c>
      <c r="GD998" s="4">
        <v>516</v>
      </c>
      <c r="GE998" s="4">
        <v>502</v>
      </c>
      <c r="GF998" s="4">
        <v>488</v>
      </c>
      <c r="GG998" s="4">
        <v>462</v>
      </c>
      <c r="GH998" s="4">
        <v>445</v>
      </c>
      <c r="GI998" s="4">
        <v>426</v>
      </c>
      <c r="GJ998" s="4">
        <v>414</v>
      </c>
      <c r="GK998" s="4">
        <v>404</v>
      </c>
      <c r="GL998" s="4">
        <v>392</v>
      </c>
      <c r="GM998" s="4">
        <v>381</v>
      </c>
      <c r="GN998" s="4">
        <v>370</v>
      </c>
      <c r="GO998" s="4">
        <v>359</v>
      </c>
      <c r="GP998" s="4">
        <v>408</v>
      </c>
      <c r="GQ998" s="4">
        <v>397</v>
      </c>
      <c r="GR998" s="4">
        <v>386</v>
      </c>
      <c r="GS998" s="4">
        <v>375</v>
      </c>
      <c r="GT998" s="4">
        <v>363</v>
      </c>
      <c r="GU998" s="4">
        <v>352</v>
      </c>
      <c r="GV998" s="4">
        <v>341</v>
      </c>
      <c r="GW998" s="4">
        <v>330</v>
      </c>
      <c r="GX998" s="4">
        <v>319</v>
      </c>
      <c r="GY998" s="4">
        <v>308</v>
      </c>
      <c r="GZ998" s="4">
        <v>297</v>
      </c>
      <c r="HA998" s="4">
        <v>286</v>
      </c>
      <c r="HB998" s="4">
        <v>275</v>
      </c>
      <c r="HC998" s="19">
        <v>23.6</v>
      </c>
      <c r="HD998" s="19">
        <v>26.9</v>
      </c>
      <c r="HE998" s="19">
        <v>25</v>
      </c>
      <c r="HF998" s="19">
        <v>24.3</v>
      </c>
      <c r="HG998" s="19">
        <v>30.6</v>
      </c>
      <c r="HH998" s="19">
        <v>29.3</v>
      </c>
      <c r="HI998" s="19">
        <v>35.9</v>
      </c>
      <c r="HJ998" s="19">
        <v>34.9</v>
      </c>
      <c r="HK998" s="19">
        <v>33.9</v>
      </c>
      <c r="HL998" s="19">
        <v>32.9</v>
      </c>
      <c r="HM998" s="19">
        <v>31.9</v>
      </c>
      <c r="HN998" s="19">
        <v>30.9</v>
      </c>
      <c r="HO998" s="19">
        <v>29.9</v>
      </c>
      <c r="HP998" s="19">
        <v>32.6</v>
      </c>
      <c r="HQ998" s="19">
        <v>31.6</v>
      </c>
      <c r="HR998" s="19">
        <v>30.6</v>
      </c>
      <c r="HS998" s="19">
        <v>29.6</v>
      </c>
      <c r="HT998" s="19">
        <v>28.6</v>
      </c>
      <c r="HU998" s="19">
        <v>27.6</v>
      </c>
      <c r="HV998" s="19">
        <v>26.6</v>
      </c>
      <c r="HW998" s="19">
        <v>25.6</v>
      </c>
      <c r="HX998" s="19">
        <v>24.6</v>
      </c>
      <c r="HY998" s="19">
        <v>23.6</v>
      </c>
      <c r="HZ998" s="19">
        <v>22.6</v>
      </c>
      <c r="IA998" s="19">
        <v>21.6</v>
      </c>
      <c r="IB998" s="19">
        <v>20.6</v>
      </c>
    </row>
    <row r="999">
      <c r="A999" s="2" t="s">
        <v>5071</v>
      </c>
      <c r="B999" s="2" t="s">
        <v>825</v>
      </c>
      <c r="C999" s="2" t="s">
        <v>1411</v>
      </c>
      <c r="D999" s="2" t="s">
        <v>774</v>
      </c>
      <c r="E999" s="2" t="s">
        <v>827</v>
      </c>
      <c r="F999" s="2" t="s">
        <v>5051</v>
      </c>
      <c r="G999" s="2" t="s">
        <v>5052</v>
      </c>
      <c r="H999" s="2" t="s">
        <v>5053</v>
      </c>
      <c r="I999" s="2" t="s">
        <v>5072</v>
      </c>
      <c r="J999" s="2" t="s">
        <v>265</v>
      </c>
      <c r="K999" s="2" t="s">
        <v>5073</v>
      </c>
      <c r="L999" s="3">
        <v>31.28</v>
      </c>
      <c r="M999" s="3">
        <v>32.84</v>
      </c>
      <c r="N999" s="3">
        <v>67.99</v>
      </c>
      <c r="O999" s="2" t="s">
        <v>230</v>
      </c>
      <c r="P999" s="2" t="s">
        <v>231</v>
      </c>
      <c r="Q999" s="2" t="s">
        <v>232</v>
      </c>
      <c r="R999" s="2" t="s">
        <v>233</v>
      </c>
      <c r="S999" s="2" t="s">
        <v>5074</v>
      </c>
      <c r="T999" s="2" t="s">
        <v>469</v>
      </c>
      <c r="U999" s="2" t="s">
        <v>608</v>
      </c>
      <c r="V999" s="2" t="s">
        <v>782</v>
      </c>
      <c r="W999" s="2" t="s">
        <v>620</v>
      </c>
      <c r="X999" s="2" t="s">
        <v>288</v>
      </c>
      <c r="Y999" s="2" t="s">
        <v>1633</v>
      </c>
      <c r="Z999" s="4">
        <v>649</v>
      </c>
      <c r="AA999" s="4">
        <f>=ROUNDDOWN(64.9,0)</f>
      </c>
      <c r="AB999" s="5">
        <v>10</v>
      </c>
      <c r="AC999" s="2" t="s">
        <v>233</v>
      </c>
      <c r="AD999" s="4"/>
      <c r="AE999" s="4"/>
      <c r="AF999" s="6">
        <v>64</v>
      </c>
      <c r="AG999" s="6">
        <v>47</v>
      </c>
      <c r="AH999" s="7">
        <v>1</v>
      </c>
      <c r="AI999" s="4"/>
      <c r="AJ999" s="4">
        <f>=ROUNDDOWN({0},0)</f>
      </c>
      <c r="AK999" s="5"/>
      <c r="AL999" s="2" t="s">
        <v>233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233</v>
      </c>
      <c r="AW999" s="8" t="s">
        <v>233</v>
      </c>
      <c r="AX999" s="4" t="s">
        <v>233</v>
      </c>
      <c r="AY999" s="8" t="s">
        <v>233</v>
      </c>
      <c r="AZ999" s="7" t="s">
        <v>233</v>
      </c>
      <c r="BA999" s="7" t="s">
        <v>233</v>
      </c>
      <c r="BB999" s="7"/>
      <c r="BC999" s="4" t="s">
        <v>233</v>
      </c>
      <c r="BD999" s="8" t="s">
        <v>233</v>
      </c>
      <c r="BE999" s="4" t="s">
        <v>233</v>
      </c>
      <c r="BF999" s="8" t="s">
        <v>233</v>
      </c>
      <c r="BG999" s="7" t="s">
        <v>233</v>
      </c>
      <c r="BH999" s="7" t="s">
        <v>233</v>
      </c>
      <c r="BI999" s="7"/>
      <c r="BJ999" s="4">
        <v>32</v>
      </c>
      <c r="BK999" s="8">
        <v>1048.91</v>
      </c>
      <c r="BL999" s="2" t="s">
        <v>5075</v>
      </c>
      <c r="BM999" s="7"/>
      <c r="BN999" s="7"/>
      <c r="BO999" s="4"/>
      <c r="BP999" s="8"/>
      <c r="BQ999" s="4"/>
      <c r="BR999" s="8"/>
      <c r="BS999" s="7"/>
      <c r="BT999" s="7"/>
      <c r="BU999" s="2" t="s">
        <v>5076</v>
      </c>
      <c r="BV999" s="2" t="s">
        <v>233</v>
      </c>
      <c r="BW999" s="2" t="s">
        <v>233</v>
      </c>
      <c r="BX999" s="2" t="s">
        <v>241</v>
      </c>
      <c r="BY999" s="2" t="s">
        <v>242</v>
      </c>
      <c r="BZ999" s="2" t="s">
        <v>230</v>
      </c>
      <c r="CA999" s="2" t="s">
        <v>5077</v>
      </c>
      <c r="CB999" s="2" t="s">
        <v>5078</v>
      </c>
      <c r="CC999" s="2" t="s">
        <v>245</v>
      </c>
      <c r="CD999" s="2" t="s">
        <v>233</v>
      </c>
      <c r="CE999" s="4">
        <v>288</v>
      </c>
      <c r="CF999" s="4"/>
      <c r="CG999" s="4"/>
      <c r="CH999" s="4">
        <v>361</v>
      </c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>
        <v>651</v>
      </c>
      <c r="GD999" s="4">
        <v>587</v>
      </c>
      <c r="GE999" s="4">
        <v>571</v>
      </c>
      <c r="GF999" s="4">
        <v>555</v>
      </c>
      <c r="GG999" s="4">
        <v>523</v>
      </c>
      <c r="GH999" s="4">
        <v>501</v>
      </c>
      <c r="GI999" s="4">
        <v>476</v>
      </c>
      <c r="GJ999" s="4">
        <v>460</v>
      </c>
      <c r="GK999" s="4">
        <v>449</v>
      </c>
      <c r="GL999" s="4">
        <v>438</v>
      </c>
      <c r="GM999" s="4">
        <v>428</v>
      </c>
      <c r="GN999" s="4">
        <v>418</v>
      </c>
      <c r="GO999" s="4">
        <v>408</v>
      </c>
      <c r="GP999" s="4">
        <v>398</v>
      </c>
      <c r="GQ999" s="4">
        <v>388</v>
      </c>
      <c r="GR999" s="4">
        <v>378</v>
      </c>
      <c r="GS999" s="4">
        <v>368</v>
      </c>
      <c r="GT999" s="4">
        <v>357</v>
      </c>
      <c r="GU999" s="4">
        <v>347</v>
      </c>
      <c r="GV999" s="4">
        <v>337</v>
      </c>
      <c r="GW999" s="4">
        <v>327</v>
      </c>
      <c r="GX999" s="4">
        <v>317</v>
      </c>
      <c r="GY999" s="4">
        <v>307</v>
      </c>
      <c r="GZ999" s="4">
        <v>297</v>
      </c>
      <c r="HA999" s="4">
        <v>287</v>
      </c>
      <c r="HB999" s="4">
        <v>279</v>
      </c>
      <c r="HC999" s="19">
        <v>31.6</v>
      </c>
      <c r="HD999" s="19">
        <v>42.4</v>
      </c>
      <c r="HE999" s="19">
        <v>35.1</v>
      </c>
      <c r="HF999" s="19">
        <v>34.4</v>
      </c>
      <c r="HG999" s="19">
        <v>48.5</v>
      </c>
      <c r="HH999" s="19">
        <v>48.3</v>
      </c>
      <c r="HI999" s="19">
        <v>88.4</v>
      </c>
      <c r="HJ999" s="19">
        <v>88.6</v>
      </c>
      <c r="HK999" s="19">
        <v>87.5</v>
      </c>
      <c r="HL999" s="19">
        <v>86.5</v>
      </c>
      <c r="HM999" s="19">
        <v>85.5</v>
      </c>
      <c r="HN999" s="19">
        <v>84.5</v>
      </c>
      <c r="HO999" s="19">
        <v>83.5</v>
      </c>
      <c r="HP999" s="19">
        <v>82.5</v>
      </c>
      <c r="HQ999" s="19">
        <v>81.5</v>
      </c>
      <c r="HR999" s="19">
        <v>80.5</v>
      </c>
      <c r="HS999" s="19">
        <v>79.5</v>
      </c>
      <c r="HT999" s="19">
        <v>78.4</v>
      </c>
      <c r="HU999" s="19">
        <v>77.4</v>
      </c>
      <c r="HV999" s="19">
        <v>76.4</v>
      </c>
      <c r="HW999" s="19">
        <v>75.4</v>
      </c>
      <c r="HX999" s="19">
        <v>50.4</v>
      </c>
      <c r="HY999" s="19">
        <v>37.7</v>
      </c>
      <c r="HZ999" s="19">
        <v>25.2</v>
      </c>
      <c r="IA999" s="19">
        <v>20.7</v>
      </c>
      <c r="IB999" s="19">
        <v>20</v>
      </c>
    </row>
    <row r="1000">
      <c r="A1000" s="2" t="s">
        <v>5079</v>
      </c>
      <c r="B1000" s="2" t="s">
        <v>825</v>
      </c>
      <c r="C1000" s="2" t="s">
        <v>1411</v>
      </c>
      <c r="D1000" s="2" t="s">
        <v>774</v>
      </c>
      <c r="E1000" s="2" t="s">
        <v>827</v>
      </c>
      <c r="F1000" s="2" t="s">
        <v>5051</v>
      </c>
      <c r="G1000" s="2" t="s">
        <v>5052</v>
      </c>
      <c r="H1000" s="2" t="s">
        <v>5053</v>
      </c>
      <c r="I1000" s="2" t="s">
        <v>5072</v>
      </c>
      <c r="J1000" s="2" t="s">
        <v>275</v>
      </c>
      <c r="K1000" s="2" t="s">
        <v>5073</v>
      </c>
      <c r="L1000" s="3">
        <v>35.88</v>
      </c>
      <c r="M1000" s="3">
        <v>37.67</v>
      </c>
      <c r="N1000" s="3">
        <v>77.99</v>
      </c>
      <c r="O1000" s="2" t="s">
        <v>230</v>
      </c>
      <c r="P1000" s="2" t="s">
        <v>231</v>
      </c>
      <c r="Q1000" s="2" t="s">
        <v>232</v>
      </c>
      <c r="R1000" s="2" t="s">
        <v>233</v>
      </c>
      <c r="S1000" s="2" t="s">
        <v>5074</v>
      </c>
      <c r="T1000" s="2" t="s">
        <v>469</v>
      </c>
      <c r="U1000" s="2" t="s">
        <v>608</v>
      </c>
      <c r="V1000" s="2" t="s">
        <v>782</v>
      </c>
      <c r="W1000" s="2" t="s">
        <v>620</v>
      </c>
      <c r="X1000" s="2" t="s">
        <v>288</v>
      </c>
      <c r="Y1000" s="2" t="s">
        <v>1633</v>
      </c>
      <c r="Z1000" s="4">
        <v>468</v>
      </c>
      <c r="AA1000" s="4">
        <f>=ROUNDDOWN(58.5,0)</f>
      </c>
      <c r="AB1000" s="5">
        <v>8</v>
      </c>
      <c r="AC1000" s="2" t="s">
        <v>233</v>
      </c>
      <c r="AD1000" s="4"/>
      <c r="AE1000" s="4"/>
      <c r="AF1000" s="6">
        <v>64</v>
      </c>
      <c r="AG1000" s="6">
        <v>47</v>
      </c>
      <c r="AH1000" s="7">
        <v>1</v>
      </c>
      <c r="AI1000" s="4"/>
      <c r="AJ1000" s="4">
        <f>=ROUNDDOWN({0},0)</f>
      </c>
      <c r="AK1000" s="5"/>
      <c r="AL1000" s="2" t="s">
        <v>233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233</v>
      </c>
      <c r="AW1000" s="8" t="s">
        <v>233</v>
      </c>
      <c r="AX1000" s="4" t="s">
        <v>233</v>
      </c>
      <c r="AY1000" s="8" t="s">
        <v>233</v>
      </c>
      <c r="AZ1000" s="7" t="s">
        <v>233</v>
      </c>
      <c r="BA1000" s="7" t="s">
        <v>233</v>
      </c>
      <c r="BB1000" s="7"/>
      <c r="BC1000" s="4" t="s">
        <v>233</v>
      </c>
      <c r="BD1000" s="8" t="s">
        <v>233</v>
      </c>
      <c r="BE1000" s="4" t="s">
        <v>233</v>
      </c>
      <c r="BF1000" s="8" t="s">
        <v>233</v>
      </c>
      <c r="BG1000" s="7" t="s">
        <v>233</v>
      </c>
      <c r="BH1000" s="7" t="s">
        <v>233</v>
      </c>
      <c r="BI1000" s="7"/>
      <c r="BJ1000" s="4">
        <v>35</v>
      </c>
      <c r="BK1000" s="8">
        <v>1352.85</v>
      </c>
      <c r="BL1000" s="2" t="s">
        <v>5080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5076</v>
      </c>
      <c r="BV1000" s="2" t="s">
        <v>233</v>
      </c>
      <c r="BW1000" s="2" t="s">
        <v>233</v>
      </c>
      <c r="BX1000" s="2" t="s">
        <v>241</v>
      </c>
      <c r="BY1000" s="2" t="s">
        <v>242</v>
      </c>
      <c r="BZ1000" s="2" t="s">
        <v>230</v>
      </c>
      <c r="CA1000" s="2" t="s">
        <v>5077</v>
      </c>
      <c r="CB1000" s="2" t="s">
        <v>5078</v>
      </c>
      <c r="CC1000" s="2" t="s">
        <v>245</v>
      </c>
      <c r="CD1000" s="2" t="s">
        <v>233</v>
      </c>
      <c r="CE1000" s="4">
        <v>335</v>
      </c>
      <c r="CF1000" s="4"/>
      <c r="CG1000" s="4"/>
      <c r="CH1000" s="4">
        <v>133</v>
      </c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>
        <v>532</v>
      </c>
      <c r="GD1000" s="4">
        <v>493</v>
      </c>
      <c r="GE1000" s="4">
        <v>480</v>
      </c>
      <c r="GF1000" s="4">
        <v>467</v>
      </c>
      <c r="GG1000" s="4">
        <v>441</v>
      </c>
      <c r="GH1000" s="4">
        <v>423</v>
      </c>
      <c r="GI1000" s="4">
        <v>402</v>
      </c>
      <c r="GJ1000" s="4">
        <v>389</v>
      </c>
      <c r="GK1000" s="4">
        <v>379</v>
      </c>
      <c r="GL1000" s="4">
        <v>371</v>
      </c>
      <c r="GM1000" s="4">
        <v>363</v>
      </c>
      <c r="GN1000" s="4">
        <v>355</v>
      </c>
      <c r="GO1000" s="4">
        <v>347</v>
      </c>
      <c r="GP1000" s="4">
        <v>339</v>
      </c>
      <c r="GQ1000" s="4">
        <v>331</v>
      </c>
      <c r="GR1000" s="4">
        <v>323</v>
      </c>
      <c r="GS1000" s="4">
        <v>315</v>
      </c>
      <c r="GT1000" s="4">
        <v>307</v>
      </c>
      <c r="GU1000" s="4">
        <v>299</v>
      </c>
      <c r="GV1000" s="4">
        <v>291</v>
      </c>
      <c r="GW1000" s="4">
        <v>283</v>
      </c>
      <c r="GX1000" s="4">
        <v>275</v>
      </c>
      <c r="GY1000" s="4">
        <v>267</v>
      </c>
      <c r="GZ1000" s="4">
        <v>259</v>
      </c>
      <c r="HA1000" s="4">
        <v>251</v>
      </c>
      <c r="HB1000" s="4">
        <v>243</v>
      </c>
      <c r="HC1000" s="19">
        <v>22.9</v>
      </c>
      <c r="HD1000" s="19">
        <v>25.8</v>
      </c>
      <c r="HE1000" s="19">
        <v>23.9</v>
      </c>
      <c r="HF1000" s="19">
        <v>23.3</v>
      </c>
      <c r="HG1000" s="19">
        <v>27.5</v>
      </c>
      <c r="HH1000" s="19">
        <v>30.7</v>
      </c>
      <c r="HI1000" s="19">
        <v>37.9</v>
      </c>
      <c r="HJ1000" s="19">
        <v>47.8</v>
      </c>
      <c r="HK1000" s="19">
        <v>46.4</v>
      </c>
      <c r="HL1000" s="19">
        <v>45.4</v>
      </c>
      <c r="HM1000" s="19">
        <v>44.4</v>
      </c>
      <c r="HN1000" s="19">
        <v>43.4</v>
      </c>
      <c r="HO1000" s="19">
        <v>42.4</v>
      </c>
      <c r="HP1000" s="19">
        <v>41.4</v>
      </c>
      <c r="HQ1000" s="19">
        <v>40.4</v>
      </c>
      <c r="HR1000" s="19">
        <v>39.4</v>
      </c>
      <c r="HS1000" s="19">
        <v>38.4</v>
      </c>
      <c r="HT1000" s="19">
        <v>37.4</v>
      </c>
      <c r="HU1000" s="19">
        <v>36.4</v>
      </c>
      <c r="HV1000" s="19">
        <v>35.4</v>
      </c>
      <c r="HW1000" s="19">
        <v>34.4</v>
      </c>
      <c r="HX1000" s="19">
        <v>33.4</v>
      </c>
      <c r="HY1000" s="19">
        <v>32.4</v>
      </c>
      <c r="HZ1000" s="19">
        <v>31.4</v>
      </c>
      <c r="IA1000" s="19">
        <v>30.4</v>
      </c>
      <c r="IB1000" s="19">
        <v>29.4</v>
      </c>
    </row>
    <row r="1001">
      <c r="A1001" s="2" t="s">
        <v>5081</v>
      </c>
      <c r="B1001" s="2" t="s">
        <v>825</v>
      </c>
      <c r="C1001" s="2" t="s">
        <v>1411</v>
      </c>
      <c r="D1001" s="2" t="s">
        <v>261</v>
      </c>
      <c r="E1001" s="2" t="s">
        <v>603</v>
      </c>
      <c r="F1001" s="2" t="s">
        <v>5051</v>
      </c>
      <c r="G1001" s="2" t="s">
        <v>5052</v>
      </c>
      <c r="H1001" s="2" t="s">
        <v>5053</v>
      </c>
      <c r="I1001" s="2" t="s">
        <v>5066</v>
      </c>
      <c r="J1001" s="2" t="s">
        <v>275</v>
      </c>
      <c r="K1001" s="2" t="s">
        <v>5082</v>
      </c>
      <c r="L1001" s="3">
        <v>45.36</v>
      </c>
      <c r="M1001" s="3">
        <v>47.63</v>
      </c>
      <c r="N1001" s="3">
        <v>89.99</v>
      </c>
      <c r="O1001" s="2" t="s">
        <v>230</v>
      </c>
      <c r="P1001" s="2" t="s">
        <v>597</v>
      </c>
      <c r="Q1001" s="2" t="s">
        <v>232</v>
      </c>
      <c r="R1001" s="2" t="s">
        <v>233</v>
      </c>
      <c r="S1001" s="2" t="s">
        <v>5083</v>
      </c>
      <c r="T1001" s="2" t="s">
        <v>469</v>
      </c>
      <c r="U1001" s="2" t="s">
        <v>608</v>
      </c>
      <c r="V1001" s="2" t="s">
        <v>782</v>
      </c>
      <c r="W1001" s="2" t="s">
        <v>620</v>
      </c>
      <c r="X1001" s="2" t="s">
        <v>288</v>
      </c>
      <c r="Y1001" s="2" t="s">
        <v>4852</v>
      </c>
      <c r="Z1001" s="4">
        <v>266</v>
      </c>
      <c r="AA1001" s="4">
        <f>=ROUNDDOWN(13.3,0)</f>
      </c>
      <c r="AB1001" s="5">
        <v>20</v>
      </c>
      <c r="AC1001" s="2" t="s">
        <v>141</v>
      </c>
      <c r="AD1001" s="4">
        <v>350</v>
      </c>
      <c r="AE1001" s="4">
        <v>350</v>
      </c>
      <c r="AF1001" s="6">
        <v>64</v>
      </c>
      <c r="AG1001" s="6">
        <v>47</v>
      </c>
      <c r="AH1001" s="7">
        <v>1</v>
      </c>
      <c r="AI1001" s="4"/>
      <c r="AJ1001" s="4">
        <f>=ROUNDDOWN({0},0)</f>
      </c>
      <c r="AK1001" s="5"/>
      <c r="AL1001" s="2" t="s">
        <v>233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233</v>
      </c>
      <c r="AW1001" s="8" t="s">
        <v>233</v>
      </c>
      <c r="AX1001" s="4" t="s">
        <v>233</v>
      </c>
      <c r="AY1001" s="8" t="s">
        <v>233</v>
      </c>
      <c r="AZ1001" s="7" t="s">
        <v>233</v>
      </c>
      <c r="BA1001" s="7" t="s">
        <v>233</v>
      </c>
      <c r="BB1001" s="7"/>
      <c r="BC1001" s="4" t="s">
        <v>233</v>
      </c>
      <c r="BD1001" s="8" t="s">
        <v>233</v>
      </c>
      <c r="BE1001" s="4" t="s">
        <v>233</v>
      </c>
      <c r="BF1001" s="8" t="s">
        <v>233</v>
      </c>
      <c r="BG1001" s="7" t="s">
        <v>233</v>
      </c>
      <c r="BH1001" s="7" t="s">
        <v>233</v>
      </c>
      <c r="BI1001" s="7"/>
      <c r="BJ1001" s="4">
        <v>124</v>
      </c>
      <c r="BK1001" s="8">
        <v>5809.86</v>
      </c>
      <c r="BL1001" s="2" t="s">
        <v>5084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5069</v>
      </c>
      <c r="BV1001" s="2" t="s">
        <v>233</v>
      </c>
      <c r="BW1001" s="2" t="s">
        <v>233</v>
      </c>
      <c r="BX1001" s="2" t="s">
        <v>293</v>
      </c>
      <c r="BY1001" s="2" t="s">
        <v>242</v>
      </c>
      <c r="BZ1001" s="2" t="s">
        <v>230</v>
      </c>
      <c r="CA1001" s="2" t="s">
        <v>1688</v>
      </c>
      <c r="CB1001" s="2" t="s">
        <v>3796</v>
      </c>
      <c r="CC1001" s="2" t="s">
        <v>245</v>
      </c>
      <c r="CD1001" s="2" t="s">
        <v>233</v>
      </c>
      <c r="CE1001" s="4">
        <v>111</v>
      </c>
      <c r="CF1001" s="4"/>
      <c r="CG1001" s="4"/>
      <c r="CH1001" s="4">
        <v>155</v>
      </c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>
        <v>350</v>
      </c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>
        <v>496</v>
      </c>
      <c r="GD1001" s="4">
        <v>435</v>
      </c>
      <c r="GE1001" s="4">
        <v>421</v>
      </c>
      <c r="GF1001" s="4">
        <v>757</v>
      </c>
      <c r="GG1001" s="4">
        <v>725</v>
      </c>
      <c r="GH1001" s="4">
        <v>707</v>
      </c>
      <c r="GI1001" s="4">
        <v>678</v>
      </c>
      <c r="GJ1001" s="4">
        <v>656</v>
      </c>
      <c r="GK1001" s="4">
        <v>638</v>
      </c>
      <c r="GL1001" s="4">
        <v>617</v>
      </c>
      <c r="GM1001" s="4">
        <v>596</v>
      </c>
      <c r="GN1001" s="4">
        <v>576</v>
      </c>
      <c r="GO1001" s="4">
        <v>556</v>
      </c>
      <c r="GP1001" s="4">
        <v>536</v>
      </c>
      <c r="GQ1001" s="4">
        <v>516</v>
      </c>
      <c r="GR1001" s="4">
        <v>496</v>
      </c>
      <c r="GS1001" s="4">
        <v>476</v>
      </c>
      <c r="GT1001" s="4">
        <v>455</v>
      </c>
      <c r="GU1001" s="4">
        <v>435</v>
      </c>
      <c r="GV1001" s="4">
        <v>415</v>
      </c>
      <c r="GW1001" s="4">
        <v>395</v>
      </c>
      <c r="GX1001" s="4">
        <v>375</v>
      </c>
      <c r="GY1001" s="4">
        <v>355</v>
      </c>
      <c r="GZ1001" s="4">
        <v>335</v>
      </c>
      <c r="HA1001" s="4">
        <v>314</v>
      </c>
      <c r="HB1001" s="4">
        <v>294</v>
      </c>
      <c r="HC1001" s="19">
        <v>16.3</v>
      </c>
      <c r="HD1001" s="19">
        <v>22.6</v>
      </c>
      <c r="HE1001" s="19">
        <v>18.9</v>
      </c>
      <c r="HF1001" s="19">
        <v>27.1</v>
      </c>
      <c r="HG1001" s="19">
        <v>29.4</v>
      </c>
      <c r="HH1001" s="19">
        <v>27.5</v>
      </c>
      <c r="HI1001" s="19">
        <v>30.4</v>
      </c>
      <c r="HJ1001" s="19">
        <v>29.2</v>
      </c>
      <c r="HK1001" s="19">
        <v>28.4</v>
      </c>
      <c r="HL1001" s="19">
        <v>27.3</v>
      </c>
      <c r="HM1001" s="19">
        <v>26.2</v>
      </c>
      <c r="HN1001" s="19">
        <v>25.2</v>
      </c>
      <c r="HO1001" s="19">
        <v>24.2</v>
      </c>
      <c r="HP1001" s="19">
        <v>23.2</v>
      </c>
      <c r="HQ1001" s="19">
        <v>22.2</v>
      </c>
      <c r="HR1001" s="19">
        <v>21.2</v>
      </c>
      <c r="HS1001" s="19">
        <v>20.2</v>
      </c>
      <c r="HT1001" s="19">
        <v>19.2</v>
      </c>
      <c r="HU1001" s="19">
        <v>18.2</v>
      </c>
      <c r="HV1001" s="19">
        <v>17.2</v>
      </c>
      <c r="HW1001" s="19">
        <v>16.2</v>
      </c>
      <c r="HX1001" s="19">
        <v>15.2</v>
      </c>
      <c r="HY1001" s="19">
        <v>14.2</v>
      </c>
      <c r="HZ1001" s="19">
        <v>13.2</v>
      </c>
      <c r="IA1001" s="19">
        <v>12.1</v>
      </c>
      <c r="IB1001" s="19">
        <v>11.1</v>
      </c>
    </row>
    <row r="1002">
      <c r="A1002" s="2" t="s">
        <v>5085</v>
      </c>
      <c r="B1002" s="2" t="s">
        <v>938</v>
      </c>
      <c r="C1002" s="2" t="s">
        <v>1411</v>
      </c>
      <c r="D1002" s="2" t="s">
        <v>972</v>
      </c>
      <c r="E1002" s="2" t="s">
        <v>973</v>
      </c>
      <c r="F1002" s="2" t="s">
        <v>5051</v>
      </c>
      <c r="G1002" s="2" t="s">
        <v>5052</v>
      </c>
      <c r="H1002" s="2" t="s">
        <v>5053</v>
      </c>
      <c r="I1002" s="2" t="s">
        <v>5054</v>
      </c>
      <c r="J1002" s="2" t="s">
        <v>2859</v>
      </c>
      <c r="K1002" s="2" t="s">
        <v>5082</v>
      </c>
      <c r="L1002" s="3">
        <v>19.2</v>
      </c>
      <c r="M1002" s="3">
        <v>20.16</v>
      </c>
      <c r="N1002" s="3">
        <v>39.99</v>
      </c>
      <c r="O1002" s="2" t="s">
        <v>230</v>
      </c>
      <c r="P1002" s="2" t="s">
        <v>586</v>
      </c>
      <c r="Q1002" s="2" t="s">
        <v>232</v>
      </c>
      <c r="R1002" s="2" t="s">
        <v>233</v>
      </c>
      <c r="S1002" s="2" t="s">
        <v>5083</v>
      </c>
      <c r="T1002" s="2" t="s">
        <v>233</v>
      </c>
      <c r="U1002" s="2" t="s">
        <v>329</v>
      </c>
      <c r="V1002" s="2" t="s">
        <v>782</v>
      </c>
      <c r="W1002" s="2" t="s">
        <v>237</v>
      </c>
      <c r="X1002" s="2" t="s">
        <v>1324</v>
      </c>
      <c r="Y1002" s="2" t="s">
        <v>5086</v>
      </c>
      <c r="Z1002" s="4">
        <v>394</v>
      </c>
      <c r="AA1002" s="4">
        <f>=ROUNDDOWN(7.57692307692308,0)</f>
      </c>
      <c r="AB1002" s="5">
        <v>52</v>
      </c>
      <c r="AC1002" s="2" t="s">
        <v>153</v>
      </c>
      <c r="AD1002" s="4">
        <v>600</v>
      </c>
      <c r="AE1002" s="4">
        <v>1500</v>
      </c>
      <c r="AF1002" s="6">
        <v>65</v>
      </c>
      <c r="AG1002" s="6"/>
      <c r="AH1002" s="7">
        <v>0.4516</v>
      </c>
      <c r="AI1002" s="4"/>
      <c r="AJ1002" s="4">
        <f>=ROUNDDOWN({0},0)</f>
      </c>
      <c r="AK1002" s="5"/>
      <c r="AL1002" s="2" t="s">
        <v>233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233</v>
      </c>
      <c r="AW1002" s="8" t="s">
        <v>233</v>
      </c>
      <c r="AX1002" s="4" t="s">
        <v>233</v>
      </c>
      <c r="AY1002" s="8" t="s">
        <v>233</v>
      </c>
      <c r="AZ1002" s="7" t="s">
        <v>233</v>
      </c>
      <c r="BA1002" s="7" t="s">
        <v>233</v>
      </c>
      <c r="BB1002" s="7"/>
      <c r="BC1002" s="4" t="s">
        <v>233</v>
      </c>
      <c r="BD1002" s="8" t="s">
        <v>233</v>
      </c>
      <c r="BE1002" s="4" t="s">
        <v>233</v>
      </c>
      <c r="BF1002" s="8" t="s">
        <v>233</v>
      </c>
      <c r="BG1002" s="7" t="s">
        <v>233</v>
      </c>
      <c r="BH1002" s="7" t="s">
        <v>233</v>
      </c>
      <c r="BI1002" s="7"/>
      <c r="BJ1002" s="4">
        <v>29</v>
      </c>
      <c r="BK1002" s="8">
        <v>742.09</v>
      </c>
      <c r="BL1002" s="2" t="s">
        <v>5087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5058</v>
      </c>
      <c r="BV1002" s="2" t="s">
        <v>233</v>
      </c>
      <c r="BW1002" s="2" t="s">
        <v>233</v>
      </c>
      <c r="BX1002" s="2" t="s">
        <v>293</v>
      </c>
      <c r="BY1002" s="2" t="s">
        <v>242</v>
      </c>
      <c r="BZ1002" s="2" t="s">
        <v>230</v>
      </c>
      <c r="CA1002" s="2" t="s">
        <v>5088</v>
      </c>
      <c r="CB1002" s="2" t="s">
        <v>5089</v>
      </c>
      <c r="CC1002" s="2" t="s">
        <v>245</v>
      </c>
      <c r="CD1002" s="2" t="s">
        <v>233</v>
      </c>
      <c r="CE1002" s="4">
        <v>394</v>
      </c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>
        <v>600</v>
      </c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>
        <v>900</v>
      </c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>
        <v>419</v>
      </c>
      <c r="GD1002" s="4">
        <v>314</v>
      </c>
      <c r="GE1002" s="4">
        <v>242</v>
      </c>
      <c r="GF1002" s="4">
        <v>180</v>
      </c>
      <c r="GG1002" s="4">
        <v>694</v>
      </c>
      <c r="GH1002" s="4">
        <v>642</v>
      </c>
      <c r="GI1002" s="4">
        <v>580</v>
      </c>
      <c r="GJ1002" s="4">
        <v>528</v>
      </c>
      <c r="GK1002" s="4">
        <v>476</v>
      </c>
      <c r="GL1002" s="4">
        <v>424</v>
      </c>
      <c r="GM1002" s="4">
        <v>371</v>
      </c>
      <c r="GN1002" s="4">
        <v>319</v>
      </c>
      <c r="GO1002" s="4">
        <v>267</v>
      </c>
      <c r="GP1002" s="4">
        <v>1115</v>
      </c>
      <c r="GQ1002" s="4">
        <v>1063</v>
      </c>
      <c r="GR1002" s="4">
        <v>1011</v>
      </c>
      <c r="GS1002" s="4">
        <v>959</v>
      </c>
      <c r="GT1002" s="4">
        <v>897</v>
      </c>
      <c r="GU1002" s="4">
        <v>845</v>
      </c>
      <c r="GV1002" s="4">
        <v>793</v>
      </c>
      <c r="GW1002" s="4">
        <v>741</v>
      </c>
      <c r="GX1002" s="4">
        <v>689</v>
      </c>
      <c r="GY1002" s="4">
        <v>637</v>
      </c>
      <c r="GZ1002" s="4">
        <v>585</v>
      </c>
      <c r="HA1002" s="4">
        <v>532</v>
      </c>
      <c r="HB1002" s="4">
        <v>480</v>
      </c>
      <c r="HC1002" s="19">
        <v>5.2</v>
      </c>
      <c r="HD1002" s="19">
        <v>4.6</v>
      </c>
      <c r="HE1002" s="19">
        <v>3.7</v>
      </c>
      <c r="HF1002" s="19">
        <v>2.9</v>
      </c>
      <c r="HG1002" s="19">
        <v>12.9</v>
      </c>
      <c r="HH1002" s="19">
        <v>11.9</v>
      </c>
      <c r="HI1002" s="19">
        <v>11.2</v>
      </c>
      <c r="HJ1002" s="19">
        <v>10.2</v>
      </c>
      <c r="HK1002" s="19">
        <v>9.2</v>
      </c>
      <c r="HL1002" s="19">
        <v>8.2</v>
      </c>
      <c r="HM1002" s="19">
        <v>7.1</v>
      </c>
      <c r="HN1002" s="19">
        <v>6.1</v>
      </c>
      <c r="HO1002" s="19">
        <v>5.1</v>
      </c>
      <c r="HP1002" s="19">
        <v>20.6</v>
      </c>
      <c r="HQ1002" s="19">
        <v>19.7</v>
      </c>
      <c r="HR1002" s="19">
        <v>18.7</v>
      </c>
      <c r="HS1002" s="19">
        <v>17.8</v>
      </c>
      <c r="HT1002" s="19">
        <v>17.3</v>
      </c>
      <c r="HU1002" s="19">
        <v>16.3</v>
      </c>
      <c r="HV1002" s="19">
        <v>15.3</v>
      </c>
      <c r="HW1002" s="19">
        <v>14.3</v>
      </c>
      <c r="HX1002" s="19">
        <v>13.3</v>
      </c>
      <c r="HY1002" s="19">
        <v>12.3</v>
      </c>
      <c r="HZ1002" s="19">
        <v>11.3</v>
      </c>
      <c r="IA1002" s="19">
        <v>10.2</v>
      </c>
      <c r="IB1002" s="19">
        <v>9.2</v>
      </c>
    </row>
    <row r="1003">
      <c r="A1003" s="2" t="s">
        <v>5090</v>
      </c>
      <c r="B1003" s="2" t="s">
        <v>825</v>
      </c>
      <c r="C1003" s="2" t="s">
        <v>1411</v>
      </c>
      <c r="D1003" s="2" t="s">
        <v>261</v>
      </c>
      <c r="E1003" s="2" t="s">
        <v>603</v>
      </c>
      <c r="F1003" s="2" t="s">
        <v>5051</v>
      </c>
      <c r="G1003" s="2" t="s">
        <v>5052</v>
      </c>
      <c r="H1003" s="2" t="s">
        <v>5053</v>
      </c>
      <c r="I1003" s="2" t="s">
        <v>5066</v>
      </c>
      <c r="J1003" s="2" t="s">
        <v>1052</v>
      </c>
      <c r="K1003" s="2" t="s">
        <v>3866</v>
      </c>
      <c r="L1003" s="3">
        <v>35.19</v>
      </c>
      <c r="M1003" s="3">
        <v>36.95</v>
      </c>
      <c r="N1003" s="3">
        <v>69.99</v>
      </c>
      <c r="O1003" s="2" t="s">
        <v>230</v>
      </c>
      <c r="P1003" s="2" t="s">
        <v>231</v>
      </c>
      <c r="Q1003" s="2" t="s">
        <v>232</v>
      </c>
      <c r="R1003" s="2" t="s">
        <v>233</v>
      </c>
      <c r="S1003" s="2" t="s">
        <v>5091</v>
      </c>
      <c r="T1003" s="2" t="s">
        <v>469</v>
      </c>
      <c r="U1003" s="2" t="s">
        <v>287</v>
      </c>
      <c r="V1003" s="2" t="s">
        <v>782</v>
      </c>
      <c r="W1003" s="2" t="s">
        <v>620</v>
      </c>
      <c r="X1003" s="2" t="s">
        <v>288</v>
      </c>
      <c r="Y1003" s="2" t="s">
        <v>5092</v>
      </c>
      <c r="Z1003" s="4">
        <v>214</v>
      </c>
      <c r="AA1003" s="4">
        <f>=ROUNDDOWN(35.6666666666667,0)</f>
      </c>
      <c r="AB1003" s="5">
        <v>6</v>
      </c>
      <c r="AC1003" s="2" t="s">
        <v>141</v>
      </c>
      <c r="AD1003" s="4">
        <v>120</v>
      </c>
      <c r="AE1003" s="4">
        <v>120</v>
      </c>
      <c r="AF1003" s="6">
        <v>64</v>
      </c>
      <c r="AG1003" s="6"/>
      <c r="AH1003" s="7">
        <v>1</v>
      </c>
      <c r="AI1003" s="4"/>
      <c r="AJ1003" s="4">
        <f>=ROUNDDOWN({0},0)</f>
      </c>
      <c r="AK1003" s="5"/>
      <c r="AL1003" s="2" t="s">
        <v>233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233</v>
      </c>
      <c r="AW1003" s="8" t="s">
        <v>233</v>
      </c>
      <c r="AX1003" s="4" t="s">
        <v>233</v>
      </c>
      <c r="AY1003" s="8" t="s">
        <v>233</v>
      </c>
      <c r="AZ1003" s="7" t="s">
        <v>233</v>
      </c>
      <c r="BA1003" s="7" t="s">
        <v>233</v>
      </c>
      <c r="BB1003" s="7"/>
      <c r="BC1003" s="4" t="s">
        <v>233</v>
      </c>
      <c r="BD1003" s="8" t="s">
        <v>233</v>
      </c>
      <c r="BE1003" s="4" t="s">
        <v>233</v>
      </c>
      <c r="BF1003" s="8" t="s">
        <v>233</v>
      </c>
      <c r="BG1003" s="7" t="s">
        <v>233</v>
      </c>
      <c r="BH1003" s="7" t="s">
        <v>233</v>
      </c>
      <c r="BI1003" s="7"/>
      <c r="BJ1003" s="4">
        <v>8</v>
      </c>
      <c r="BK1003" s="8">
        <v>278.69</v>
      </c>
      <c r="BL1003" s="2" t="s">
        <v>1704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5069</v>
      </c>
      <c r="BV1003" s="2" t="s">
        <v>233</v>
      </c>
      <c r="BW1003" s="2" t="s">
        <v>233</v>
      </c>
      <c r="BX1003" s="2" t="s">
        <v>293</v>
      </c>
      <c r="BY1003" s="2" t="s">
        <v>242</v>
      </c>
      <c r="BZ1003" s="2" t="s">
        <v>230</v>
      </c>
      <c r="CA1003" s="2" t="s">
        <v>2897</v>
      </c>
      <c r="CB1003" s="2" t="s">
        <v>5093</v>
      </c>
      <c r="CC1003" s="2" t="s">
        <v>245</v>
      </c>
      <c r="CD1003" s="2" t="s">
        <v>233</v>
      </c>
      <c r="CE1003" s="4">
        <v>214</v>
      </c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>
        <v>120</v>
      </c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>
        <v>222</v>
      </c>
      <c r="GD1003" s="4">
        <v>181</v>
      </c>
      <c r="GE1003" s="4">
        <v>174</v>
      </c>
      <c r="GF1003" s="4">
        <v>287</v>
      </c>
      <c r="GG1003" s="4">
        <v>276</v>
      </c>
      <c r="GH1003" s="4">
        <v>267</v>
      </c>
      <c r="GI1003" s="4">
        <v>257</v>
      </c>
      <c r="GJ1003" s="4">
        <v>250</v>
      </c>
      <c r="GK1003" s="4">
        <v>245</v>
      </c>
      <c r="GL1003" s="4">
        <v>239</v>
      </c>
      <c r="GM1003" s="4">
        <v>233</v>
      </c>
      <c r="GN1003" s="4">
        <v>227</v>
      </c>
      <c r="GO1003" s="4">
        <v>221</v>
      </c>
      <c r="GP1003" s="4">
        <v>215</v>
      </c>
      <c r="GQ1003" s="4">
        <v>209</v>
      </c>
      <c r="GR1003" s="4">
        <v>203</v>
      </c>
      <c r="GS1003" s="4">
        <v>197</v>
      </c>
      <c r="GT1003" s="4">
        <v>191</v>
      </c>
      <c r="GU1003" s="4">
        <v>185</v>
      </c>
      <c r="GV1003" s="4">
        <v>179</v>
      </c>
      <c r="GW1003" s="4">
        <v>173</v>
      </c>
      <c r="GX1003" s="4">
        <v>167</v>
      </c>
      <c r="GY1003" s="4">
        <v>161</v>
      </c>
      <c r="GZ1003" s="4">
        <v>155</v>
      </c>
      <c r="HA1003" s="4">
        <v>149</v>
      </c>
      <c r="HB1003" s="4">
        <v>143</v>
      </c>
      <c r="HC1003" s="19">
        <v>13.9</v>
      </c>
      <c r="HD1003" s="19">
        <v>22.6</v>
      </c>
      <c r="HE1003" s="19">
        <v>19.3</v>
      </c>
      <c r="HF1003" s="19">
        <v>31.9</v>
      </c>
      <c r="HG1003" s="19">
        <v>34.5</v>
      </c>
      <c r="HH1003" s="19">
        <v>38.1</v>
      </c>
      <c r="HI1003" s="19">
        <v>42.8</v>
      </c>
      <c r="HJ1003" s="19">
        <v>41.7</v>
      </c>
      <c r="HK1003" s="19">
        <v>40.8</v>
      </c>
      <c r="HL1003" s="19">
        <v>39.8</v>
      </c>
      <c r="HM1003" s="19">
        <v>38.8</v>
      </c>
      <c r="HN1003" s="19">
        <v>37.8</v>
      </c>
      <c r="HO1003" s="19">
        <v>36.8</v>
      </c>
      <c r="HP1003" s="19">
        <v>35.8</v>
      </c>
      <c r="HQ1003" s="19">
        <v>34.8</v>
      </c>
      <c r="HR1003" s="19">
        <v>33.8</v>
      </c>
      <c r="HS1003" s="19">
        <v>32.8</v>
      </c>
      <c r="HT1003" s="19">
        <v>31.8</v>
      </c>
      <c r="HU1003" s="19">
        <v>30.8</v>
      </c>
      <c r="HV1003" s="19">
        <v>29.8</v>
      </c>
      <c r="HW1003" s="19">
        <v>28.8</v>
      </c>
      <c r="HX1003" s="19">
        <v>27.8</v>
      </c>
      <c r="HY1003" s="19">
        <v>26.8</v>
      </c>
      <c r="HZ1003" s="19">
        <v>25.8</v>
      </c>
      <c r="IA1003" s="19">
        <v>24.8</v>
      </c>
      <c r="IB1003" s="19">
        <v>20.4</v>
      </c>
    </row>
    <row r="1004">
      <c r="A1004" s="2" t="s">
        <v>5094</v>
      </c>
      <c r="B1004" s="2" t="s">
        <v>825</v>
      </c>
      <c r="C1004" s="2" t="s">
        <v>1411</v>
      </c>
      <c r="D1004" s="2" t="s">
        <v>261</v>
      </c>
      <c r="E1004" s="2" t="s">
        <v>603</v>
      </c>
      <c r="F1004" s="2" t="s">
        <v>5051</v>
      </c>
      <c r="G1004" s="2" t="s">
        <v>5052</v>
      </c>
      <c r="H1004" s="2" t="s">
        <v>5053</v>
      </c>
      <c r="I1004" s="2" t="s">
        <v>5066</v>
      </c>
      <c r="J1004" s="2" t="s">
        <v>275</v>
      </c>
      <c r="K1004" s="2" t="s">
        <v>3866</v>
      </c>
      <c r="L1004" s="3">
        <v>45.36</v>
      </c>
      <c r="M1004" s="3">
        <v>47.63</v>
      </c>
      <c r="N1004" s="3">
        <v>89.99</v>
      </c>
      <c r="O1004" s="2" t="s">
        <v>230</v>
      </c>
      <c r="P1004" s="2" t="s">
        <v>231</v>
      </c>
      <c r="Q1004" s="2" t="s">
        <v>232</v>
      </c>
      <c r="R1004" s="2" t="s">
        <v>233</v>
      </c>
      <c r="S1004" s="2" t="s">
        <v>5091</v>
      </c>
      <c r="T1004" s="2" t="s">
        <v>469</v>
      </c>
      <c r="U1004" s="2" t="s">
        <v>608</v>
      </c>
      <c r="V1004" s="2" t="s">
        <v>782</v>
      </c>
      <c r="W1004" s="2" t="s">
        <v>620</v>
      </c>
      <c r="X1004" s="2" t="s">
        <v>288</v>
      </c>
      <c r="Y1004" s="2" t="s">
        <v>5092</v>
      </c>
      <c r="Z1004" s="4">
        <v>352</v>
      </c>
      <c r="AA1004" s="4">
        <f>=ROUNDDOWN(29.3333333333333,0)</f>
      </c>
      <c r="AB1004" s="5">
        <v>12</v>
      </c>
      <c r="AC1004" s="2" t="s">
        <v>141</v>
      </c>
      <c r="AD1004" s="4">
        <v>180</v>
      </c>
      <c r="AE1004" s="4">
        <v>180</v>
      </c>
      <c r="AF1004" s="6">
        <v>64</v>
      </c>
      <c r="AG1004" s="6"/>
      <c r="AH1004" s="7">
        <v>1</v>
      </c>
      <c r="AI1004" s="4"/>
      <c r="AJ1004" s="4">
        <f>=ROUNDDOWN({0},0)</f>
      </c>
      <c r="AK1004" s="5"/>
      <c r="AL1004" s="2" t="s">
        <v>233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233</v>
      </c>
      <c r="AW1004" s="8" t="s">
        <v>233</v>
      </c>
      <c r="AX1004" s="4" t="s">
        <v>233</v>
      </c>
      <c r="AY1004" s="8" t="s">
        <v>233</v>
      </c>
      <c r="AZ1004" s="7" t="s">
        <v>233</v>
      </c>
      <c r="BA1004" s="7" t="s">
        <v>233</v>
      </c>
      <c r="BB1004" s="7"/>
      <c r="BC1004" s="4" t="s">
        <v>233</v>
      </c>
      <c r="BD1004" s="8" t="s">
        <v>233</v>
      </c>
      <c r="BE1004" s="4" t="s">
        <v>233</v>
      </c>
      <c r="BF1004" s="8" t="s">
        <v>233</v>
      </c>
      <c r="BG1004" s="7" t="s">
        <v>233</v>
      </c>
      <c r="BH1004" s="7" t="s">
        <v>233</v>
      </c>
      <c r="BI1004" s="7"/>
      <c r="BJ1004" s="4">
        <v>87</v>
      </c>
      <c r="BK1004" s="8">
        <v>4380.47</v>
      </c>
      <c r="BL1004" s="2" t="s">
        <v>5095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5069</v>
      </c>
      <c r="BV1004" s="2" t="s">
        <v>233</v>
      </c>
      <c r="BW1004" s="2" t="s">
        <v>233</v>
      </c>
      <c r="BX1004" s="2" t="s">
        <v>293</v>
      </c>
      <c r="BY1004" s="2" t="s">
        <v>242</v>
      </c>
      <c r="BZ1004" s="2" t="s">
        <v>230</v>
      </c>
      <c r="CA1004" s="2" t="s">
        <v>2897</v>
      </c>
      <c r="CB1004" s="2" t="s">
        <v>4710</v>
      </c>
      <c r="CC1004" s="2" t="s">
        <v>245</v>
      </c>
      <c r="CD1004" s="2" t="s">
        <v>233</v>
      </c>
      <c r="CE1004" s="4">
        <v>352</v>
      </c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>
        <v>180</v>
      </c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>
        <v>467</v>
      </c>
      <c r="GD1004" s="4">
        <v>441</v>
      </c>
      <c r="GE1004" s="4">
        <v>431</v>
      </c>
      <c r="GF1004" s="4">
        <v>596</v>
      </c>
      <c r="GG1004" s="4">
        <v>569</v>
      </c>
      <c r="GH1004" s="4">
        <v>551</v>
      </c>
      <c r="GI1004" s="4">
        <v>531</v>
      </c>
      <c r="GJ1004" s="4">
        <v>518</v>
      </c>
      <c r="GK1004" s="4">
        <v>507</v>
      </c>
      <c r="GL1004" s="4">
        <v>494</v>
      </c>
      <c r="GM1004" s="4">
        <v>481</v>
      </c>
      <c r="GN1004" s="4">
        <v>469</v>
      </c>
      <c r="GO1004" s="4">
        <v>457</v>
      </c>
      <c r="GP1004" s="4">
        <v>445</v>
      </c>
      <c r="GQ1004" s="4">
        <v>433</v>
      </c>
      <c r="GR1004" s="4">
        <v>421</v>
      </c>
      <c r="GS1004" s="4">
        <v>409</v>
      </c>
      <c r="GT1004" s="4">
        <v>396</v>
      </c>
      <c r="GU1004" s="4">
        <v>384</v>
      </c>
      <c r="GV1004" s="4">
        <v>372</v>
      </c>
      <c r="GW1004" s="4">
        <v>360</v>
      </c>
      <c r="GX1004" s="4">
        <v>348</v>
      </c>
      <c r="GY1004" s="4">
        <v>336</v>
      </c>
      <c r="GZ1004" s="4">
        <v>324</v>
      </c>
      <c r="HA1004" s="4">
        <v>311</v>
      </c>
      <c r="HB1004" s="4">
        <v>299</v>
      </c>
      <c r="HC1004" s="19">
        <v>23.4</v>
      </c>
      <c r="HD1004" s="19">
        <v>24.5</v>
      </c>
      <c r="HE1004" s="19">
        <v>21.6</v>
      </c>
      <c r="HF1004" s="19">
        <v>29.8</v>
      </c>
      <c r="HG1004" s="19">
        <v>35.6</v>
      </c>
      <c r="HH1004" s="19">
        <v>39.4</v>
      </c>
      <c r="HI1004" s="19">
        <v>44.3</v>
      </c>
      <c r="HJ1004" s="19">
        <v>43.2</v>
      </c>
      <c r="HK1004" s="19">
        <v>42.3</v>
      </c>
      <c r="HL1004" s="19">
        <v>41.2</v>
      </c>
      <c r="HM1004" s="19">
        <v>40.1</v>
      </c>
      <c r="HN1004" s="19">
        <v>39.1</v>
      </c>
      <c r="HO1004" s="19">
        <v>38.1</v>
      </c>
      <c r="HP1004" s="19">
        <v>37.1</v>
      </c>
      <c r="HQ1004" s="19">
        <v>36.1</v>
      </c>
      <c r="HR1004" s="19">
        <v>35.1</v>
      </c>
      <c r="HS1004" s="19">
        <v>34.1</v>
      </c>
      <c r="HT1004" s="19">
        <v>33</v>
      </c>
      <c r="HU1004" s="19">
        <v>32</v>
      </c>
      <c r="HV1004" s="19">
        <v>31</v>
      </c>
      <c r="HW1004" s="19">
        <v>30</v>
      </c>
      <c r="HX1004" s="19">
        <v>29</v>
      </c>
      <c r="HY1004" s="19">
        <v>28</v>
      </c>
      <c r="HZ1004" s="19">
        <v>27</v>
      </c>
      <c r="IA1004" s="19">
        <v>25.9</v>
      </c>
      <c r="IB1004" s="19">
        <v>24.9</v>
      </c>
    </row>
    <row r="1005">
      <c r="A1005" s="2" t="s">
        <v>5096</v>
      </c>
      <c r="B1005" s="2" t="s">
        <v>222</v>
      </c>
      <c r="C1005" s="2" t="s">
        <v>223</v>
      </c>
      <c r="D1005" s="2" t="s">
        <v>1172</v>
      </c>
      <c r="E1005" s="2" t="s">
        <v>4151</v>
      </c>
      <c r="F1005" s="2" t="s">
        <v>5097</v>
      </c>
      <c r="G1005" s="2" t="s">
        <v>5097</v>
      </c>
      <c r="H1005" s="2" t="s">
        <v>5097</v>
      </c>
      <c r="I1005" s="2" t="s">
        <v>5098</v>
      </c>
      <c r="J1005" s="2" t="s">
        <v>336</v>
      </c>
      <c r="K1005" s="2" t="s">
        <v>452</v>
      </c>
      <c r="L1005" s="3">
        <v>16.2</v>
      </c>
      <c r="M1005" s="3">
        <v>17.01</v>
      </c>
      <c r="N1005" s="3">
        <v>35.99</v>
      </c>
      <c r="O1005" s="2" t="s">
        <v>230</v>
      </c>
      <c r="P1005" s="2" t="s">
        <v>231</v>
      </c>
      <c r="Q1005" s="2" t="s">
        <v>232</v>
      </c>
      <c r="R1005" s="2" t="s">
        <v>233</v>
      </c>
      <c r="S1005" s="2" t="s">
        <v>5099</v>
      </c>
      <c r="T1005" s="2" t="s">
        <v>233</v>
      </c>
      <c r="U1005" s="2" t="s">
        <v>233</v>
      </c>
      <c r="V1005" s="2" t="s">
        <v>236</v>
      </c>
      <c r="W1005" s="2" t="s">
        <v>5100</v>
      </c>
      <c r="X1005" s="2" t="s">
        <v>233</v>
      </c>
      <c r="Y1005" s="2" t="s">
        <v>5101</v>
      </c>
      <c r="Z1005" s="4">
        <v>186</v>
      </c>
      <c r="AA1005" s="4">
        <f>=ROUNDDOWN(13.2857142857143,0)</f>
      </c>
      <c r="AB1005" s="5">
        <v>14</v>
      </c>
      <c r="AC1005" s="2" t="s">
        <v>135</v>
      </c>
      <c r="AD1005" s="4">
        <v>170</v>
      </c>
      <c r="AE1005" s="4">
        <v>540</v>
      </c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233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233</v>
      </c>
      <c r="AW1005" s="8" t="s">
        <v>233</v>
      </c>
      <c r="AX1005" s="4" t="s">
        <v>233</v>
      </c>
      <c r="AY1005" s="8" t="s">
        <v>233</v>
      </c>
      <c r="AZ1005" s="7" t="s">
        <v>233</v>
      </c>
      <c r="BA1005" s="7" t="s">
        <v>233</v>
      </c>
      <c r="BB1005" s="7"/>
      <c r="BC1005" s="4" t="s">
        <v>233</v>
      </c>
      <c r="BD1005" s="8" t="s">
        <v>233</v>
      </c>
      <c r="BE1005" s="4" t="s">
        <v>233</v>
      </c>
      <c r="BF1005" s="8" t="s">
        <v>233</v>
      </c>
      <c r="BG1005" s="7" t="s">
        <v>233</v>
      </c>
      <c r="BH1005" s="7" t="s">
        <v>233</v>
      </c>
      <c r="BI1005" s="7"/>
      <c r="BJ1005" s="4">
        <v>102</v>
      </c>
      <c r="BK1005" s="8">
        <v>1839.47</v>
      </c>
      <c r="BL1005" s="2" t="s">
        <v>5102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5103</v>
      </c>
      <c r="BV1005" s="2" t="s">
        <v>233</v>
      </c>
      <c r="BW1005" s="2" t="s">
        <v>233</v>
      </c>
      <c r="BX1005" s="2" t="s">
        <v>241</v>
      </c>
      <c r="BY1005" s="2" t="s">
        <v>242</v>
      </c>
      <c r="BZ1005" s="2" t="s">
        <v>230</v>
      </c>
      <c r="CA1005" s="2" t="s">
        <v>5104</v>
      </c>
      <c r="CB1005" s="2" t="s">
        <v>4843</v>
      </c>
      <c r="CC1005" s="2" t="s">
        <v>245</v>
      </c>
      <c r="CD1005" s="2" t="s">
        <v>233</v>
      </c>
      <c r="CE1005" s="4">
        <v>16</v>
      </c>
      <c r="CF1005" s="4"/>
      <c r="CG1005" s="4"/>
      <c r="CH1005" s="4"/>
      <c r="CI1005" s="4"/>
      <c r="CJ1005" s="4"/>
      <c r="CK1005" s="4">
        <v>170</v>
      </c>
      <c r="CL1005" s="4"/>
      <c r="CM1005" s="4"/>
      <c r="CN1005" s="4"/>
      <c r="CO1005" s="4"/>
      <c r="CP1005" s="4"/>
      <c r="CQ1005" s="4"/>
      <c r="CR1005" s="4"/>
      <c r="CS1005" s="4"/>
      <c r="CT1005" s="4"/>
      <c r="CU1005" s="4">
        <v>170</v>
      </c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>
        <v>40</v>
      </c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>
        <v>80</v>
      </c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>
        <v>250</v>
      </c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>
        <v>16</v>
      </c>
      <c r="GD1005" s="4">
        <v>173</v>
      </c>
      <c r="GE1005" s="4">
        <v>158</v>
      </c>
      <c r="GF1005" s="4">
        <v>171</v>
      </c>
      <c r="GG1005" s="4">
        <v>151</v>
      </c>
      <c r="GH1005" s="4">
        <v>124</v>
      </c>
      <c r="GI1005" s="4">
        <v>187</v>
      </c>
      <c r="GJ1005" s="4">
        <v>166</v>
      </c>
      <c r="GK1005" s="4">
        <v>146</v>
      </c>
      <c r="GL1005" s="4">
        <v>124</v>
      </c>
      <c r="GM1005" s="4">
        <v>102</v>
      </c>
      <c r="GN1005" s="4">
        <v>80</v>
      </c>
      <c r="GO1005" s="4">
        <v>58</v>
      </c>
      <c r="GP1005" s="4">
        <v>36</v>
      </c>
      <c r="GQ1005" s="4">
        <v>261</v>
      </c>
      <c r="GR1005" s="4">
        <v>236</v>
      </c>
      <c r="GS1005" s="4">
        <v>211</v>
      </c>
      <c r="GT1005" s="4">
        <v>186</v>
      </c>
      <c r="GU1005" s="4">
        <v>171</v>
      </c>
      <c r="GV1005" s="4">
        <v>156</v>
      </c>
      <c r="GW1005" s="4">
        <v>141</v>
      </c>
      <c r="GX1005" s="4">
        <v>126</v>
      </c>
      <c r="GY1005" s="4">
        <v>111</v>
      </c>
      <c r="GZ1005" s="4">
        <v>98</v>
      </c>
      <c r="HA1005" s="4">
        <v>85</v>
      </c>
      <c r="HB1005" s="4">
        <v>157</v>
      </c>
      <c r="HC1005" s="19">
        <v>0.8</v>
      </c>
      <c r="HD1005" s="19">
        <v>7.9</v>
      </c>
      <c r="HE1005" s="19">
        <v>6.9</v>
      </c>
      <c r="HF1005" s="19">
        <v>8.1</v>
      </c>
      <c r="HG1005" s="19">
        <v>7.2</v>
      </c>
      <c r="HH1005" s="19">
        <v>6.2</v>
      </c>
      <c r="HI1005" s="19">
        <v>8.9</v>
      </c>
      <c r="HJ1005" s="19">
        <v>7.5</v>
      </c>
      <c r="HK1005" s="19">
        <v>6.6</v>
      </c>
      <c r="HL1005" s="19">
        <v>5.6</v>
      </c>
      <c r="HM1005" s="19">
        <v>4.4</v>
      </c>
      <c r="HN1005" s="19">
        <v>3.3</v>
      </c>
      <c r="HO1005" s="19">
        <v>2.4</v>
      </c>
      <c r="HP1005" s="19">
        <v>1.4</v>
      </c>
      <c r="HQ1005" s="19">
        <v>11.9</v>
      </c>
      <c r="HR1005" s="19">
        <v>11.8</v>
      </c>
      <c r="HS1005" s="19">
        <v>11.7</v>
      </c>
      <c r="HT1005" s="19">
        <v>12.4</v>
      </c>
      <c r="HU1005" s="19">
        <v>11.4</v>
      </c>
      <c r="HV1005" s="19">
        <v>11.1</v>
      </c>
      <c r="HW1005" s="19">
        <v>10.1</v>
      </c>
      <c r="HX1005" s="19">
        <v>9</v>
      </c>
      <c r="HY1005" s="19">
        <v>8.5</v>
      </c>
      <c r="HZ1005" s="19">
        <v>7</v>
      </c>
      <c r="IA1005" s="19">
        <v>6.1</v>
      </c>
      <c r="IB1005" s="19">
        <v>11.2</v>
      </c>
    </row>
    <row r="1006">
      <c r="A1006" s="2" t="s">
        <v>5105</v>
      </c>
      <c r="B1006" s="2" t="s">
        <v>222</v>
      </c>
      <c r="C1006" s="2" t="s">
        <v>223</v>
      </c>
      <c r="D1006" s="2" t="s">
        <v>1172</v>
      </c>
      <c r="E1006" s="2" t="s">
        <v>4151</v>
      </c>
      <c r="F1006" s="2" t="s">
        <v>5097</v>
      </c>
      <c r="G1006" s="2" t="s">
        <v>5097</v>
      </c>
      <c r="H1006" s="2" t="s">
        <v>5097</v>
      </c>
      <c r="I1006" s="2" t="s">
        <v>5098</v>
      </c>
      <c r="J1006" s="2" t="s">
        <v>256</v>
      </c>
      <c r="K1006" s="2" t="s">
        <v>452</v>
      </c>
      <c r="L1006" s="3">
        <v>18.4</v>
      </c>
      <c r="M1006" s="3">
        <v>19.32</v>
      </c>
      <c r="N1006" s="3">
        <v>39.99</v>
      </c>
      <c r="O1006" s="2" t="s">
        <v>230</v>
      </c>
      <c r="P1006" s="2" t="s">
        <v>231</v>
      </c>
      <c r="Q1006" s="2" t="s">
        <v>232</v>
      </c>
      <c r="R1006" s="2" t="s">
        <v>233</v>
      </c>
      <c r="S1006" s="2" t="s">
        <v>5099</v>
      </c>
      <c r="T1006" s="2" t="s">
        <v>233</v>
      </c>
      <c r="U1006" s="2" t="s">
        <v>233</v>
      </c>
      <c r="V1006" s="2" t="s">
        <v>236</v>
      </c>
      <c r="W1006" s="2" t="s">
        <v>5100</v>
      </c>
      <c r="X1006" s="2" t="s">
        <v>233</v>
      </c>
      <c r="Y1006" s="2" t="s">
        <v>5101</v>
      </c>
      <c r="Z1006" s="4">
        <v>171</v>
      </c>
      <c r="AA1006" s="4">
        <f>=ROUNDDOWN(9.5,0)</f>
      </c>
      <c r="AB1006" s="5">
        <v>18</v>
      </c>
      <c r="AC1006" s="2" t="s">
        <v>135</v>
      </c>
      <c r="AD1006" s="4">
        <v>130</v>
      </c>
      <c r="AE1006" s="4">
        <v>760</v>
      </c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233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233</v>
      </c>
      <c r="AW1006" s="8" t="s">
        <v>233</v>
      </c>
      <c r="AX1006" s="4" t="s">
        <v>233</v>
      </c>
      <c r="AY1006" s="8" t="s">
        <v>233</v>
      </c>
      <c r="AZ1006" s="7" t="s">
        <v>233</v>
      </c>
      <c r="BA1006" s="7" t="s">
        <v>233</v>
      </c>
      <c r="BB1006" s="7"/>
      <c r="BC1006" s="4" t="s">
        <v>233</v>
      </c>
      <c r="BD1006" s="8" t="s">
        <v>233</v>
      </c>
      <c r="BE1006" s="4" t="s">
        <v>233</v>
      </c>
      <c r="BF1006" s="8" t="s">
        <v>233</v>
      </c>
      <c r="BG1006" s="7" t="s">
        <v>233</v>
      </c>
      <c r="BH1006" s="7" t="s">
        <v>233</v>
      </c>
      <c r="BI1006" s="7"/>
      <c r="BJ1006" s="4">
        <v>116</v>
      </c>
      <c r="BK1006" s="8">
        <v>2291.77</v>
      </c>
      <c r="BL1006" s="2" t="s">
        <v>3936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5103</v>
      </c>
      <c r="BV1006" s="2" t="s">
        <v>233</v>
      </c>
      <c r="BW1006" s="2" t="s">
        <v>233</v>
      </c>
      <c r="BX1006" s="2" t="s">
        <v>241</v>
      </c>
      <c r="BY1006" s="2" t="s">
        <v>242</v>
      </c>
      <c r="BZ1006" s="2" t="s">
        <v>230</v>
      </c>
      <c r="CA1006" s="2" t="s">
        <v>5104</v>
      </c>
      <c r="CB1006" s="2" t="s">
        <v>2573</v>
      </c>
      <c r="CC1006" s="2" t="s">
        <v>245</v>
      </c>
      <c r="CD1006" s="2" t="s">
        <v>233</v>
      </c>
      <c r="CE1006" s="4">
        <v>41</v>
      </c>
      <c r="CF1006" s="4"/>
      <c r="CG1006" s="4"/>
      <c r="CH1006" s="4"/>
      <c r="CI1006" s="4"/>
      <c r="CJ1006" s="4"/>
      <c r="CK1006" s="4">
        <v>130</v>
      </c>
      <c r="CL1006" s="4"/>
      <c r="CM1006" s="4"/>
      <c r="CN1006" s="4"/>
      <c r="CO1006" s="4"/>
      <c r="CP1006" s="4"/>
      <c r="CQ1006" s="4"/>
      <c r="CR1006" s="4"/>
      <c r="CS1006" s="4"/>
      <c r="CT1006" s="4"/>
      <c r="CU1006" s="4">
        <v>130</v>
      </c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>
        <v>310</v>
      </c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>
        <v>320</v>
      </c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>
        <v>44</v>
      </c>
      <c r="GD1006" s="4">
        <v>157</v>
      </c>
      <c r="GE1006" s="4">
        <v>139</v>
      </c>
      <c r="GF1006" s="4">
        <v>420</v>
      </c>
      <c r="GG1006" s="4">
        <v>398</v>
      </c>
      <c r="GH1006" s="4">
        <v>367</v>
      </c>
      <c r="GI1006" s="4">
        <v>667</v>
      </c>
      <c r="GJ1006" s="4">
        <v>642</v>
      </c>
      <c r="GK1006" s="4">
        <v>620</v>
      </c>
      <c r="GL1006" s="4">
        <v>593</v>
      </c>
      <c r="GM1006" s="4">
        <v>566</v>
      </c>
      <c r="GN1006" s="4">
        <v>539</v>
      </c>
      <c r="GO1006" s="4">
        <v>512</v>
      </c>
      <c r="GP1006" s="4">
        <v>485</v>
      </c>
      <c r="GQ1006" s="4">
        <v>462</v>
      </c>
      <c r="GR1006" s="4">
        <v>439</v>
      </c>
      <c r="GS1006" s="4">
        <v>416</v>
      </c>
      <c r="GT1006" s="4">
        <v>393</v>
      </c>
      <c r="GU1006" s="4">
        <v>371</v>
      </c>
      <c r="GV1006" s="4">
        <v>349</v>
      </c>
      <c r="GW1006" s="4">
        <v>327</v>
      </c>
      <c r="GX1006" s="4">
        <v>305</v>
      </c>
      <c r="GY1006" s="4">
        <v>283</v>
      </c>
      <c r="GZ1006" s="4">
        <v>269</v>
      </c>
      <c r="HA1006" s="4">
        <v>255</v>
      </c>
      <c r="HB1006" s="4">
        <v>241</v>
      </c>
      <c r="HC1006" s="19">
        <v>2</v>
      </c>
      <c r="HD1006" s="19">
        <v>6.3</v>
      </c>
      <c r="HE1006" s="19">
        <v>5.3</v>
      </c>
      <c r="HF1006" s="19">
        <v>17.5</v>
      </c>
      <c r="HG1006" s="19">
        <v>16.6</v>
      </c>
      <c r="HH1006" s="19">
        <v>15.3</v>
      </c>
      <c r="HI1006" s="19">
        <v>26.7</v>
      </c>
      <c r="HJ1006" s="19">
        <v>24.7</v>
      </c>
      <c r="HK1006" s="19">
        <v>23</v>
      </c>
      <c r="HL1006" s="19">
        <v>22</v>
      </c>
      <c r="HM1006" s="19">
        <v>21.8</v>
      </c>
      <c r="HN1006" s="19">
        <v>21.6</v>
      </c>
      <c r="HO1006" s="19">
        <v>21.3</v>
      </c>
      <c r="HP1006" s="19">
        <v>21.1</v>
      </c>
      <c r="HQ1006" s="19">
        <v>20.1</v>
      </c>
      <c r="HR1006" s="19">
        <v>20</v>
      </c>
      <c r="HS1006" s="19">
        <v>18.9</v>
      </c>
      <c r="HT1006" s="19">
        <v>17.9</v>
      </c>
      <c r="HU1006" s="19">
        <v>16.9</v>
      </c>
      <c r="HV1006" s="19">
        <v>17.5</v>
      </c>
      <c r="HW1006" s="19">
        <v>18.2</v>
      </c>
      <c r="HX1006" s="19">
        <v>19.1</v>
      </c>
      <c r="HY1006" s="19">
        <v>20.2</v>
      </c>
      <c r="HZ1006" s="19">
        <v>19.2</v>
      </c>
      <c r="IA1006" s="19">
        <v>18.2</v>
      </c>
      <c r="IB1006" s="19">
        <v>17.2</v>
      </c>
    </row>
    <row r="1007">
      <c r="A1007" s="2" t="s">
        <v>5106</v>
      </c>
      <c r="B1007" s="2" t="s">
        <v>825</v>
      </c>
      <c r="C1007" s="2" t="s">
        <v>826</v>
      </c>
      <c r="D1007" s="2" t="s">
        <v>261</v>
      </c>
      <c r="E1007" s="2" t="s">
        <v>603</v>
      </c>
      <c r="F1007" s="2" t="s">
        <v>5107</v>
      </c>
      <c r="G1007" s="2" t="s">
        <v>4464</v>
      </c>
      <c r="H1007" s="2" t="s">
        <v>5108</v>
      </c>
      <c r="I1007" s="2" t="s">
        <v>1051</v>
      </c>
      <c r="J1007" s="2" t="s">
        <v>275</v>
      </c>
      <c r="K1007" s="2" t="s">
        <v>1706</v>
      </c>
      <c r="L1007" s="3">
        <v>38.4</v>
      </c>
      <c r="M1007" s="3">
        <v>40.32</v>
      </c>
      <c r="N1007" s="3">
        <v>79.99</v>
      </c>
      <c r="O1007" s="2" t="s">
        <v>230</v>
      </c>
      <c r="P1007" s="2" t="s">
        <v>586</v>
      </c>
      <c r="Q1007" s="2" t="s">
        <v>232</v>
      </c>
      <c r="R1007" s="2" t="s">
        <v>233</v>
      </c>
      <c r="S1007" s="2" t="s">
        <v>5109</v>
      </c>
      <c r="T1007" s="2" t="s">
        <v>469</v>
      </c>
      <c r="U1007" s="2" t="s">
        <v>287</v>
      </c>
      <c r="V1007" s="2" t="s">
        <v>1268</v>
      </c>
      <c r="W1007" s="2" t="s">
        <v>620</v>
      </c>
      <c r="X1007" s="2" t="s">
        <v>288</v>
      </c>
      <c r="Y1007" s="2" t="s">
        <v>238</v>
      </c>
      <c r="Z1007" s="4">
        <v>151</v>
      </c>
      <c r="AA1007" s="4">
        <f>=ROUNDDOWN(18.875,0)</f>
      </c>
      <c r="AB1007" s="5">
        <v>8</v>
      </c>
      <c r="AC1007" s="2" t="s">
        <v>141</v>
      </c>
      <c r="AD1007" s="4">
        <v>90</v>
      </c>
      <c r="AE1007" s="4">
        <v>290</v>
      </c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233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/>
      <c r="AW1007" s="8"/>
      <c r="AX1007" s="4"/>
      <c r="AY1007" s="8"/>
      <c r="AZ1007" s="7"/>
      <c r="BA1007" s="7"/>
      <c r="BB1007" s="7"/>
      <c r="BC1007" s="4"/>
      <c r="BD1007" s="8"/>
      <c r="BE1007" s="4"/>
      <c r="BF1007" s="8"/>
      <c r="BG1007" s="7"/>
      <c r="BH1007" s="7"/>
      <c r="BI1007" s="7"/>
      <c r="BJ1007" s="4">
        <v>29</v>
      </c>
      <c r="BK1007" s="8">
        <v>1236.35</v>
      </c>
      <c r="BL1007" s="2" t="s">
        <v>5110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5111</v>
      </c>
      <c r="BV1007" s="2" t="s">
        <v>233</v>
      </c>
      <c r="BW1007" s="2" t="s">
        <v>233</v>
      </c>
      <c r="BX1007" s="2" t="s">
        <v>241</v>
      </c>
      <c r="BY1007" s="2" t="s">
        <v>242</v>
      </c>
      <c r="BZ1007" s="2" t="s">
        <v>230</v>
      </c>
      <c r="CA1007" s="2" t="s">
        <v>513</v>
      </c>
      <c r="CB1007" s="2" t="s">
        <v>1234</v>
      </c>
      <c r="CC1007" s="2" t="s">
        <v>245</v>
      </c>
      <c r="CD1007" s="2" t="s">
        <v>233</v>
      </c>
      <c r="CE1007" s="4">
        <v>91</v>
      </c>
      <c r="CF1007" s="4">
        <v>60</v>
      </c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>
        <v>90</v>
      </c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>
        <v>200</v>
      </c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>
        <v>167</v>
      </c>
      <c r="GD1007" s="4">
        <v>145</v>
      </c>
      <c r="GE1007" s="4">
        <v>136</v>
      </c>
      <c r="GF1007" s="4">
        <v>216</v>
      </c>
      <c r="GG1007" s="4">
        <v>202</v>
      </c>
      <c r="GH1007" s="4">
        <v>189</v>
      </c>
      <c r="GI1007" s="4">
        <v>176</v>
      </c>
      <c r="GJ1007" s="4">
        <v>166</v>
      </c>
      <c r="GK1007" s="4">
        <v>160</v>
      </c>
      <c r="GL1007" s="4">
        <v>351</v>
      </c>
      <c r="GM1007" s="4">
        <v>342</v>
      </c>
      <c r="GN1007" s="4">
        <v>334</v>
      </c>
      <c r="GO1007" s="4">
        <v>326</v>
      </c>
      <c r="GP1007" s="4">
        <v>318</v>
      </c>
      <c r="GQ1007" s="4">
        <v>310</v>
      </c>
      <c r="GR1007" s="4">
        <v>301</v>
      </c>
      <c r="GS1007" s="4">
        <v>291</v>
      </c>
      <c r="GT1007" s="4">
        <v>281</v>
      </c>
      <c r="GU1007" s="4">
        <v>271</v>
      </c>
      <c r="GV1007" s="4">
        <v>261</v>
      </c>
      <c r="GW1007" s="4">
        <v>252</v>
      </c>
      <c r="GX1007" s="4">
        <v>243</v>
      </c>
      <c r="GY1007" s="4">
        <v>234</v>
      </c>
      <c r="GZ1007" s="4">
        <v>225</v>
      </c>
      <c r="HA1007" s="4">
        <v>216</v>
      </c>
      <c r="HB1007" s="4">
        <v>208</v>
      </c>
      <c r="HC1007" s="19">
        <v>11.9</v>
      </c>
      <c r="HD1007" s="19">
        <v>12.1</v>
      </c>
      <c r="HE1007" s="19">
        <v>11.3</v>
      </c>
      <c r="HF1007" s="19">
        <v>18</v>
      </c>
      <c r="HG1007" s="19">
        <v>20.2</v>
      </c>
      <c r="HH1007" s="19">
        <v>18.9</v>
      </c>
      <c r="HI1007" s="19">
        <v>22</v>
      </c>
      <c r="HJ1007" s="19">
        <v>20.8</v>
      </c>
      <c r="HK1007" s="19">
        <v>20</v>
      </c>
      <c r="HL1007" s="19">
        <v>43.9</v>
      </c>
      <c r="HM1007" s="19">
        <v>42.8</v>
      </c>
      <c r="HN1007" s="19">
        <v>41.8</v>
      </c>
      <c r="HO1007" s="19">
        <v>36.2</v>
      </c>
      <c r="HP1007" s="19">
        <v>35.3</v>
      </c>
      <c r="HQ1007" s="19">
        <v>31</v>
      </c>
      <c r="HR1007" s="19">
        <v>30.1</v>
      </c>
      <c r="HS1007" s="19">
        <v>29.1</v>
      </c>
      <c r="HT1007" s="19">
        <v>28.1</v>
      </c>
      <c r="HU1007" s="19">
        <v>30.1</v>
      </c>
      <c r="HV1007" s="19">
        <v>29</v>
      </c>
      <c r="HW1007" s="19">
        <v>28</v>
      </c>
      <c r="HX1007" s="19">
        <v>27</v>
      </c>
      <c r="HY1007" s="19">
        <v>29.3</v>
      </c>
      <c r="HZ1007" s="19">
        <v>28.1</v>
      </c>
      <c r="IA1007" s="19">
        <v>27</v>
      </c>
      <c r="IB1007" s="19">
        <v>26</v>
      </c>
    </row>
    <row r="1008">
      <c r="A1008" s="2" t="s">
        <v>5112</v>
      </c>
      <c r="B1008" s="2" t="s">
        <v>872</v>
      </c>
      <c r="C1008" s="2" t="s">
        <v>762</v>
      </c>
      <c r="D1008" s="2" t="s">
        <v>261</v>
      </c>
      <c r="E1008" s="2" t="s">
        <v>895</v>
      </c>
      <c r="F1008" s="2" t="s">
        <v>5113</v>
      </c>
      <c r="G1008" s="2" t="s">
        <v>5113</v>
      </c>
      <c r="H1008" s="2" t="s">
        <v>5113</v>
      </c>
      <c r="I1008" s="2" t="s">
        <v>5114</v>
      </c>
      <c r="J1008" s="2" t="s">
        <v>265</v>
      </c>
      <c r="K1008" s="2" t="s">
        <v>5115</v>
      </c>
      <c r="L1008" s="3">
        <v>52.99</v>
      </c>
      <c r="M1008" s="3">
        <v>55.64</v>
      </c>
      <c r="N1008" s="3">
        <v>104.99</v>
      </c>
      <c r="O1008" s="2" t="s">
        <v>230</v>
      </c>
      <c r="P1008" s="2" t="s">
        <v>231</v>
      </c>
      <c r="Q1008" s="2" t="s">
        <v>232</v>
      </c>
      <c r="R1008" s="2" t="s">
        <v>233</v>
      </c>
      <c r="S1008" s="2" t="s">
        <v>5116</v>
      </c>
      <c r="T1008" s="2" t="s">
        <v>348</v>
      </c>
      <c r="U1008" s="2" t="s">
        <v>781</v>
      </c>
      <c r="V1008" s="2" t="s">
        <v>782</v>
      </c>
      <c r="W1008" s="2" t="s">
        <v>877</v>
      </c>
      <c r="X1008" s="2" t="s">
        <v>5117</v>
      </c>
      <c r="Y1008" s="2" t="s">
        <v>5118</v>
      </c>
      <c r="Z1008" s="4">
        <v>446</v>
      </c>
      <c r="AA1008" s="4">
        <f>=ROUNDDOWN(63.7142857142857,0)</f>
      </c>
      <c r="AB1008" s="5">
        <v>7</v>
      </c>
      <c r="AC1008" s="2" t="s">
        <v>233</v>
      </c>
      <c r="AD1008" s="4"/>
      <c r="AE1008" s="4"/>
      <c r="AF1008" s="6">
        <v>67</v>
      </c>
      <c r="AG1008" s="6"/>
      <c r="AH1008" s="7">
        <v>1</v>
      </c>
      <c r="AI1008" s="4"/>
      <c r="AJ1008" s="4">
        <f>=ROUNDDOWN({0},0)</f>
      </c>
      <c r="AK1008" s="5"/>
      <c r="AL1008" s="2" t="s">
        <v>233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233</v>
      </c>
      <c r="AW1008" s="8" t="s">
        <v>233</v>
      </c>
      <c r="AX1008" s="4" t="s">
        <v>233</v>
      </c>
      <c r="AY1008" s="8" t="s">
        <v>233</v>
      </c>
      <c r="AZ1008" s="7" t="s">
        <v>233</v>
      </c>
      <c r="BA1008" s="7" t="s">
        <v>233</v>
      </c>
      <c r="BB1008" s="7" t="s">
        <v>233</v>
      </c>
      <c r="BC1008" s="4" t="s">
        <v>233</v>
      </c>
      <c r="BD1008" s="8" t="s">
        <v>233</v>
      </c>
      <c r="BE1008" s="4" t="s">
        <v>233</v>
      </c>
      <c r="BF1008" s="8" t="s">
        <v>233</v>
      </c>
      <c r="BG1008" s="7" t="s">
        <v>233</v>
      </c>
      <c r="BH1008" s="7" t="s">
        <v>233</v>
      </c>
      <c r="BI1008" s="7"/>
      <c r="BJ1008" s="4">
        <v>25</v>
      </c>
      <c r="BK1008" s="8">
        <v>1526.94</v>
      </c>
      <c r="BL1008" s="2" t="s">
        <v>5119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5120</v>
      </c>
      <c r="BV1008" s="2" t="s">
        <v>233</v>
      </c>
      <c r="BW1008" s="2" t="s">
        <v>233</v>
      </c>
      <c r="BX1008" s="2" t="s">
        <v>241</v>
      </c>
      <c r="BY1008" s="2" t="s">
        <v>242</v>
      </c>
      <c r="BZ1008" s="2" t="s">
        <v>230</v>
      </c>
      <c r="CA1008" s="2" t="s">
        <v>679</v>
      </c>
      <c r="CB1008" s="2" t="s">
        <v>639</v>
      </c>
      <c r="CC1008" s="2" t="s">
        <v>245</v>
      </c>
      <c r="CD1008" s="2" t="s">
        <v>233</v>
      </c>
      <c r="CE1008" s="4">
        <v>251</v>
      </c>
      <c r="CF1008" s="4">
        <v>195</v>
      </c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>
        <v>463</v>
      </c>
      <c r="GD1008" s="4">
        <v>443</v>
      </c>
      <c r="GE1008" s="4">
        <v>434</v>
      </c>
      <c r="GF1008" s="4">
        <v>425</v>
      </c>
      <c r="GG1008" s="4">
        <v>407</v>
      </c>
      <c r="GH1008" s="4">
        <v>400</v>
      </c>
      <c r="GI1008" s="4">
        <v>391</v>
      </c>
      <c r="GJ1008" s="4">
        <v>384</v>
      </c>
      <c r="GK1008" s="4">
        <v>379</v>
      </c>
      <c r="GL1008" s="4">
        <v>371</v>
      </c>
      <c r="GM1008" s="4">
        <v>364</v>
      </c>
      <c r="GN1008" s="4">
        <v>357</v>
      </c>
      <c r="GO1008" s="4">
        <v>350</v>
      </c>
      <c r="GP1008" s="4">
        <v>343</v>
      </c>
      <c r="GQ1008" s="4">
        <v>336</v>
      </c>
      <c r="GR1008" s="4">
        <v>329</v>
      </c>
      <c r="GS1008" s="4">
        <v>322</v>
      </c>
      <c r="GT1008" s="4">
        <v>314</v>
      </c>
      <c r="GU1008" s="4">
        <v>307</v>
      </c>
      <c r="GV1008" s="4">
        <v>300</v>
      </c>
      <c r="GW1008" s="4">
        <v>293</v>
      </c>
      <c r="GX1008" s="4">
        <v>286</v>
      </c>
      <c r="GY1008" s="4">
        <v>279</v>
      </c>
      <c r="GZ1008" s="4">
        <v>272</v>
      </c>
      <c r="HA1008" s="4">
        <v>265</v>
      </c>
      <c r="HB1008" s="4">
        <v>258</v>
      </c>
      <c r="HC1008" s="19">
        <v>33.1</v>
      </c>
      <c r="HD1008" s="19">
        <v>40.3</v>
      </c>
      <c r="HE1008" s="19">
        <v>39.5</v>
      </c>
      <c r="HF1008" s="19">
        <v>42.5</v>
      </c>
      <c r="HG1008" s="19">
        <v>58.1</v>
      </c>
      <c r="HH1008" s="19">
        <v>57.1</v>
      </c>
      <c r="HI1008" s="19">
        <v>55.9</v>
      </c>
      <c r="HJ1008" s="19">
        <v>54.9</v>
      </c>
      <c r="HK1008" s="19">
        <v>54.1</v>
      </c>
      <c r="HL1008" s="19">
        <v>53</v>
      </c>
      <c r="HM1008" s="19">
        <v>52</v>
      </c>
      <c r="HN1008" s="19">
        <v>51</v>
      </c>
      <c r="HO1008" s="19">
        <v>50</v>
      </c>
      <c r="HP1008" s="19">
        <v>49</v>
      </c>
      <c r="HQ1008" s="19">
        <v>48</v>
      </c>
      <c r="HR1008" s="19">
        <v>47</v>
      </c>
      <c r="HS1008" s="19">
        <v>46</v>
      </c>
      <c r="HT1008" s="19">
        <v>44.9</v>
      </c>
      <c r="HU1008" s="19">
        <v>43.9</v>
      </c>
      <c r="HV1008" s="19">
        <v>42.9</v>
      </c>
      <c r="HW1008" s="19">
        <v>41.9</v>
      </c>
      <c r="HX1008" s="19">
        <v>40.9</v>
      </c>
      <c r="HY1008" s="19">
        <v>39.9</v>
      </c>
      <c r="HZ1008" s="19">
        <v>38.9</v>
      </c>
      <c r="IA1008" s="19">
        <v>37.9</v>
      </c>
      <c r="IB1008" s="19">
        <v>36.9</v>
      </c>
    </row>
    <row r="1009">
      <c r="A1009" s="2" t="s">
        <v>5121</v>
      </c>
      <c r="B1009" s="2" t="s">
        <v>872</v>
      </c>
      <c r="C1009" s="2" t="s">
        <v>762</v>
      </c>
      <c r="D1009" s="2" t="s">
        <v>774</v>
      </c>
      <c r="E1009" s="2" t="s">
        <v>775</v>
      </c>
      <c r="F1009" s="2" t="s">
        <v>5113</v>
      </c>
      <c r="G1009" s="2" t="s">
        <v>5113</v>
      </c>
      <c r="H1009" s="2" t="s">
        <v>5113</v>
      </c>
      <c r="I1009" s="2" t="s">
        <v>5122</v>
      </c>
      <c r="J1009" s="2" t="s">
        <v>265</v>
      </c>
      <c r="K1009" s="2" t="s">
        <v>5115</v>
      </c>
      <c r="L1009" s="3">
        <v>44.16</v>
      </c>
      <c r="M1009" s="3">
        <v>46.37</v>
      </c>
      <c r="N1009" s="3">
        <v>84.99</v>
      </c>
      <c r="O1009" s="2" t="s">
        <v>230</v>
      </c>
      <c r="P1009" s="2" t="s">
        <v>231</v>
      </c>
      <c r="Q1009" s="2" t="s">
        <v>232</v>
      </c>
      <c r="R1009" s="2" t="s">
        <v>233</v>
      </c>
      <c r="S1009" s="2" t="s">
        <v>5116</v>
      </c>
      <c r="T1009" s="2" t="s">
        <v>348</v>
      </c>
      <c r="U1009" s="2" t="s">
        <v>781</v>
      </c>
      <c r="V1009" s="2" t="s">
        <v>782</v>
      </c>
      <c r="W1009" s="2" t="s">
        <v>877</v>
      </c>
      <c r="X1009" s="2" t="s">
        <v>5117</v>
      </c>
      <c r="Y1009" s="2" t="s">
        <v>5118</v>
      </c>
      <c r="Z1009" s="4">
        <v>161</v>
      </c>
      <c r="AA1009" s="4">
        <f>=ROUNDDOWN(55.5172413793103,0)</f>
      </c>
      <c r="AB1009" s="5">
        <v>2.9</v>
      </c>
      <c r="AC1009" s="2" t="s">
        <v>233</v>
      </c>
      <c r="AD1009" s="4"/>
      <c r="AE1009" s="4"/>
      <c r="AF1009" s="6">
        <v>67</v>
      </c>
      <c r="AG1009" s="6"/>
      <c r="AH1009" s="7">
        <v>1</v>
      </c>
      <c r="AI1009" s="4"/>
      <c r="AJ1009" s="4">
        <f>=ROUNDDOWN({0},0)</f>
      </c>
      <c r="AK1009" s="5"/>
      <c r="AL1009" s="2" t="s">
        <v>233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233</v>
      </c>
      <c r="AW1009" s="8" t="s">
        <v>233</v>
      </c>
      <c r="AX1009" s="4" t="s">
        <v>233</v>
      </c>
      <c r="AY1009" s="8" t="s">
        <v>233</v>
      </c>
      <c r="AZ1009" s="7" t="s">
        <v>233</v>
      </c>
      <c r="BA1009" s="7" t="s">
        <v>233</v>
      </c>
      <c r="BB1009" s="7" t="s">
        <v>233</v>
      </c>
      <c r="BC1009" s="4" t="s">
        <v>233</v>
      </c>
      <c r="BD1009" s="8" t="s">
        <v>233</v>
      </c>
      <c r="BE1009" s="4" t="s">
        <v>233</v>
      </c>
      <c r="BF1009" s="8" t="s">
        <v>233</v>
      </c>
      <c r="BG1009" s="7" t="s">
        <v>233</v>
      </c>
      <c r="BH1009" s="7" t="s">
        <v>233</v>
      </c>
      <c r="BI1009" s="7"/>
      <c r="BJ1009" s="4">
        <v>11</v>
      </c>
      <c r="BK1009" s="8">
        <v>544.68</v>
      </c>
      <c r="BL1009" s="2" t="s">
        <v>1704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5123</v>
      </c>
      <c r="BV1009" s="2" t="s">
        <v>233</v>
      </c>
      <c r="BW1009" s="2" t="s">
        <v>233</v>
      </c>
      <c r="BX1009" s="2" t="s">
        <v>241</v>
      </c>
      <c r="BY1009" s="2" t="s">
        <v>242</v>
      </c>
      <c r="BZ1009" s="2" t="s">
        <v>230</v>
      </c>
      <c r="CA1009" s="2" t="s">
        <v>679</v>
      </c>
      <c r="CB1009" s="2" t="s">
        <v>5124</v>
      </c>
      <c r="CC1009" s="2" t="s">
        <v>245</v>
      </c>
      <c r="CD1009" s="2" t="s">
        <v>233</v>
      </c>
      <c r="CE1009" s="4">
        <v>161</v>
      </c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>
        <v>164</v>
      </c>
      <c r="GD1009" s="4">
        <v>161</v>
      </c>
      <c r="GE1009" s="4">
        <v>158</v>
      </c>
      <c r="GF1009" s="4">
        <v>155</v>
      </c>
      <c r="GG1009" s="4">
        <v>149</v>
      </c>
      <c r="GH1009" s="4">
        <v>146</v>
      </c>
      <c r="GI1009" s="4">
        <v>143</v>
      </c>
      <c r="GJ1009" s="4">
        <v>141</v>
      </c>
      <c r="GK1009" s="4">
        <v>140</v>
      </c>
      <c r="GL1009" s="4">
        <v>138</v>
      </c>
      <c r="GM1009" s="4">
        <v>136</v>
      </c>
      <c r="GN1009" s="4">
        <v>133</v>
      </c>
      <c r="GO1009" s="4">
        <v>130</v>
      </c>
      <c r="GP1009" s="4">
        <v>127</v>
      </c>
      <c r="GQ1009" s="4">
        <v>124</v>
      </c>
      <c r="GR1009" s="4">
        <v>121</v>
      </c>
      <c r="GS1009" s="4">
        <v>118</v>
      </c>
      <c r="GT1009" s="4">
        <v>115</v>
      </c>
      <c r="GU1009" s="4">
        <v>112</v>
      </c>
      <c r="GV1009" s="4">
        <v>109</v>
      </c>
      <c r="GW1009" s="4">
        <v>106</v>
      </c>
      <c r="GX1009" s="4">
        <v>103</v>
      </c>
      <c r="GY1009" s="4">
        <v>100</v>
      </c>
      <c r="GZ1009" s="4">
        <v>97</v>
      </c>
      <c r="HA1009" s="4">
        <v>94</v>
      </c>
      <c r="HB1009" s="4">
        <v>91</v>
      </c>
      <c r="HC1009" s="19">
        <v>41</v>
      </c>
      <c r="HD1009" s="19">
        <v>40.3</v>
      </c>
      <c r="HE1009" s="19">
        <v>39.5</v>
      </c>
      <c r="HF1009" s="19">
        <v>38.8</v>
      </c>
      <c r="HG1009" s="19">
        <v>74.5</v>
      </c>
      <c r="HH1009" s="19">
        <v>73</v>
      </c>
      <c r="HI1009" s="19">
        <v>71.5</v>
      </c>
      <c r="HJ1009" s="19">
        <v>70.5</v>
      </c>
      <c r="HK1009" s="19">
        <v>70</v>
      </c>
      <c r="HL1009" s="19">
        <v>46</v>
      </c>
      <c r="HM1009" s="19">
        <v>45.3</v>
      </c>
      <c r="HN1009" s="19">
        <v>44.3</v>
      </c>
      <c r="HO1009" s="19">
        <v>43.3</v>
      </c>
      <c r="HP1009" s="19">
        <v>42.3</v>
      </c>
      <c r="HQ1009" s="19">
        <v>41.3</v>
      </c>
      <c r="HR1009" s="19">
        <v>40.3</v>
      </c>
      <c r="HS1009" s="19">
        <v>39.3</v>
      </c>
      <c r="HT1009" s="19">
        <v>38.3</v>
      </c>
      <c r="HU1009" s="19">
        <v>37.3</v>
      </c>
      <c r="HV1009" s="19">
        <v>36.3</v>
      </c>
      <c r="HW1009" s="19">
        <v>35.3</v>
      </c>
      <c r="HX1009" s="19">
        <v>34.3</v>
      </c>
      <c r="HY1009" s="19">
        <v>33.3</v>
      </c>
      <c r="HZ1009" s="19">
        <v>32.3</v>
      </c>
      <c r="IA1009" s="19">
        <v>31.3</v>
      </c>
      <c r="IB1009" s="19">
        <v>30.3</v>
      </c>
    </row>
    <row r="1010">
      <c r="A1010" s="2" t="s">
        <v>5125</v>
      </c>
      <c r="B1010" s="2" t="s">
        <v>872</v>
      </c>
      <c r="C1010" s="2" t="s">
        <v>762</v>
      </c>
      <c r="D1010" s="2" t="s">
        <v>774</v>
      </c>
      <c r="E1010" s="2" t="s">
        <v>775</v>
      </c>
      <c r="F1010" s="2" t="s">
        <v>5113</v>
      </c>
      <c r="G1010" s="2" t="s">
        <v>5113</v>
      </c>
      <c r="H1010" s="2" t="s">
        <v>5113</v>
      </c>
      <c r="I1010" s="2" t="s">
        <v>5122</v>
      </c>
      <c r="J1010" s="2" t="s">
        <v>275</v>
      </c>
      <c r="K1010" s="2" t="s">
        <v>5115</v>
      </c>
      <c r="L1010" s="3">
        <v>58.6</v>
      </c>
      <c r="M1010" s="3">
        <v>61.53</v>
      </c>
      <c r="N1010" s="3">
        <v>114.99</v>
      </c>
      <c r="O1010" s="2" t="s">
        <v>230</v>
      </c>
      <c r="P1010" s="2" t="s">
        <v>231</v>
      </c>
      <c r="Q1010" s="2" t="s">
        <v>232</v>
      </c>
      <c r="R1010" s="2" t="s">
        <v>233</v>
      </c>
      <c r="S1010" s="2" t="s">
        <v>5116</v>
      </c>
      <c r="T1010" s="2" t="s">
        <v>348</v>
      </c>
      <c r="U1010" s="2" t="s">
        <v>781</v>
      </c>
      <c r="V1010" s="2" t="s">
        <v>782</v>
      </c>
      <c r="W1010" s="2" t="s">
        <v>877</v>
      </c>
      <c r="X1010" s="2" t="s">
        <v>5117</v>
      </c>
      <c r="Y1010" s="2" t="s">
        <v>5118</v>
      </c>
      <c r="Z1010" s="4">
        <v>334</v>
      </c>
      <c r="AA1010" s="4">
        <f>=ROUNDDOWN(47.7142857142857,0)</f>
      </c>
      <c r="AB1010" s="5">
        <v>7</v>
      </c>
      <c r="AC1010" s="2" t="s">
        <v>233</v>
      </c>
      <c r="AD1010" s="4"/>
      <c r="AE1010" s="4"/>
      <c r="AF1010" s="6">
        <v>67</v>
      </c>
      <c r="AG1010" s="6"/>
      <c r="AH1010" s="7">
        <v>1</v>
      </c>
      <c r="AI1010" s="4"/>
      <c r="AJ1010" s="4">
        <f>=ROUNDDOWN({0},0)</f>
      </c>
      <c r="AK1010" s="5"/>
      <c r="AL1010" s="2" t="s">
        <v>233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233</v>
      </c>
      <c r="AW1010" s="8" t="s">
        <v>233</v>
      </c>
      <c r="AX1010" s="4" t="s">
        <v>233</v>
      </c>
      <c r="AY1010" s="8" t="s">
        <v>233</v>
      </c>
      <c r="AZ1010" s="7" t="s">
        <v>233</v>
      </c>
      <c r="BA1010" s="7" t="s">
        <v>233</v>
      </c>
      <c r="BB1010" s="7"/>
      <c r="BC1010" s="4" t="s">
        <v>233</v>
      </c>
      <c r="BD1010" s="8" t="s">
        <v>233</v>
      </c>
      <c r="BE1010" s="4" t="s">
        <v>233</v>
      </c>
      <c r="BF1010" s="8" t="s">
        <v>233</v>
      </c>
      <c r="BG1010" s="7" t="s">
        <v>233</v>
      </c>
      <c r="BH1010" s="7" t="s">
        <v>233</v>
      </c>
      <c r="BI1010" s="7"/>
      <c r="BJ1010" s="4">
        <v>23</v>
      </c>
      <c r="BK1010" s="8">
        <v>1531.22</v>
      </c>
      <c r="BL1010" s="2" t="s">
        <v>2907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5123</v>
      </c>
      <c r="BV1010" s="2" t="s">
        <v>233</v>
      </c>
      <c r="BW1010" s="2" t="s">
        <v>233</v>
      </c>
      <c r="BX1010" s="2" t="s">
        <v>241</v>
      </c>
      <c r="BY1010" s="2" t="s">
        <v>242</v>
      </c>
      <c r="BZ1010" s="2" t="s">
        <v>230</v>
      </c>
      <c r="CA1010" s="2" t="s">
        <v>679</v>
      </c>
      <c r="CB1010" s="2" t="s">
        <v>5126</v>
      </c>
      <c r="CC1010" s="2" t="s">
        <v>245</v>
      </c>
      <c r="CD1010" s="2" t="s">
        <v>233</v>
      </c>
      <c r="CE1010" s="4">
        <v>334</v>
      </c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>
        <v>337</v>
      </c>
      <c r="GD1010" s="4">
        <v>313</v>
      </c>
      <c r="GE1010" s="4">
        <v>302</v>
      </c>
      <c r="GF1010" s="4">
        <v>291</v>
      </c>
      <c r="GG1010" s="4">
        <v>270</v>
      </c>
      <c r="GH1010" s="4">
        <v>259</v>
      </c>
      <c r="GI1010" s="4">
        <v>248</v>
      </c>
      <c r="GJ1010" s="4">
        <v>240</v>
      </c>
      <c r="GK1010" s="4">
        <v>234</v>
      </c>
      <c r="GL1010" s="4">
        <v>227</v>
      </c>
      <c r="GM1010" s="4">
        <v>220</v>
      </c>
      <c r="GN1010" s="4">
        <v>213</v>
      </c>
      <c r="GO1010" s="4">
        <v>206</v>
      </c>
      <c r="GP1010" s="4">
        <v>199</v>
      </c>
      <c r="GQ1010" s="4">
        <v>192</v>
      </c>
      <c r="GR1010" s="4">
        <v>185</v>
      </c>
      <c r="GS1010" s="4">
        <v>178</v>
      </c>
      <c r="GT1010" s="4">
        <v>171</v>
      </c>
      <c r="GU1010" s="4">
        <v>164</v>
      </c>
      <c r="GV1010" s="4">
        <v>157</v>
      </c>
      <c r="GW1010" s="4">
        <v>150</v>
      </c>
      <c r="GX1010" s="4">
        <v>143</v>
      </c>
      <c r="GY1010" s="4">
        <v>136</v>
      </c>
      <c r="GZ1010" s="4">
        <v>129</v>
      </c>
      <c r="HA1010" s="4">
        <v>122</v>
      </c>
      <c r="HB1010" s="4">
        <v>115</v>
      </c>
      <c r="HC1010" s="19">
        <v>19.8</v>
      </c>
      <c r="HD1010" s="19">
        <v>22.4</v>
      </c>
      <c r="HE1010" s="19">
        <v>21.6</v>
      </c>
      <c r="HF1010" s="19">
        <v>22.4</v>
      </c>
      <c r="HG1010" s="19">
        <v>30</v>
      </c>
      <c r="HH1010" s="19">
        <v>32.4</v>
      </c>
      <c r="HI1010" s="19">
        <v>35.4</v>
      </c>
      <c r="HJ1010" s="19">
        <v>34.3</v>
      </c>
      <c r="HK1010" s="19">
        <v>33.4</v>
      </c>
      <c r="HL1010" s="19">
        <v>32.4</v>
      </c>
      <c r="HM1010" s="19">
        <v>31.4</v>
      </c>
      <c r="HN1010" s="19">
        <v>30.4</v>
      </c>
      <c r="HO1010" s="19">
        <v>29.4</v>
      </c>
      <c r="HP1010" s="19">
        <v>28.4</v>
      </c>
      <c r="HQ1010" s="19">
        <v>27.4</v>
      </c>
      <c r="HR1010" s="19">
        <v>26.4</v>
      </c>
      <c r="HS1010" s="19">
        <v>25.4</v>
      </c>
      <c r="HT1010" s="19">
        <v>24.4</v>
      </c>
      <c r="HU1010" s="19">
        <v>23.4</v>
      </c>
      <c r="HV1010" s="19">
        <v>22.4</v>
      </c>
      <c r="HW1010" s="19">
        <v>21.4</v>
      </c>
      <c r="HX1010" s="19">
        <v>20.4</v>
      </c>
      <c r="HY1010" s="19">
        <v>19.4</v>
      </c>
      <c r="HZ1010" s="19">
        <v>18.4</v>
      </c>
      <c r="IA1010" s="19">
        <v>17.4</v>
      </c>
      <c r="IB1010" s="19">
        <v>16.4</v>
      </c>
    </row>
    <row r="1011">
      <c r="A1011" s="2" t="s">
        <v>5127</v>
      </c>
      <c r="B1011" s="2" t="s">
        <v>872</v>
      </c>
      <c r="C1011" s="2" t="s">
        <v>762</v>
      </c>
      <c r="D1011" s="2" t="s">
        <v>774</v>
      </c>
      <c r="E1011" s="2" t="s">
        <v>775</v>
      </c>
      <c r="F1011" s="2" t="s">
        <v>5113</v>
      </c>
      <c r="G1011" s="2" t="s">
        <v>5113</v>
      </c>
      <c r="H1011" s="2" t="s">
        <v>5113</v>
      </c>
      <c r="I1011" s="2" t="s">
        <v>5122</v>
      </c>
      <c r="J1011" s="2" t="s">
        <v>275</v>
      </c>
      <c r="K1011" s="2" t="s">
        <v>5128</v>
      </c>
      <c r="L1011" s="3">
        <v>58.6</v>
      </c>
      <c r="M1011" s="3">
        <v>61.53</v>
      </c>
      <c r="N1011" s="3">
        <v>114.99</v>
      </c>
      <c r="O1011" s="2" t="s">
        <v>230</v>
      </c>
      <c r="P1011" s="2" t="s">
        <v>1302</v>
      </c>
      <c r="Q1011" s="2" t="s">
        <v>232</v>
      </c>
      <c r="R1011" s="2" t="s">
        <v>233</v>
      </c>
      <c r="S1011" s="2" t="s">
        <v>5129</v>
      </c>
      <c r="T1011" s="2" t="s">
        <v>348</v>
      </c>
      <c r="U1011" s="2" t="s">
        <v>781</v>
      </c>
      <c r="V1011" s="2" t="s">
        <v>782</v>
      </c>
      <c r="W1011" s="2" t="s">
        <v>877</v>
      </c>
      <c r="X1011" s="2" t="s">
        <v>5117</v>
      </c>
      <c r="Y1011" s="2" t="s">
        <v>4321</v>
      </c>
      <c r="Z1011" s="4">
        <v>3466</v>
      </c>
      <c r="AA1011" s="4">
        <f>=ROUNDDOWN(157.545454545455,0)</f>
      </c>
      <c r="AB1011" s="5">
        <v>22</v>
      </c>
      <c r="AC1011" s="2" t="s">
        <v>233</v>
      </c>
      <c r="AD1011" s="4"/>
      <c r="AE1011" s="4"/>
      <c r="AF1011" s="6">
        <v>67</v>
      </c>
      <c r="AG1011" s="6"/>
      <c r="AH1011" s="7">
        <v>1</v>
      </c>
      <c r="AI1011" s="4"/>
      <c r="AJ1011" s="4">
        <f>=ROUNDDOWN({0},0)</f>
      </c>
      <c r="AK1011" s="5"/>
      <c r="AL1011" s="2" t="s">
        <v>233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 t="s">
        <v>233</v>
      </c>
      <c r="BD1011" s="8" t="s">
        <v>233</v>
      </c>
      <c r="BE1011" s="4" t="s">
        <v>233</v>
      </c>
      <c r="BF1011" s="8" t="s">
        <v>233</v>
      </c>
      <c r="BG1011" s="7" t="s">
        <v>233</v>
      </c>
      <c r="BH1011" s="7" t="s">
        <v>233</v>
      </c>
      <c r="BI1011" s="7"/>
      <c r="BJ1011" s="4">
        <v>74</v>
      </c>
      <c r="BK1011" s="8">
        <v>5019.17</v>
      </c>
      <c r="BL1011" s="2" t="s">
        <v>2313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5123</v>
      </c>
      <c r="BV1011" s="2" t="s">
        <v>233</v>
      </c>
      <c r="BW1011" s="2" t="s">
        <v>233</v>
      </c>
      <c r="BX1011" s="2" t="s">
        <v>241</v>
      </c>
      <c r="BY1011" s="2" t="s">
        <v>242</v>
      </c>
      <c r="BZ1011" s="2" t="s">
        <v>230</v>
      </c>
      <c r="CA1011" s="2" t="s">
        <v>2473</v>
      </c>
      <c r="CB1011" s="2" t="s">
        <v>330</v>
      </c>
      <c r="CC1011" s="2" t="s">
        <v>245</v>
      </c>
      <c r="CD1011" s="2" t="s">
        <v>233</v>
      </c>
      <c r="CE1011" s="4">
        <v>228</v>
      </c>
      <c r="CF1011" s="4">
        <v>2443</v>
      </c>
      <c r="CG1011" s="4"/>
      <c r="CH1011" s="4">
        <v>795</v>
      </c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>
        <v>3503</v>
      </c>
      <c r="GD1011" s="4">
        <v>3495</v>
      </c>
      <c r="GE1011" s="4">
        <v>3458</v>
      </c>
      <c r="GF1011" s="4">
        <v>3433</v>
      </c>
      <c r="GG1011" s="4">
        <v>3398</v>
      </c>
      <c r="GH1011" s="4">
        <v>3375</v>
      </c>
      <c r="GI1011" s="4">
        <v>3352</v>
      </c>
      <c r="GJ1011" s="4">
        <v>3232</v>
      </c>
      <c r="GK1011" s="4">
        <v>3229</v>
      </c>
      <c r="GL1011" s="4">
        <v>3222</v>
      </c>
      <c r="GM1011" s="4">
        <v>3216</v>
      </c>
      <c r="GN1011" s="4">
        <v>3210</v>
      </c>
      <c r="GO1011" s="4">
        <v>3204</v>
      </c>
      <c r="GP1011" s="4">
        <v>3198</v>
      </c>
      <c r="GQ1011" s="4">
        <v>3177</v>
      </c>
      <c r="GR1011" s="4">
        <v>3155</v>
      </c>
      <c r="GS1011" s="4">
        <v>3133</v>
      </c>
      <c r="GT1011" s="4">
        <v>3110</v>
      </c>
      <c r="GU1011" s="4">
        <v>3088</v>
      </c>
      <c r="GV1011" s="4">
        <v>3066</v>
      </c>
      <c r="GW1011" s="4">
        <v>3044</v>
      </c>
      <c r="GX1011" s="4">
        <v>3022</v>
      </c>
      <c r="GY1011" s="4">
        <v>3000</v>
      </c>
      <c r="GZ1011" s="4">
        <v>2978</v>
      </c>
      <c r="HA1011" s="4">
        <v>2954</v>
      </c>
      <c r="HB1011" s="4">
        <v>2932</v>
      </c>
      <c r="HC1011" s="19">
        <v>134.7</v>
      </c>
      <c r="HD1011" s="19">
        <v>116.5</v>
      </c>
      <c r="HE1011" s="19">
        <v>133</v>
      </c>
      <c r="HF1011" s="19">
        <v>68.7</v>
      </c>
      <c r="HG1011" s="19">
        <v>80.9</v>
      </c>
      <c r="HH1011" s="19">
        <v>88.8</v>
      </c>
      <c r="HI1011" s="19">
        <v>98.6</v>
      </c>
      <c r="HJ1011" s="19">
        <v>538.7</v>
      </c>
      <c r="HK1011" s="19">
        <v>538.2</v>
      </c>
      <c r="HL1011" s="19">
        <v>537</v>
      </c>
      <c r="HM1011" s="19">
        <v>321.6</v>
      </c>
      <c r="HN1011" s="19">
        <v>229.3</v>
      </c>
      <c r="HO1011" s="19">
        <v>178</v>
      </c>
      <c r="HP1011" s="19">
        <v>145.4</v>
      </c>
      <c r="HQ1011" s="19">
        <v>144.4</v>
      </c>
      <c r="HR1011" s="19">
        <v>143.4</v>
      </c>
      <c r="HS1011" s="19">
        <v>142.4</v>
      </c>
      <c r="HT1011" s="19">
        <v>141.4</v>
      </c>
      <c r="HU1011" s="19">
        <v>140.4</v>
      </c>
      <c r="HV1011" s="19">
        <v>139.4</v>
      </c>
      <c r="HW1011" s="19">
        <v>138.4</v>
      </c>
      <c r="HX1011" s="19">
        <v>137.4</v>
      </c>
      <c r="HY1011" s="19">
        <v>136.4</v>
      </c>
      <c r="HZ1011" s="19">
        <v>135.4</v>
      </c>
      <c r="IA1011" s="19">
        <v>134.3</v>
      </c>
      <c r="IB1011" s="19">
        <v>133.3</v>
      </c>
    </row>
    <row r="1012">
      <c r="A1012" s="2" t="s">
        <v>5130</v>
      </c>
      <c r="B1012" s="2" t="s">
        <v>872</v>
      </c>
      <c r="C1012" s="2" t="s">
        <v>280</v>
      </c>
      <c r="D1012" s="2" t="s">
        <v>774</v>
      </c>
      <c r="E1012" s="2" t="s">
        <v>775</v>
      </c>
      <c r="F1012" s="2" t="s">
        <v>1535</v>
      </c>
      <c r="G1012" s="2" t="s">
        <v>5131</v>
      </c>
      <c r="H1012" s="2" t="s">
        <v>5132</v>
      </c>
      <c r="I1012" s="2" t="s">
        <v>5133</v>
      </c>
      <c r="J1012" s="2" t="s">
        <v>275</v>
      </c>
      <c r="K1012" s="2" t="s">
        <v>5134</v>
      </c>
      <c r="L1012" s="3">
        <v>32</v>
      </c>
      <c r="M1012" s="3">
        <v>33.6</v>
      </c>
      <c r="N1012" s="3">
        <v>69.99</v>
      </c>
      <c r="O1012" s="2" t="s">
        <v>230</v>
      </c>
      <c r="P1012" s="2" t="s">
        <v>231</v>
      </c>
      <c r="Q1012" s="2" t="s">
        <v>232</v>
      </c>
      <c r="R1012" s="2" t="s">
        <v>233</v>
      </c>
      <c r="S1012" s="2" t="s">
        <v>5135</v>
      </c>
      <c r="T1012" s="2" t="s">
        <v>348</v>
      </c>
      <c r="U1012" s="2" t="s">
        <v>781</v>
      </c>
      <c r="V1012" s="2" t="s">
        <v>349</v>
      </c>
      <c r="W1012" s="2" t="s">
        <v>1141</v>
      </c>
      <c r="X1012" s="2" t="s">
        <v>620</v>
      </c>
      <c r="Y1012" s="2" t="s">
        <v>5136</v>
      </c>
      <c r="Z1012" s="4">
        <v>70</v>
      </c>
      <c r="AA1012" s="4">
        <f>=ROUNDDOWN(35,0)</f>
      </c>
      <c r="AB1012" s="5">
        <v>2</v>
      </c>
      <c r="AC1012" s="2" t="s">
        <v>5137</v>
      </c>
      <c r="AD1012" s="4">
        <v>30</v>
      </c>
      <c r="AE1012" s="4">
        <v>30</v>
      </c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233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/>
      <c r="BD1012" s="8"/>
      <c r="BE1012" s="4"/>
      <c r="BF1012" s="8"/>
      <c r="BG1012" s="7"/>
      <c r="BH1012" s="7"/>
      <c r="BI1012" s="7"/>
      <c r="BJ1012" s="4">
        <v>4</v>
      </c>
      <c r="BK1012" s="8">
        <v>145.16</v>
      </c>
      <c r="BL1012" s="2" t="s">
        <v>4904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5138</v>
      </c>
      <c r="BV1012" s="2" t="s">
        <v>233</v>
      </c>
      <c r="BW1012" s="2" t="s">
        <v>233</v>
      </c>
      <c r="BX1012" s="2" t="s">
        <v>241</v>
      </c>
      <c r="BY1012" s="2" t="s">
        <v>242</v>
      </c>
      <c r="BZ1012" s="2" t="s">
        <v>230</v>
      </c>
      <c r="CA1012" s="2" t="s">
        <v>2717</v>
      </c>
      <c r="CB1012" s="2" t="s">
        <v>440</v>
      </c>
      <c r="CC1012" s="2" t="s">
        <v>245</v>
      </c>
      <c r="CD1012" s="2" t="s">
        <v>233</v>
      </c>
      <c r="CE1012" s="4">
        <v>70</v>
      </c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>
        <v>30</v>
      </c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>
        <v>71</v>
      </c>
      <c r="GD1012" s="4">
        <v>68</v>
      </c>
      <c r="GE1012" s="4">
        <v>65</v>
      </c>
      <c r="GF1012" s="4">
        <v>62</v>
      </c>
      <c r="GG1012" s="4">
        <v>56</v>
      </c>
      <c r="GH1012" s="4">
        <v>53</v>
      </c>
      <c r="GI1012" s="4">
        <v>50</v>
      </c>
      <c r="GJ1012" s="4">
        <v>48</v>
      </c>
      <c r="GK1012" s="4">
        <v>47</v>
      </c>
      <c r="GL1012" s="4">
        <v>75</v>
      </c>
      <c r="GM1012" s="4">
        <v>73</v>
      </c>
      <c r="GN1012" s="4">
        <v>71</v>
      </c>
      <c r="GO1012" s="4">
        <v>69</v>
      </c>
      <c r="GP1012" s="4">
        <v>67</v>
      </c>
      <c r="GQ1012" s="4">
        <v>65</v>
      </c>
      <c r="GR1012" s="4">
        <v>63</v>
      </c>
      <c r="GS1012" s="4">
        <v>61</v>
      </c>
      <c r="GT1012" s="4">
        <v>59</v>
      </c>
      <c r="GU1012" s="4">
        <v>57</v>
      </c>
      <c r="GV1012" s="4">
        <v>55</v>
      </c>
      <c r="GW1012" s="4">
        <v>53</v>
      </c>
      <c r="GX1012" s="4">
        <v>51</v>
      </c>
      <c r="GY1012" s="4">
        <v>49</v>
      </c>
      <c r="GZ1012" s="4">
        <v>47</v>
      </c>
      <c r="HA1012" s="4">
        <v>45</v>
      </c>
      <c r="HB1012" s="4">
        <v>43</v>
      </c>
      <c r="HC1012" s="19">
        <v>17.8</v>
      </c>
      <c r="HD1012" s="19">
        <v>17</v>
      </c>
      <c r="HE1012" s="19">
        <v>16.3</v>
      </c>
      <c r="HF1012" s="19">
        <v>15.5</v>
      </c>
      <c r="HG1012" s="19">
        <v>28</v>
      </c>
      <c r="HH1012" s="19">
        <v>26.5</v>
      </c>
      <c r="HI1012" s="19">
        <v>25</v>
      </c>
      <c r="HJ1012" s="19">
        <v>24</v>
      </c>
      <c r="HK1012" s="19">
        <v>23.5</v>
      </c>
      <c r="HL1012" s="19">
        <v>37.5</v>
      </c>
      <c r="HM1012" s="19">
        <v>36.5</v>
      </c>
      <c r="HN1012" s="19">
        <v>35.5</v>
      </c>
      <c r="HO1012" s="19">
        <v>34.5</v>
      </c>
      <c r="HP1012" s="19">
        <v>33.5</v>
      </c>
      <c r="HQ1012" s="19">
        <v>32.5</v>
      </c>
      <c r="HR1012" s="19">
        <v>31.5</v>
      </c>
      <c r="HS1012" s="19">
        <v>30.5</v>
      </c>
      <c r="HT1012" s="19">
        <v>29.5</v>
      </c>
      <c r="HU1012" s="19">
        <v>28.5</v>
      </c>
      <c r="HV1012" s="19">
        <v>27.5</v>
      </c>
      <c r="HW1012" s="19">
        <v>26.5</v>
      </c>
      <c r="HX1012" s="19">
        <v>25.5</v>
      </c>
      <c r="HY1012" s="19">
        <v>24.5</v>
      </c>
      <c r="HZ1012" s="19">
        <v>23.5</v>
      </c>
      <c r="IA1012" s="19">
        <v>22.5</v>
      </c>
      <c r="IB1012" s="19">
        <v>21.5</v>
      </c>
    </row>
    <row r="1013">
      <c r="A1013" s="2" t="s">
        <v>5139</v>
      </c>
      <c r="B1013" s="2" t="s">
        <v>773</v>
      </c>
      <c r="C1013" s="2" t="s">
        <v>908</v>
      </c>
      <c r="D1013" s="2" t="s">
        <v>985</v>
      </c>
      <c r="E1013" s="2" t="s">
        <v>986</v>
      </c>
      <c r="F1013" s="2" t="s">
        <v>5140</v>
      </c>
      <c r="G1013" s="2" t="s">
        <v>5140</v>
      </c>
      <c r="H1013" s="2" t="s">
        <v>5140</v>
      </c>
      <c r="I1013" s="2" t="s">
        <v>5141</v>
      </c>
      <c r="J1013" s="2" t="s">
        <v>989</v>
      </c>
      <c r="K1013" s="2" t="s">
        <v>1511</v>
      </c>
      <c r="L1013" s="3">
        <v>37.72</v>
      </c>
      <c r="M1013" s="3">
        <v>39.61</v>
      </c>
      <c r="N1013" s="3">
        <v>81.99</v>
      </c>
      <c r="O1013" s="2" t="s">
        <v>230</v>
      </c>
      <c r="P1013" s="2" t="s">
        <v>231</v>
      </c>
      <c r="Q1013" s="2" t="s">
        <v>232</v>
      </c>
      <c r="R1013" s="2" t="s">
        <v>233</v>
      </c>
      <c r="S1013" s="2" t="s">
        <v>5142</v>
      </c>
      <c r="T1013" s="2" t="s">
        <v>913</v>
      </c>
      <c r="U1013" s="2" t="s">
        <v>329</v>
      </c>
      <c r="V1013" s="2" t="s">
        <v>914</v>
      </c>
      <c r="W1013" s="2" t="s">
        <v>915</v>
      </c>
      <c r="X1013" s="2" t="s">
        <v>916</v>
      </c>
      <c r="Y1013" s="2" t="s">
        <v>2680</v>
      </c>
      <c r="Z1013" s="4">
        <v>435</v>
      </c>
      <c r="AA1013" s="4">
        <f>=ROUNDDOWN(13.1818181818182,0)</f>
      </c>
      <c r="AB1013" s="5">
        <v>33</v>
      </c>
      <c r="AC1013" s="2" t="s">
        <v>140</v>
      </c>
      <c r="AD1013" s="4">
        <v>260</v>
      </c>
      <c r="AE1013" s="4">
        <v>260</v>
      </c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233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/>
      <c r="BD1013" s="8"/>
      <c r="BE1013" s="4"/>
      <c r="BF1013" s="8"/>
      <c r="BG1013" s="7"/>
      <c r="BH1013" s="7"/>
      <c r="BI1013" s="7"/>
      <c r="BJ1013" s="4">
        <v>32</v>
      </c>
      <c r="BK1013" s="8">
        <v>1352.75</v>
      </c>
      <c r="BL1013" s="2" t="s">
        <v>5143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5144</v>
      </c>
      <c r="BV1013" s="2" t="s">
        <v>233</v>
      </c>
      <c r="BW1013" s="2" t="s">
        <v>233</v>
      </c>
      <c r="BX1013" s="2" t="s">
        <v>241</v>
      </c>
      <c r="BY1013" s="2" t="s">
        <v>242</v>
      </c>
      <c r="BZ1013" s="2" t="s">
        <v>230</v>
      </c>
      <c r="CA1013" s="2" t="s">
        <v>2991</v>
      </c>
      <c r="CB1013" s="2" t="s">
        <v>5145</v>
      </c>
      <c r="CC1013" s="2" t="s">
        <v>245</v>
      </c>
      <c r="CD1013" s="2" t="s">
        <v>233</v>
      </c>
      <c r="CE1013" s="4">
        <v>115</v>
      </c>
      <c r="CF1013" s="4">
        <v>320</v>
      </c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>
        <v>260</v>
      </c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>
        <v>699</v>
      </c>
      <c r="GD1013" s="4">
        <v>648</v>
      </c>
      <c r="GE1013" s="4">
        <v>885</v>
      </c>
      <c r="GF1013" s="4">
        <v>858</v>
      </c>
      <c r="GG1013" s="4">
        <v>799</v>
      </c>
      <c r="GH1013" s="4">
        <v>744</v>
      </c>
      <c r="GI1013" s="4">
        <v>676</v>
      </c>
      <c r="GJ1013" s="4">
        <v>644</v>
      </c>
      <c r="GK1013" s="4">
        <v>634</v>
      </c>
      <c r="GL1013" s="4">
        <v>618</v>
      </c>
      <c r="GM1013" s="4">
        <v>609</v>
      </c>
      <c r="GN1013" s="4">
        <v>591</v>
      </c>
      <c r="GO1013" s="4">
        <v>578</v>
      </c>
      <c r="GP1013" s="4">
        <v>565</v>
      </c>
      <c r="GQ1013" s="4">
        <v>548</v>
      </c>
      <c r="GR1013" s="4">
        <v>519</v>
      </c>
      <c r="GS1013" s="4">
        <v>494</v>
      </c>
      <c r="GT1013" s="4">
        <v>471</v>
      </c>
      <c r="GU1013" s="4">
        <v>448</v>
      </c>
      <c r="GV1013" s="4">
        <v>428</v>
      </c>
      <c r="GW1013" s="4">
        <v>405</v>
      </c>
      <c r="GX1013" s="4">
        <v>392</v>
      </c>
      <c r="GY1013" s="4">
        <v>380</v>
      </c>
      <c r="GZ1013" s="4">
        <v>374</v>
      </c>
      <c r="HA1013" s="4">
        <v>368</v>
      </c>
      <c r="HB1013" s="4">
        <v>365</v>
      </c>
      <c r="HC1013" s="19">
        <v>17.5</v>
      </c>
      <c r="HD1013" s="19">
        <v>15.8</v>
      </c>
      <c r="HE1013" s="19">
        <v>17</v>
      </c>
      <c r="HF1013" s="19">
        <v>15.9</v>
      </c>
      <c r="HG1013" s="19">
        <v>19.5</v>
      </c>
      <c r="HH1013" s="19">
        <v>23.3</v>
      </c>
      <c r="HI1013" s="19">
        <v>39.8</v>
      </c>
      <c r="HJ1013" s="19">
        <v>49.5</v>
      </c>
      <c r="HK1013" s="19">
        <v>45.3</v>
      </c>
      <c r="HL1013" s="19">
        <v>47.5</v>
      </c>
      <c r="HM1013" s="19">
        <v>40.6</v>
      </c>
      <c r="HN1013" s="19">
        <v>32.8</v>
      </c>
      <c r="HO1013" s="19">
        <v>27.5</v>
      </c>
      <c r="HP1013" s="19">
        <v>23.5</v>
      </c>
      <c r="HQ1013" s="19">
        <v>21.9</v>
      </c>
      <c r="HR1013" s="19">
        <v>22.6</v>
      </c>
      <c r="HS1013" s="19">
        <v>22.5</v>
      </c>
      <c r="HT1013" s="19">
        <v>23.6</v>
      </c>
      <c r="HU1013" s="19">
        <v>26.4</v>
      </c>
      <c r="HV1013" s="19">
        <v>30.6</v>
      </c>
      <c r="HW1013" s="19">
        <v>45</v>
      </c>
      <c r="HX1013" s="19">
        <v>56</v>
      </c>
      <c r="HY1013" s="19">
        <v>63.3</v>
      </c>
      <c r="HZ1013" s="19">
        <v>62.3</v>
      </c>
      <c r="IA1013" s="19">
        <v>61.3</v>
      </c>
      <c r="IB1013" s="19">
        <v>52.1</v>
      </c>
    </row>
    <row r="1014">
      <c r="A1014" s="2" t="s">
        <v>5146</v>
      </c>
      <c r="B1014" s="2" t="s">
        <v>825</v>
      </c>
      <c r="C1014" s="2" t="s">
        <v>1411</v>
      </c>
      <c r="D1014" s="2" t="s">
        <v>261</v>
      </c>
      <c r="E1014" s="2" t="s">
        <v>1119</v>
      </c>
      <c r="F1014" s="2" t="s">
        <v>5147</v>
      </c>
      <c r="G1014" s="2" t="s">
        <v>5148</v>
      </c>
      <c r="H1014" s="2" t="s">
        <v>5149</v>
      </c>
      <c r="I1014" s="2" t="s">
        <v>5150</v>
      </c>
      <c r="J1014" s="2" t="s">
        <v>228</v>
      </c>
      <c r="K1014" s="2" t="s">
        <v>5151</v>
      </c>
      <c r="L1014" s="3">
        <v>33.6</v>
      </c>
      <c r="M1014" s="3">
        <v>35.28</v>
      </c>
      <c r="N1014" s="3">
        <v>74.99</v>
      </c>
      <c r="O1014" s="2" t="s">
        <v>230</v>
      </c>
      <c r="P1014" s="2" t="s">
        <v>231</v>
      </c>
      <c r="Q1014" s="2" t="s">
        <v>232</v>
      </c>
      <c r="R1014" s="2" t="s">
        <v>233</v>
      </c>
      <c r="S1014" s="2" t="s">
        <v>5152</v>
      </c>
      <c r="T1014" s="2" t="s">
        <v>469</v>
      </c>
      <c r="U1014" s="2" t="s">
        <v>635</v>
      </c>
      <c r="V1014" s="2" t="s">
        <v>914</v>
      </c>
      <c r="W1014" s="2" t="s">
        <v>237</v>
      </c>
      <c r="X1014" s="2" t="s">
        <v>915</v>
      </c>
      <c r="Y1014" s="2" t="s">
        <v>5153</v>
      </c>
      <c r="Z1014" s="4">
        <v>171</v>
      </c>
      <c r="AA1014" s="4">
        <f>=ROUNDDOWN(42.75,0)</f>
      </c>
      <c r="AB1014" s="5">
        <v>4</v>
      </c>
      <c r="AC1014" s="2" t="s">
        <v>233</v>
      </c>
      <c r="AD1014" s="4"/>
      <c r="AE1014" s="4"/>
      <c r="AF1014" s="6">
        <v>64</v>
      </c>
      <c r="AG1014" s="6"/>
      <c r="AH1014" s="7">
        <v>1</v>
      </c>
      <c r="AI1014" s="4"/>
      <c r="AJ1014" s="4">
        <f>=ROUNDDOWN({0},0)</f>
      </c>
      <c r="AK1014" s="5"/>
      <c r="AL1014" s="2" t="s">
        <v>233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233</v>
      </c>
      <c r="AW1014" s="8" t="s">
        <v>233</v>
      </c>
      <c r="AX1014" s="4" t="s">
        <v>233</v>
      </c>
      <c r="AY1014" s="8" t="s">
        <v>233</v>
      </c>
      <c r="AZ1014" s="7" t="s">
        <v>233</v>
      </c>
      <c r="BA1014" s="7" t="s">
        <v>233</v>
      </c>
      <c r="BB1014" s="7"/>
      <c r="BC1014" s="4" t="s">
        <v>233</v>
      </c>
      <c r="BD1014" s="8" t="s">
        <v>233</v>
      </c>
      <c r="BE1014" s="4" t="s">
        <v>233</v>
      </c>
      <c r="BF1014" s="8" t="s">
        <v>233</v>
      </c>
      <c r="BG1014" s="7" t="s">
        <v>233</v>
      </c>
      <c r="BH1014" s="7" t="s">
        <v>233</v>
      </c>
      <c r="BI1014" s="7"/>
      <c r="BJ1014" s="4">
        <v>8</v>
      </c>
      <c r="BK1014" s="8">
        <v>288.98</v>
      </c>
      <c r="BL1014" s="2" t="s">
        <v>5154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5155</v>
      </c>
      <c r="BV1014" s="2" t="s">
        <v>233</v>
      </c>
      <c r="BW1014" s="2" t="s">
        <v>233</v>
      </c>
      <c r="BX1014" s="2" t="s">
        <v>293</v>
      </c>
      <c r="BY1014" s="2" t="s">
        <v>242</v>
      </c>
      <c r="BZ1014" s="2" t="s">
        <v>230</v>
      </c>
      <c r="CA1014" s="2" t="s">
        <v>823</v>
      </c>
      <c r="CB1014" s="2" t="s">
        <v>233</v>
      </c>
      <c r="CC1014" s="2" t="s">
        <v>245</v>
      </c>
      <c r="CD1014" s="2" t="s">
        <v>233</v>
      </c>
      <c r="CE1014" s="4">
        <v>171</v>
      </c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>
        <v>172</v>
      </c>
      <c r="GD1014" s="4">
        <v>165</v>
      </c>
      <c r="GE1014" s="4">
        <v>157</v>
      </c>
      <c r="GF1014" s="4">
        <v>149</v>
      </c>
      <c r="GG1014" s="4">
        <v>131</v>
      </c>
      <c r="GH1014" s="4">
        <v>114</v>
      </c>
      <c r="GI1014" s="4">
        <v>94</v>
      </c>
      <c r="GJ1014" s="4">
        <v>82</v>
      </c>
      <c r="GK1014" s="4">
        <v>74</v>
      </c>
      <c r="GL1014" s="4">
        <v>70</v>
      </c>
      <c r="GM1014" s="4">
        <v>66</v>
      </c>
      <c r="GN1014" s="4">
        <v>62</v>
      </c>
      <c r="GO1014" s="4">
        <v>58</v>
      </c>
      <c r="GP1014" s="4">
        <v>54</v>
      </c>
      <c r="GQ1014" s="4">
        <v>50</v>
      </c>
      <c r="GR1014" s="4">
        <v>46</v>
      </c>
      <c r="GS1014" s="4">
        <v>42</v>
      </c>
      <c r="GT1014" s="4">
        <v>38</v>
      </c>
      <c r="GU1014" s="4">
        <v>84</v>
      </c>
      <c r="GV1014" s="4">
        <v>80</v>
      </c>
      <c r="GW1014" s="4">
        <v>76</v>
      </c>
      <c r="GX1014" s="4">
        <v>72</v>
      </c>
      <c r="GY1014" s="4">
        <v>68</v>
      </c>
      <c r="GZ1014" s="4">
        <v>64</v>
      </c>
      <c r="HA1014" s="4">
        <v>60</v>
      </c>
      <c r="HB1014" s="4">
        <v>56</v>
      </c>
      <c r="HC1014" s="19">
        <v>17.2</v>
      </c>
      <c r="HD1014" s="19">
        <v>12.7</v>
      </c>
      <c r="HE1014" s="19">
        <v>9.8</v>
      </c>
      <c r="HF1014" s="19">
        <v>8.8</v>
      </c>
      <c r="HG1014" s="19">
        <v>9.4</v>
      </c>
      <c r="HH1014" s="19">
        <v>10.4</v>
      </c>
      <c r="HI1014" s="19">
        <v>13.4</v>
      </c>
      <c r="HJ1014" s="19">
        <v>16.4</v>
      </c>
      <c r="HK1014" s="19">
        <v>18.5</v>
      </c>
      <c r="HL1014" s="19">
        <v>17.5</v>
      </c>
      <c r="HM1014" s="19">
        <v>16.5</v>
      </c>
      <c r="HN1014" s="19">
        <v>15.5</v>
      </c>
      <c r="HO1014" s="19">
        <v>14.5</v>
      </c>
      <c r="HP1014" s="19">
        <v>13.5</v>
      </c>
      <c r="HQ1014" s="19">
        <v>12.5</v>
      </c>
      <c r="HR1014" s="19">
        <v>11.5</v>
      </c>
      <c r="HS1014" s="19">
        <v>10.5</v>
      </c>
      <c r="HT1014" s="19">
        <v>9.5</v>
      </c>
      <c r="HU1014" s="19">
        <v>21</v>
      </c>
      <c r="HV1014" s="19">
        <v>20</v>
      </c>
      <c r="HW1014" s="19">
        <v>19</v>
      </c>
      <c r="HX1014" s="19">
        <v>18</v>
      </c>
      <c r="HY1014" s="19">
        <v>17</v>
      </c>
      <c r="HZ1014" s="19">
        <v>16</v>
      </c>
      <c r="IA1014" s="19">
        <v>15</v>
      </c>
      <c r="IB1014" s="19">
        <v>14</v>
      </c>
    </row>
    <row r="1015">
      <c r="A1015" s="2" t="s">
        <v>5156</v>
      </c>
      <c r="B1015" s="2" t="s">
        <v>825</v>
      </c>
      <c r="C1015" s="2" t="s">
        <v>1411</v>
      </c>
      <c r="D1015" s="2" t="s">
        <v>261</v>
      </c>
      <c r="E1015" s="2" t="s">
        <v>1119</v>
      </c>
      <c r="F1015" s="2" t="s">
        <v>5147</v>
      </c>
      <c r="G1015" s="2" t="s">
        <v>5148</v>
      </c>
      <c r="H1015" s="2" t="s">
        <v>5149</v>
      </c>
      <c r="I1015" s="2" t="s">
        <v>5150</v>
      </c>
      <c r="J1015" s="2" t="s">
        <v>247</v>
      </c>
      <c r="K1015" s="2" t="s">
        <v>5151</v>
      </c>
      <c r="L1015" s="3">
        <v>35.52</v>
      </c>
      <c r="M1015" s="3">
        <v>37.3</v>
      </c>
      <c r="N1015" s="3">
        <v>78.99</v>
      </c>
      <c r="O1015" s="2" t="s">
        <v>230</v>
      </c>
      <c r="P1015" s="2" t="s">
        <v>231</v>
      </c>
      <c r="Q1015" s="2" t="s">
        <v>232</v>
      </c>
      <c r="R1015" s="2" t="s">
        <v>233</v>
      </c>
      <c r="S1015" s="2" t="s">
        <v>5152</v>
      </c>
      <c r="T1015" s="2" t="s">
        <v>469</v>
      </c>
      <c r="U1015" s="2" t="s">
        <v>635</v>
      </c>
      <c r="V1015" s="2" t="s">
        <v>914</v>
      </c>
      <c r="W1015" s="2" t="s">
        <v>237</v>
      </c>
      <c r="X1015" s="2" t="s">
        <v>915</v>
      </c>
      <c r="Y1015" s="2" t="s">
        <v>5153</v>
      </c>
      <c r="Z1015" s="4">
        <v>230</v>
      </c>
      <c r="AA1015" s="4">
        <f>=ROUNDDOWN(46,0)</f>
      </c>
      <c r="AB1015" s="5">
        <v>5</v>
      </c>
      <c r="AC1015" s="2" t="s">
        <v>233</v>
      </c>
      <c r="AD1015" s="4"/>
      <c r="AE1015" s="4"/>
      <c r="AF1015" s="6">
        <v>64</v>
      </c>
      <c r="AG1015" s="6"/>
      <c r="AH1015" s="7">
        <v>1</v>
      </c>
      <c r="AI1015" s="4"/>
      <c r="AJ1015" s="4">
        <f>=ROUNDDOWN({0},0)</f>
      </c>
      <c r="AK1015" s="5"/>
      <c r="AL1015" s="2" t="s">
        <v>233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233</v>
      </c>
      <c r="AW1015" s="8" t="s">
        <v>233</v>
      </c>
      <c r="AX1015" s="4" t="s">
        <v>233</v>
      </c>
      <c r="AY1015" s="8" t="s">
        <v>233</v>
      </c>
      <c r="AZ1015" s="7" t="s">
        <v>233</v>
      </c>
      <c r="BA1015" s="7" t="s">
        <v>233</v>
      </c>
      <c r="BB1015" s="7"/>
      <c r="BC1015" s="4" t="s">
        <v>233</v>
      </c>
      <c r="BD1015" s="8" t="s">
        <v>233</v>
      </c>
      <c r="BE1015" s="4" t="s">
        <v>233</v>
      </c>
      <c r="BF1015" s="8" t="s">
        <v>233</v>
      </c>
      <c r="BG1015" s="7" t="s">
        <v>233</v>
      </c>
      <c r="BH1015" s="7" t="s">
        <v>233</v>
      </c>
      <c r="BI1015" s="7"/>
      <c r="BJ1015" s="4">
        <v>5</v>
      </c>
      <c r="BK1015" s="8">
        <v>182.25</v>
      </c>
      <c r="BL1015" s="2" t="s">
        <v>324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5155</v>
      </c>
      <c r="BV1015" s="2" t="s">
        <v>233</v>
      </c>
      <c r="BW1015" s="2" t="s">
        <v>233</v>
      </c>
      <c r="BX1015" s="2" t="s">
        <v>293</v>
      </c>
      <c r="BY1015" s="2" t="s">
        <v>242</v>
      </c>
      <c r="BZ1015" s="2" t="s">
        <v>230</v>
      </c>
      <c r="CA1015" s="2" t="s">
        <v>823</v>
      </c>
      <c r="CB1015" s="2" t="s">
        <v>233</v>
      </c>
      <c r="CC1015" s="2" t="s">
        <v>245</v>
      </c>
      <c r="CD1015" s="2" t="s">
        <v>233</v>
      </c>
      <c r="CE1015" s="4">
        <v>230</v>
      </c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>
        <v>230</v>
      </c>
      <c r="GD1015" s="4">
        <v>223</v>
      </c>
      <c r="GE1015" s="4">
        <v>213</v>
      </c>
      <c r="GF1015" s="4">
        <v>204</v>
      </c>
      <c r="GG1015" s="4">
        <v>182</v>
      </c>
      <c r="GH1015" s="4">
        <v>165</v>
      </c>
      <c r="GI1015" s="4">
        <v>145</v>
      </c>
      <c r="GJ1015" s="4">
        <v>133</v>
      </c>
      <c r="GK1015" s="4">
        <v>125</v>
      </c>
      <c r="GL1015" s="4">
        <v>121</v>
      </c>
      <c r="GM1015" s="4">
        <v>117</v>
      </c>
      <c r="GN1015" s="4">
        <v>112</v>
      </c>
      <c r="GO1015" s="4">
        <v>107</v>
      </c>
      <c r="GP1015" s="4">
        <v>102</v>
      </c>
      <c r="GQ1015" s="4">
        <v>97</v>
      </c>
      <c r="GR1015" s="4">
        <v>92</v>
      </c>
      <c r="GS1015" s="4">
        <v>87</v>
      </c>
      <c r="GT1015" s="4">
        <v>82</v>
      </c>
      <c r="GU1015" s="4">
        <v>115</v>
      </c>
      <c r="GV1015" s="4">
        <v>110</v>
      </c>
      <c r="GW1015" s="4">
        <v>105</v>
      </c>
      <c r="GX1015" s="4">
        <v>100</v>
      </c>
      <c r="GY1015" s="4">
        <v>95</v>
      </c>
      <c r="GZ1015" s="4">
        <v>90</v>
      </c>
      <c r="HA1015" s="4">
        <v>85</v>
      </c>
      <c r="HB1015" s="4">
        <v>80</v>
      </c>
      <c r="HC1015" s="19">
        <v>19.2</v>
      </c>
      <c r="HD1015" s="19">
        <v>15.9</v>
      </c>
      <c r="HE1015" s="19">
        <v>12.5</v>
      </c>
      <c r="HF1015" s="19">
        <v>11.3</v>
      </c>
      <c r="HG1015" s="19">
        <v>13</v>
      </c>
      <c r="HH1015" s="19">
        <v>15</v>
      </c>
      <c r="HI1015" s="19">
        <v>20.7</v>
      </c>
      <c r="HJ1015" s="19">
        <v>26.6</v>
      </c>
      <c r="HK1015" s="19">
        <v>31.3</v>
      </c>
      <c r="HL1015" s="19">
        <v>24.2</v>
      </c>
      <c r="HM1015" s="19">
        <v>23.4</v>
      </c>
      <c r="HN1015" s="19">
        <v>22.4</v>
      </c>
      <c r="HO1015" s="19">
        <v>21.4</v>
      </c>
      <c r="HP1015" s="19">
        <v>20.4</v>
      </c>
      <c r="HQ1015" s="19">
        <v>19.4</v>
      </c>
      <c r="HR1015" s="19">
        <v>18.4</v>
      </c>
      <c r="HS1015" s="19">
        <v>17.4</v>
      </c>
      <c r="HT1015" s="19">
        <v>16.4</v>
      </c>
      <c r="HU1015" s="19">
        <v>23</v>
      </c>
      <c r="HV1015" s="19">
        <v>22</v>
      </c>
      <c r="HW1015" s="19">
        <v>21</v>
      </c>
      <c r="HX1015" s="19">
        <v>20</v>
      </c>
      <c r="HY1015" s="19">
        <v>19</v>
      </c>
      <c r="HZ1015" s="19">
        <v>18</v>
      </c>
      <c r="IA1015" s="19">
        <v>17</v>
      </c>
      <c r="IB1015" s="19">
        <v>16</v>
      </c>
    </row>
    <row r="1016">
      <c r="A1016" s="2" t="s">
        <v>5157</v>
      </c>
      <c r="B1016" s="2" t="s">
        <v>825</v>
      </c>
      <c r="C1016" s="2" t="s">
        <v>1411</v>
      </c>
      <c r="D1016" s="2" t="s">
        <v>261</v>
      </c>
      <c r="E1016" s="2" t="s">
        <v>1119</v>
      </c>
      <c r="F1016" s="2" t="s">
        <v>5147</v>
      </c>
      <c r="G1016" s="2" t="s">
        <v>5148</v>
      </c>
      <c r="H1016" s="2" t="s">
        <v>5149</v>
      </c>
      <c r="I1016" s="2" t="s">
        <v>5150</v>
      </c>
      <c r="J1016" s="2" t="s">
        <v>252</v>
      </c>
      <c r="K1016" s="2" t="s">
        <v>5151</v>
      </c>
      <c r="L1016" s="3">
        <v>38.4</v>
      </c>
      <c r="M1016" s="3">
        <v>40.32</v>
      </c>
      <c r="N1016" s="3">
        <v>84.99</v>
      </c>
      <c r="O1016" s="2" t="s">
        <v>230</v>
      </c>
      <c r="P1016" s="2" t="s">
        <v>231</v>
      </c>
      <c r="Q1016" s="2" t="s">
        <v>232</v>
      </c>
      <c r="R1016" s="2" t="s">
        <v>233</v>
      </c>
      <c r="S1016" s="2" t="s">
        <v>5152</v>
      </c>
      <c r="T1016" s="2" t="s">
        <v>469</v>
      </c>
      <c r="U1016" s="2" t="s">
        <v>2641</v>
      </c>
      <c r="V1016" s="2" t="s">
        <v>914</v>
      </c>
      <c r="W1016" s="2" t="s">
        <v>237</v>
      </c>
      <c r="X1016" s="2" t="s">
        <v>915</v>
      </c>
      <c r="Y1016" s="2" t="s">
        <v>5153</v>
      </c>
      <c r="Z1016" s="4">
        <v>299</v>
      </c>
      <c r="AA1016" s="4">
        <f>=ROUNDDOWN(33.2222222222222,0)</f>
      </c>
      <c r="AB1016" s="5">
        <v>9</v>
      </c>
      <c r="AC1016" s="2" t="s">
        <v>233</v>
      </c>
      <c r="AD1016" s="4"/>
      <c r="AE1016" s="4"/>
      <c r="AF1016" s="6">
        <v>64</v>
      </c>
      <c r="AG1016" s="6"/>
      <c r="AH1016" s="7">
        <v>1</v>
      </c>
      <c r="AI1016" s="4"/>
      <c r="AJ1016" s="4">
        <f>=ROUNDDOWN({0},0)</f>
      </c>
      <c r="AK1016" s="5"/>
      <c r="AL1016" s="2" t="s">
        <v>233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233</v>
      </c>
      <c r="AW1016" s="8" t="s">
        <v>233</v>
      </c>
      <c r="AX1016" s="4" t="s">
        <v>233</v>
      </c>
      <c r="AY1016" s="8" t="s">
        <v>233</v>
      </c>
      <c r="AZ1016" s="7" t="s">
        <v>233</v>
      </c>
      <c r="BA1016" s="7" t="s">
        <v>233</v>
      </c>
      <c r="BB1016" s="7"/>
      <c r="BC1016" s="4" t="s">
        <v>233</v>
      </c>
      <c r="BD1016" s="8" t="s">
        <v>233</v>
      </c>
      <c r="BE1016" s="4" t="s">
        <v>233</v>
      </c>
      <c r="BF1016" s="8" t="s">
        <v>233</v>
      </c>
      <c r="BG1016" s="7" t="s">
        <v>233</v>
      </c>
      <c r="BH1016" s="7" t="s">
        <v>233</v>
      </c>
      <c r="BI1016" s="7"/>
      <c r="BJ1016" s="4">
        <v>13</v>
      </c>
      <c r="BK1016" s="8">
        <v>542.76</v>
      </c>
      <c r="BL1016" s="2" t="s">
        <v>981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5155</v>
      </c>
      <c r="BV1016" s="2" t="s">
        <v>233</v>
      </c>
      <c r="BW1016" s="2" t="s">
        <v>233</v>
      </c>
      <c r="BX1016" s="2" t="s">
        <v>293</v>
      </c>
      <c r="BY1016" s="2" t="s">
        <v>242</v>
      </c>
      <c r="BZ1016" s="2" t="s">
        <v>230</v>
      </c>
      <c r="CA1016" s="2" t="s">
        <v>823</v>
      </c>
      <c r="CB1016" s="2" t="s">
        <v>5158</v>
      </c>
      <c r="CC1016" s="2" t="s">
        <v>245</v>
      </c>
      <c r="CD1016" s="2" t="s">
        <v>233</v>
      </c>
      <c r="CE1016" s="4">
        <v>299</v>
      </c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>
        <v>300</v>
      </c>
      <c r="GD1016" s="4">
        <v>286</v>
      </c>
      <c r="GE1016" s="4">
        <v>272</v>
      </c>
      <c r="GF1016" s="4">
        <v>258</v>
      </c>
      <c r="GG1016" s="4">
        <v>227</v>
      </c>
      <c r="GH1016" s="4">
        <v>201</v>
      </c>
      <c r="GI1016" s="4">
        <v>172</v>
      </c>
      <c r="GJ1016" s="4">
        <v>154</v>
      </c>
      <c r="GK1016" s="4">
        <v>143</v>
      </c>
      <c r="GL1016" s="4">
        <v>133</v>
      </c>
      <c r="GM1016" s="4">
        <v>124</v>
      </c>
      <c r="GN1016" s="4">
        <v>115</v>
      </c>
      <c r="GO1016" s="4">
        <v>106</v>
      </c>
      <c r="GP1016" s="4">
        <v>97</v>
      </c>
      <c r="GQ1016" s="4">
        <v>88</v>
      </c>
      <c r="GR1016" s="4">
        <v>79</v>
      </c>
      <c r="GS1016" s="4">
        <v>70</v>
      </c>
      <c r="GT1016" s="4">
        <v>60</v>
      </c>
      <c r="GU1016" s="4">
        <v>191</v>
      </c>
      <c r="GV1016" s="4">
        <v>182</v>
      </c>
      <c r="GW1016" s="4">
        <v>173</v>
      </c>
      <c r="GX1016" s="4">
        <v>164</v>
      </c>
      <c r="GY1016" s="4">
        <v>155</v>
      </c>
      <c r="GZ1016" s="4">
        <v>146</v>
      </c>
      <c r="HA1016" s="4">
        <v>137</v>
      </c>
      <c r="HB1016" s="4">
        <v>128</v>
      </c>
      <c r="HC1016" s="19">
        <v>16.7</v>
      </c>
      <c r="HD1016" s="19">
        <v>13.6</v>
      </c>
      <c r="HE1016" s="19">
        <v>10.9</v>
      </c>
      <c r="HF1016" s="19">
        <v>9.9</v>
      </c>
      <c r="HG1016" s="19">
        <v>10.8</v>
      </c>
      <c r="HH1016" s="19">
        <v>11.8</v>
      </c>
      <c r="HI1016" s="19">
        <v>14.3</v>
      </c>
      <c r="HJ1016" s="19">
        <v>15.4</v>
      </c>
      <c r="HK1016" s="19">
        <v>15.9</v>
      </c>
      <c r="HL1016" s="9"/>
      <c r="HM1016" s="19">
        <v>13.8</v>
      </c>
      <c r="HN1016" s="19">
        <v>12.8</v>
      </c>
      <c r="HO1016" s="19">
        <v>11.8</v>
      </c>
      <c r="HP1016" s="19">
        <v>10.8</v>
      </c>
      <c r="HQ1016" s="19">
        <v>9.8</v>
      </c>
      <c r="HR1016" s="9"/>
      <c r="HS1016" s="19">
        <v>7.8</v>
      </c>
      <c r="HT1016" s="19">
        <v>6.7</v>
      </c>
      <c r="HU1016" s="19">
        <v>21.2</v>
      </c>
      <c r="HV1016" s="19">
        <v>20.2</v>
      </c>
      <c r="HW1016" s="19">
        <v>19.2</v>
      </c>
      <c r="HX1016" s="19">
        <v>18.2</v>
      </c>
      <c r="HY1016" s="19">
        <v>17.2</v>
      </c>
      <c r="HZ1016" s="19">
        <v>16.2</v>
      </c>
      <c r="IA1016" s="19">
        <v>15.2</v>
      </c>
      <c r="IB1016" s="19">
        <v>14.2</v>
      </c>
    </row>
    <row r="1017">
      <c r="A1017" s="2" t="s">
        <v>5159</v>
      </c>
      <c r="B1017" s="2" t="s">
        <v>736</v>
      </c>
      <c r="C1017" s="2" t="s">
        <v>762</v>
      </c>
      <c r="D1017" s="2" t="s">
        <v>1197</v>
      </c>
      <c r="E1017" s="2" t="s">
        <v>1198</v>
      </c>
      <c r="F1017" s="2" t="s">
        <v>5160</v>
      </c>
      <c r="G1017" s="2" t="s">
        <v>5160</v>
      </c>
      <c r="H1017" s="2" t="s">
        <v>5160</v>
      </c>
      <c r="I1017" s="2" t="s">
        <v>2995</v>
      </c>
      <c r="J1017" s="2" t="s">
        <v>741</v>
      </c>
      <c r="K1017" s="2" t="s">
        <v>229</v>
      </c>
      <c r="L1017" s="3">
        <v>41.27</v>
      </c>
      <c r="M1017" s="3">
        <v>43.33</v>
      </c>
      <c r="N1017" s="3">
        <v>84.99</v>
      </c>
      <c r="O1017" s="2" t="s">
        <v>230</v>
      </c>
      <c r="P1017" s="2" t="s">
        <v>721</v>
      </c>
      <c r="Q1017" s="2" t="s">
        <v>232</v>
      </c>
      <c r="R1017" s="2" t="s">
        <v>233</v>
      </c>
      <c r="S1017" s="2" t="s">
        <v>5161</v>
      </c>
      <c r="T1017" s="2" t="s">
        <v>233</v>
      </c>
      <c r="U1017" s="2" t="s">
        <v>781</v>
      </c>
      <c r="V1017" s="2" t="s">
        <v>744</v>
      </c>
      <c r="W1017" s="2" t="s">
        <v>620</v>
      </c>
      <c r="X1017" s="2" t="s">
        <v>233</v>
      </c>
      <c r="Y1017" s="2" t="s">
        <v>238</v>
      </c>
      <c r="Z1017" s="4">
        <v>46</v>
      </c>
      <c r="AA1017" s="4">
        <f>=ROUNDDOWN(15.3333333333333,0)</f>
      </c>
      <c r="AB1017" s="5">
        <v>3</v>
      </c>
      <c r="AC1017" s="2" t="s">
        <v>1203</v>
      </c>
      <c r="AD1017" s="4">
        <v>50</v>
      </c>
      <c r="AE1017" s="4">
        <v>50</v>
      </c>
      <c r="AF1017" s="6">
        <v>63</v>
      </c>
      <c r="AG1017" s="6"/>
      <c r="AH1017" s="7">
        <v>1</v>
      </c>
      <c r="AI1017" s="4"/>
      <c r="AJ1017" s="4">
        <f>=ROUNDDOWN({0},0)</f>
      </c>
      <c r="AK1017" s="5"/>
      <c r="AL1017" s="2" t="s">
        <v>233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/>
      <c r="AW1017" s="8"/>
      <c r="AX1017" s="4"/>
      <c r="AY1017" s="8"/>
      <c r="AZ1017" s="7"/>
      <c r="BA1017" s="7"/>
      <c r="BB1017" s="7"/>
      <c r="BC1017" s="4"/>
      <c r="BD1017" s="8"/>
      <c r="BE1017" s="4"/>
      <c r="BF1017" s="8"/>
      <c r="BG1017" s="7"/>
      <c r="BH1017" s="7"/>
      <c r="BI1017" s="7"/>
      <c r="BJ1017" s="4">
        <v>15</v>
      </c>
      <c r="BK1017" s="8">
        <v>771.97</v>
      </c>
      <c r="BL1017" s="2" t="s">
        <v>5162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5163</v>
      </c>
      <c r="BV1017" s="2" t="s">
        <v>233</v>
      </c>
      <c r="BW1017" s="2" t="s">
        <v>233</v>
      </c>
      <c r="BX1017" s="2" t="s">
        <v>241</v>
      </c>
      <c r="BY1017" s="2" t="s">
        <v>242</v>
      </c>
      <c r="BZ1017" s="2" t="s">
        <v>230</v>
      </c>
      <c r="CA1017" s="2" t="s">
        <v>881</v>
      </c>
      <c r="CB1017" s="2" t="s">
        <v>5164</v>
      </c>
      <c r="CC1017" s="2" t="s">
        <v>245</v>
      </c>
      <c r="CD1017" s="2" t="s">
        <v>233</v>
      </c>
      <c r="CE1017" s="4"/>
      <c r="CF1017" s="4">
        <v>46</v>
      </c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>
        <v>50</v>
      </c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>
        <v>48</v>
      </c>
      <c r="GD1017" s="4">
        <v>42</v>
      </c>
      <c r="GE1017" s="4">
        <v>38</v>
      </c>
      <c r="GF1017" s="4">
        <v>34</v>
      </c>
      <c r="GG1017" s="4">
        <v>29</v>
      </c>
      <c r="GH1017" s="4">
        <v>25</v>
      </c>
      <c r="GI1017" s="4">
        <v>20</v>
      </c>
      <c r="GJ1017" s="4">
        <v>17</v>
      </c>
      <c r="GK1017" s="4">
        <v>14</v>
      </c>
      <c r="GL1017" s="4">
        <v>11</v>
      </c>
      <c r="GM1017" s="4">
        <v>8</v>
      </c>
      <c r="GN1017" s="4">
        <v>5</v>
      </c>
      <c r="GO1017" s="4">
        <v>2</v>
      </c>
      <c r="GP1017" s="4"/>
      <c r="GQ1017" s="4">
        <v>50</v>
      </c>
      <c r="GR1017" s="4">
        <v>47</v>
      </c>
      <c r="GS1017" s="4">
        <v>44</v>
      </c>
      <c r="GT1017" s="4">
        <v>40</v>
      </c>
      <c r="GU1017" s="4">
        <v>37</v>
      </c>
      <c r="GV1017" s="4">
        <v>34</v>
      </c>
      <c r="GW1017" s="4">
        <v>31</v>
      </c>
      <c r="GX1017" s="4">
        <v>28</v>
      </c>
      <c r="GY1017" s="4">
        <v>25</v>
      </c>
      <c r="GZ1017" s="4">
        <v>22</v>
      </c>
      <c r="HA1017" s="4">
        <v>19</v>
      </c>
      <c r="HB1017" s="4">
        <v>16</v>
      </c>
      <c r="HC1017" s="19">
        <v>9.6</v>
      </c>
      <c r="HD1017" s="19">
        <v>10.5</v>
      </c>
      <c r="HE1017" s="19">
        <v>9.5</v>
      </c>
      <c r="HF1017" s="19">
        <v>8.5</v>
      </c>
      <c r="HG1017" s="19">
        <v>7.3</v>
      </c>
      <c r="HH1017" s="19">
        <v>6.3</v>
      </c>
      <c r="HI1017" s="19">
        <v>6.7</v>
      </c>
      <c r="HJ1017" s="19">
        <v>5.7</v>
      </c>
      <c r="HK1017" s="19">
        <v>4.7</v>
      </c>
      <c r="HL1017" s="19">
        <v>3.7</v>
      </c>
      <c r="HM1017" s="19">
        <v>2.7</v>
      </c>
      <c r="HN1017" s="19">
        <v>1.7</v>
      </c>
      <c r="HO1017" s="19">
        <v>0.7</v>
      </c>
      <c r="HP1017" s="20">
        <v>0</v>
      </c>
      <c r="HQ1017" s="19">
        <v>16.7</v>
      </c>
      <c r="HR1017" s="19">
        <v>15.7</v>
      </c>
      <c r="HS1017" s="19">
        <v>14.7</v>
      </c>
      <c r="HT1017" s="19">
        <v>13.3</v>
      </c>
      <c r="HU1017" s="19">
        <v>12.3</v>
      </c>
      <c r="HV1017" s="19">
        <v>11.3</v>
      </c>
      <c r="HW1017" s="19">
        <v>10.3</v>
      </c>
      <c r="HX1017" s="19">
        <v>9.3</v>
      </c>
      <c r="HY1017" s="19">
        <v>8.3</v>
      </c>
      <c r="HZ1017" s="19">
        <v>7.3</v>
      </c>
      <c r="IA1017" s="19">
        <v>6.3</v>
      </c>
      <c r="IB1017" s="19">
        <v>5.3</v>
      </c>
    </row>
    <row r="1018">
      <c r="A1018" s="2" t="s">
        <v>5165</v>
      </c>
      <c r="B1018" s="2" t="s">
        <v>872</v>
      </c>
      <c r="C1018" s="2" t="s">
        <v>5166</v>
      </c>
      <c r="D1018" s="2" t="s">
        <v>261</v>
      </c>
      <c r="E1018" s="2" t="s">
        <v>603</v>
      </c>
      <c r="F1018" s="2" t="s">
        <v>4161</v>
      </c>
      <c r="G1018" s="2" t="s">
        <v>5167</v>
      </c>
      <c r="H1018" s="2" t="s">
        <v>5168</v>
      </c>
      <c r="I1018" s="2" t="s">
        <v>5169</v>
      </c>
      <c r="J1018" s="2" t="s">
        <v>265</v>
      </c>
      <c r="K1018" s="2" t="s">
        <v>229</v>
      </c>
      <c r="L1018" s="3">
        <v>54.99</v>
      </c>
      <c r="M1018" s="3">
        <v>57.74</v>
      </c>
      <c r="N1018" s="3">
        <v>109.99</v>
      </c>
      <c r="O1018" s="2" t="s">
        <v>230</v>
      </c>
      <c r="P1018" s="2" t="s">
        <v>231</v>
      </c>
      <c r="Q1018" s="2" t="s">
        <v>232</v>
      </c>
      <c r="R1018" s="2" t="s">
        <v>233</v>
      </c>
      <c r="S1018" s="2" t="s">
        <v>5170</v>
      </c>
      <c r="T1018" s="2" t="s">
        <v>233</v>
      </c>
      <c r="U1018" s="2" t="s">
        <v>608</v>
      </c>
      <c r="V1018" s="2" t="s">
        <v>1099</v>
      </c>
      <c r="W1018" s="2" t="s">
        <v>712</v>
      </c>
      <c r="X1018" s="2" t="s">
        <v>5171</v>
      </c>
      <c r="Y1018" s="2" t="s">
        <v>238</v>
      </c>
      <c r="Z1018" s="4">
        <v>150</v>
      </c>
      <c r="AA1018" s="4">
        <f>=ROUNDDOWN(30,0)</f>
      </c>
      <c r="AB1018" s="5">
        <v>5</v>
      </c>
      <c r="AC1018" s="2" t="s">
        <v>233</v>
      </c>
      <c r="AD1018" s="4"/>
      <c r="AE1018" s="4"/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233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/>
      <c r="AW1018" s="8"/>
      <c r="AX1018" s="4"/>
      <c r="AY1018" s="8"/>
      <c r="AZ1018" s="7"/>
      <c r="BA1018" s="7"/>
      <c r="BB1018" s="7"/>
      <c r="BC1018" s="4"/>
      <c r="BD1018" s="8"/>
      <c r="BE1018" s="4"/>
      <c r="BF1018" s="8"/>
      <c r="BG1018" s="7"/>
      <c r="BH1018" s="7"/>
      <c r="BI1018" s="7"/>
      <c r="BJ1018" s="4">
        <v>27</v>
      </c>
      <c r="BK1018" s="8">
        <v>1564.51</v>
      </c>
      <c r="BL1018" s="2" t="s">
        <v>2313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5172</v>
      </c>
      <c r="BV1018" s="2" t="s">
        <v>233</v>
      </c>
      <c r="BW1018" s="2" t="s">
        <v>233</v>
      </c>
      <c r="BX1018" s="2" t="s">
        <v>241</v>
      </c>
      <c r="BY1018" s="2" t="s">
        <v>242</v>
      </c>
      <c r="BZ1018" s="2" t="s">
        <v>230</v>
      </c>
      <c r="CA1018" s="2" t="s">
        <v>243</v>
      </c>
      <c r="CB1018" s="2" t="s">
        <v>5173</v>
      </c>
      <c r="CC1018" s="2" t="s">
        <v>245</v>
      </c>
      <c r="CD1018" s="2" t="s">
        <v>233</v>
      </c>
      <c r="CE1018" s="4">
        <v>101</v>
      </c>
      <c r="CF1018" s="4">
        <v>49</v>
      </c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>
        <v>152</v>
      </c>
      <c r="GD1018" s="4">
        <v>139</v>
      </c>
      <c r="GE1018" s="4">
        <v>132</v>
      </c>
      <c r="GF1018" s="4">
        <v>126</v>
      </c>
      <c r="GG1018" s="4">
        <v>113</v>
      </c>
      <c r="GH1018" s="4">
        <v>108</v>
      </c>
      <c r="GI1018" s="4">
        <v>101</v>
      </c>
      <c r="GJ1018" s="4">
        <v>95</v>
      </c>
      <c r="GK1018" s="4">
        <v>91</v>
      </c>
      <c r="GL1018" s="4">
        <v>86</v>
      </c>
      <c r="GM1018" s="4">
        <v>81</v>
      </c>
      <c r="GN1018" s="4">
        <v>76</v>
      </c>
      <c r="GO1018" s="4">
        <v>71</v>
      </c>
      <c r="GP1018" s="4">
        <v>66</v>
      </c>
      <c r="GQ1018" s="4">
        <v>61</v>
      </c>
      <c r="GR1018" s="4">
        <v>56</v>
      </c>
      <c r="GS1018" s="4">
        <v>51</v>
      </c>
      <c r="GT1018" s="4">
        <v>46</v>
      </c>
      <c r="GU1018" s="4">
        <v>41</v>
      </c>
      <c r="GV1018" s="4">
        <v>90</v>
      </c>
      <c r="GW1018" s="4">
        <v>85</v>
      </c>
      <c r="GX1018" s="4">
        <v>80</v>
      </c>
      <c r="GY1018" s="4">
        <v>75</v>
      </c>
      <c r="GZ1018" s="4">
        <v>70</v>
      </c>
      <c r="HA1018" s="4">
        <v>65</v>
      </c>
      <c r="HB1018" s="4">
        <v>60</v>
      </c>
      <c r="HC1018" s="19">
        <v>15.2</v>
      </c>
      <c r="HD1018" s="19">
        <v>17.4</v>
      </c>
      <c r="HE1018" s="19">
        <v>16.5</v>
      </c>
      <c r="HF1018" s="19">
        <v>15.8</v>
      </c>
      <c r="HG1018" s="19">
        <v>18.8</v>
      </c>
      <c r="HH1018" s="19">
        <v>18</v>
      </c>
      <c r="HI1018" s="19">
        <v>20.2</v>
      </c>
      <c r="HJ1018" s="19">
        <v>19</v>
      </c>
      <c r="HK1018" s="19">
        <v>18.2</v>
      </c>
      <c r="HL1018" s="19">
        <v>17.2</v>
      </c>
      <c r="HM1018" s="19">
        <v>16.2</v>
      </c>
      <c r="HN1018" s="19">
        <v>15.2</v>
      </c>
      <c r="HO1018" s="19">
        <v>14.2</v>
      </c>
      <c r="HP1018" s="19">
        <v>13.2</v>
      </c>
      <c r="HQ1018" s="19">
        <v>12.2</v>
      </c>
      <c r="HR1018" s="19">
        <v>11.2</v>
      </c>
      <c r="HS1018" s="19">
        <v>10.2</v>
      </c>
      <c r="HT1018" s="19">
        <v>9.2</v>
      </c>
      <c r="HU1018" s="19">
        <v>8.2</v>
      </c>
      <c r="HV1018" s="19">
        <v>18</v>
      </c>
      <c r="HW1018" s="19">
        <v>17</v>
      </c>
      <c r="HX1018" s="19">
        <v>16</v>
      </c>
      <c r="HY1018" s="19">
        <v>15</v>
      </c>
      <c r="HZ1018" s="19">
        <v>14</v>
      </c>
      <c r="IA1018" s="19">
        <v>13</v>
      </c>
      <c r="IB1018" s="19">
        <v>12</v>
      </c>
    </row>
    <row r="1019">
      <c r="A1019" s="2" t="s">
        <v>5174</v>
      </c>
      <c r="B1019" s="2" t="s">
        <v>825</v>
      </c>
      <c r="C1019" s="2" t="s">
        <v>826</v>
      </c>
      <c r="D1019" s="2" t="s">
        <v>261</v>
      </c>
      <c r="E1019" s="2" t="s">
        <v>603</v>
      </c>
      <c r="F1019" s="2" t="s">
        <v>1933</v>
      </c>
      <c r="G1019" s="2" t="s">
        <v>5175</v>
      </c>
      <c r="H1019" s="2" t="s">
        <v>5176</v>
      </c>
      <c r="I1019" s="2" t="s">
        <v>5177</v>
      </c>
      <c r="J1019" s="2" t="s">
        <v>1052</v>
      </c>
      <c r="K1019" s="2" t="s">
        <v>3862</v>
      </c>
      <c r="L1019" s="3">
        <v>33.33</v>
      </c>
      <c r="M1019" s="3">
        <v>35</v>
      </c>
      <c r="N1019" s="3">
        <v>69.99</v>
      </c>
      <c r="O1019" s="2" t="s">
        <v>230</v>
      </c>
      <c r="P1019" s="2" t="s">
        <v>231</v>
      </c>
      <c r="Q1019" s="2" t="s">
        <v>232</v>
      </c>
      <c r="R1019" s="2" t="s">
        <v>233</v>
      </c>
      <c r="S1019" s="2" t="s">
        <v>5178</v>
      </c>
      <c r="T1019" s="2" t="s">
        <v>1859</v>
      </c>
      <c r="U1019" s="2" t="s">
        <v>781</v>
      </c>
      <c r="V1019" s="2" t="s">
        <v>236</v>
      </c>
      <c r="W1019" s="2" t="s">
        <v>237</v>
      </c>
      <c r="X1019" s="2" t="s">
        <v>712</v>
      </c>
      <c r="Y1019" s="2" t="s">
        <v>1918</v>
      </c>
      <c r="Z1019" s="4">
        <v>387</v>
      </c>
      <c r="AA1019" s="4">
        <f>=ROUNDDOWN(27.6428571428571,0)</f>
      </c>
      <c r="AB1019" s="5">
        <v>14</v>
      </c>
      <c r="AC1019" s="2" t="s">
        <v>490</v>
      </c>
      <c r="AD1019" s="4">
        <v>400</v>
      </c>
      <c r="AE1019" s="4">
        <v>400</v>
      </c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233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233</v>
      </c>
      <c r="AW1019" s="8" t="s">
        <v>233</v>
      </c>
      <c r="AX1019" s="4" t="s">
        <v>233</v>
      </c>
      <c r="AY1019" s="8" t="s">
        <v>233</v>
      </c>
      <c r="AZ1019" s="7" t="s">
        <v>233</v>
      </c>
      <c r="BA1019" s="7" t="s">
        <v>233</v>
      </c>
      <c r="BB1019" s="7"/>
      <c r="BC1019" s="4" t="s">
        <v>233</v>
      </c>
      <c r="BD1019" s="8" t="s">
        <v>233</v>
      </c>
      <c r="BE1019" s="4" t="s">
        <v>233</v>
      </c>
      <c r="BF1019" s="8" t="s">
        <v>233</v>
      </c>
      <c r="BG1019" s="7" t="s">
        <v>233</v>
      </c>
      <c r="BH1019" s="7" t="s">
        <v>233</v>
      </c>
      <c r="BI1019" s="7"/>
      <c r="BJ1019" s="4">
        <v>4</v>
      </c>
      <c r="BK1019" s="8">
        <v>152.38</v>
      </c>
      <c r="BL1019" s="2" t="s">
        <v>1660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5179</v>
      </c>
      <c r="BV1019" s="2" t="s">
        <v>233</v>
      </c>
      <c r="BW1019" s="2" t="s">
        <v>233</v>
      </c>
      <c r="BX1019" s="2" t="s">
        <v>293</v>
      </c>
      <c r="BY1019" s="2" t="s">
        <v>242</v>
      </c>
      <c r="BZ1019" s="2" t="s">
        <v>230</v>
      </c>
      <c r="CA1019" s="2" t="s">
        <v>1916</v>
      </c>
      <c r="CB1019" s="2" t="s">
        <v>233</v>
      </c>
      <c r="CC1019" s="2" t="s">
        <v>245</v>
      </c>
      <c r="CD1019" s="2" t="s">
        <v>233</v>
      </c>
      <c r="CE1019" s="4">
        <v>387</v>
      </c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>
        <v>400</v>
      </c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>
        <v>387</v>
      </c>
      <c r="GD1019" s="4">
        <v>247</v>
      </c>
      <c r="GE1019" s="4">
        <v>229</v>
      </c>
      <c r="GF1019" s="4">
        <v>211</v>
      </c>
      <c r="GG1019" s="4">
        <v>189</v>
      </c>
      <c r="GH1019" s="4">
        <v>170</v>
      </c>
      <c r="GI1019" s="4">
        <v>551</v>
      </c>
      <c r="GJ1019" s="4">
        <v>535</v>
      </c>
      <c r="GK1019" s="4">
        <v>523</v>
      </c>
      <c r="GL1019" s="4">
        <v>509</v>
      </c>
      <c r="GM1019" s="4">
        <v>494</v>
      </c>
      <c r="GN1019" s="4">
        <v>480</v>
      </c>
      <c r="GO1019" s="4">
        <v>465</v>
      </c>
      <c r="GP1019" s="4">
        <v>450</v>
      </c>
      <c r="GQ1019" s="4">
        <v>435</v>
      </c>
      <c r="GR1019" s="4">
        <v>420</v>
      </c>
      <c r="GS1019" s="4">
        <v>406</v>
      </c>
      <c r="GT1019" s="4">
        <v>392</v>
      </c>
      <c r="GU1019" s="4">
        <v>378</v>
      </c>
      <c r="GV1019" s="4">
        <v>364</v>
      </c>
      <c r="GW1019" s="4">
        <v>350</v>
      </c>
      <c r="GX1019" s="4">
        <v>336</v>
      </c>
      <c r="GY1019" s="4">
        <v>322</v>
      </c>
      <c r="GZ1019" s="4">
        <v>308</v>
      </c>
      <c r="HA1019" s="4">
        <v>293</v>
      </c>
      <c r="HB1019" s="4">
        <v>280</v>
      </c>
      <c r="HC1019" s="19">
        <v>7.7</v>
      </c>
      <c r="HD1019" s="19">
        <v>13</v>
      </c>
      <c r="HE1019" s="19">
        <v>11.5</v>
      </c>
      <c r="HF1019" s="19">
        <v>11.1</v>
      </c>
      <c r="HG1019" s="19">
        <v>11.8</v>
      </c>
      <c r="HH1019" s="19">
        <v>11.3</v>
      </c>
      <c r="HI1019" s="19">
        <v>39.4</v>
      </c>
      <c r="HJ1019" s="19">
        <v>38.2</v>
      </c>
      <c r="HK1019" s="19">
        <v>37.4</v>
      </c>
      <c r="HL1019" s="19">
        <v>33.9</v>
      </c>
      <c r="HM1019" s="19">
        <v>32.9</v>
      </c>
      <c r="HN1019" s="19">
        <v>32</v>
      </c>
      <c r="HO1019" s="19">
        <v>31</v>
      </c>
      <c r="HP1019" s="19">
        <v>32.1</v>
      </c>
      <c r="HQ1019" s="19">
        <v>31.1</v>
      </c>
      <c r="HR1019" s="19">
        <v>30</v>
      </c>
      <c r="HS1019" s="19">
        <v>29</v>
      </c>
      <c r="HT1019" s="19">
        <v>28</v>
      </c>
      <c r="HU1019" s="19">
        <v>27</v>
      </c>
      <c r="HV1019" s="19">
        <v>26</v>
      </c>
      <c r="HW1019" s="19">
        <v>25</v>
      </c>
      <c r="HX1019" s="19">
        <v>24</v>
      </c>
      <c r="HY1019" s="19">
        <v>23</v>
      </c>
      <c r="HZ1019" s="19">
        <v>22</v>
      </c>
      <c r="IA1019" s="19">
        <v>22.5</v>
      </c>
      <c r="IB1019" s="19">
        <v>18.7</v>
      </c>
    </row>
    <row r="1020">
      <c r="A1020" s="2" t="s">
        <v>5180</v>
      </c>
      <c r="B1020" s="2" t="s">
        <v>825</v>
      </c>
      <c r="C1020" s="2" t="s">
        <v>826</v>
      </c>
      <c r="D1020" s="2" t="s">
        <v>261</v>
      </c>
      <c r="E1020" s="2" t="s">
        <v>603</v>
      </c>
      <c r="F1020" s="2" t="s">
        <v>1933</v>
      </c>
      <c r="G1020" s="2" t="s">
        <v>5175</v>
      </c>
      <c r="H1020" s="2" t="s">
        <v>5176</v>
      </c>
      <c r="I1020" s="2" t="s">
        <v>5177</v>
      </c>
      <c r="J1020" s="2" t="s">
        <v>265</v>
      </c>
      <c r="K1020" s="2" t="s">
        <v>3862</v>
      </c>
      <c r="L1020" s="3">
        <v>38.09</v>
      </c>
      <c r="M1020" s="3">
        <v>39.99</v>
      </c>
      <c r="N1020" s="3">
        <v>79.99</v>
      </c>
      <c r="O1020" s="2" t="s">
        <v>230</v>
      </c>
      <c r="P1020" s="2" t="s">
        <v>231</v>
      </c>
      <c r="Q1020" s="2" t="s">
        <v>232</v>
      </c>
      <c r="R1020" s="2" t="s">
        <v>233</v>
      </c>
      <c r="S1020" s="2" t="s">
        <v>5178</v>
      </c>
      <c r="T1020" s="2" t="s">
        <v>1859</v>
      </c>
      <c r="U1020" s="2" t="s">
        <v>287</v>
      </c>
      <c r="V1020" s="2" t="s">
        <v>236</v>
      </c>
      <c r="W1020" s="2" t="s">
        <v>237</v>
      </c>
      <c r="X1020" s="2" t="s">
        <v>712</v>
      </c>
      <c r="Y1020" s="2" t="s">
        <v>1918</v>
      </c>
      <c r="Z1020" s="4">
        <v>494</v>
      </c>
      <c r="AA1020" s="4">
        <f>=ROUNDDOWN(22.4545454545455,0)</f>
      </c>
      <c r="AB1020" s="5">
        <v>22</v>
      </c>
      <c r="AC1020" s="2" t="s">
        <v>490</v>
      </c>
      <c r="AD1020" s="4">
        <v>600</v>
      </c>
      <c r="AE1020" s="4">
        <v>600</v>
      </c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233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233</v>
      </c>
      <c r="AW1020" s="8" t="s">
        <v>233</v>
      </c>
      <c r="AX1020" s="4" t="s">
        <v>233</v>
      </c>
      <c r="AY1020" s="8" t="s">
        <v>233</v>
      </c>
      <c r="AZ1020" s="7" t="s">
        <v>233</v>
      </c>
      <c r="BA1020" s="7" t="s">
        <v>233</v>
      </c>
      <c r="BB1020" s="7"/>
      <c r="BC1020" s="4" t="s">
        <v>233</v>
      </c>
      <c r="BD1020" s="8" t="s">
        <v>233</v>
      </c>
      <c r="BE1020" s="4" t="s">
        <v>233</v>
      </c>
      <c r="BF1020" s="8" t="s">
        <v>233</v>
      </c>
      <c r="BG1020" s="7" t="s">
        <v>233</v>
      </c>
      <c r="BH1020" s="7" t="s">
        <v>233</v>
      </c>
      <c r="BI1020" s="7"/>
      <c r="BJ1020" s="4">
        <v>8</v>
      </c>
      <c r="BK1020" s="8">
        <v>346.95</v>
      </c>
      <c r="BL1020" s="2" t="s">
        <v>5181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5179</v>
      </c>
      <c r="BV1020" s="2" t="s">
        <v>233</v>
      </c>
      <c r="BW1020" s="2" t="s">
        <v>233</v>
      </c>
      <c r="BX1020" s="2" t="s">
        <v>293</v>
      </c>
      <c r="BY1020" s="2" t="s">
        <v>242</v>
      </c>
      <c r="BZ1020" s="2" t="s">
        <v>230</v>
      </c>
      <c r="CA1020" s="2" t="s">
        <v>1916</v>
      </c>
      <c r="CB1020" s="2" t="s">
        <v>233</v>
      </c>
      <c r="CC1020" s="2" t="s">
        <v>245</v>
      </c>
      <c r="CD1020" s="2" t="s">
        <v>233</v>
      </c>
      <c r="CE1020" s="4">
        <v>494</v>
      </c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>
        <v>600</v>
      </c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>
        <v>498</v>
      </c>
      <c r="GD1020" s="4">
        <v>346</v>
      </c>
      <c r="GE1020" s="4">
        <v>319</v>
      </c>
      <c r="GF1020" s="4">
        <v>290</v>
      </c>
      <c r="GG1020" s="4">
        <v>253</v>
      </c>
      <c r="GH1020" s="4">
        <v>219</v>
      </c>
      <c r="GI1020" s="4">
        <v>785</v>
      </c>
      <c r="GJ1020" s="4">
        <v>758</v>
      </c>
      <c r="GK1020" s="4">
        <v>740</v>
      </c>
      <c r="GL1020" s="4">
        <v>718</v>
      </c>
      <c r="GM1020" s="4">
        <v>695</v>
      </c>
      <c r="GN1020" s="4">
        <v>673</v>
      </c>
      <c r="GO1020" s="4">
        <v>647</v>
      </c>
      <c r="GP1020" s="4">
        <v>621</v>
      </c>
      <c r="GQ1020" s="4">
        <v>595</v>
      </c>
      <c r="GR1020" s="4">
        <v>569</v>
      </c>
      <c r="GS1020" s="4">
        <v>547</v>
      </c>
      <c r="GT1020" s="4">
        <v>524</v>
      </c>
      <c r="GU1020" s="4">
        <v>502</v>
      </c>
      <c r="GV1020" s="4">
        <v>477</v>
      </c>
      <c r="GW1020" s="4">
        <v>455</v>
      </c>
      <c r="GX1020" s="4">
        <v>433</v>
      </c>
      <c r="GY1020" s="4">
        <v>411</v>
      </c>
      <c r="GZ1020" s="4">
        <v>392</v>
      </c>
      <c r="HA1020" s="4">
        <v>371</v>
      </c>
      <c r="HB1020" s="4">
        <v>350</v>
      </c>
      <c r="HC1020" s="19">
        <v>8.2</v>
      </c>
      <c r="HD1020" s="19">
        <v>10.8</v>
      </c>
      <c r="HE1020" s="19">
        <v>9.4</v>
      </c>
      <c r="HF1020" s="19">
        <v>8.8</v>
      </c>
      <c r="HG1020" s="19">
        <v>9</v>
      </c>
      <c r="HH1020" s="19">
        <v>8.8</v>
      </c>
      <c r="HI1020" s="19">
        <v>35.7</v>
      </c>
      <c r="HJ1020" s="19">
        <v>36.1</v>
      </c>
      <c r="HK1020" s="19">
        <v>32.2</v>
      </c>
      <c r="HL1020" s="19">
        <v>29.9</v>
      </c>
      <c r="HM1020" s="19">
        <v>27.8</v>
      </c>
      <c r="HN1020" s="19">
        <v>25.9</v>
      </c>
      <c r="HO1020" s="19">
        <v>25.9</v>
      </c>
      <c r="HP1020" s="19">
        <v>25.9</v>
      </c>
      <c r="HQ1020" s="19">
        <v>25.9</v>
      </c>
      <c r="HR1020" s="19">
        <v>24.7</v>
      </c>
      <c r="HS1020" s="19">
        <v>23.8</v>
      </c>
      <c r="HT1020" s="19">
        <v>22.8</v>
      </c>
      <c r="HU1020" s="19">
        <v>21.8</v>
      </c>
      <c r="HV1020" s="19">
        <v>22.7</v>
      </c>
      <c r="HW1020" s="19">
        <v>21.7</v>
      </c>
      <c r="HX1020" s="19">
        <v>20.6</v>
      </c>
      <c r="HY1020" s="19">
        <v>20.6</v>
      </c>
      <c r="HZ1020" s="19">
        <v>19.6</v>
      </c>
      <c r="IA1020" s="19">
        <v>18.6</v>
      </c>
      <c r="IB1020" s="19">
        <v>16.7</v>
      </c>
    </row>
    <row r="1021">
      <c r="A1021" s="2" t="s">
        <v>5182</v>
      </c>
      <c r="B1021" s="2" t="s">
        <v>825</v>
      </c>
      <c r="C1021" s="2" t="s">
        <v>826</v>
      </c>
      <c r="D1021" s="2" t="s">
        <v>261</v>
      </c>
      <c r="E1021" s="2" t="s">
        <v>603</v>
      </c>
      <c r="F1021" s="2" t="s">
        <v>1933</v>
      </c>
      <c r="G1021" s="2" t="s">
        <v>5175</v>
      </c>
      <c r="H1021" s="2" t="s">
        <v>5176</v>
      </c>
      <c r="I1021" s="2" t="s">
        <v>5177</v>
      </c>
      <c r="J1021" s="2" t="s">
        <v>1052</v>
      </c>
      <c r="K1021" s="2" t="s">
        <v>3116</v>
      </c>
      <c r="L1021" s="3">
        <v>33.33</v>
      </c>
      <c r="M1021" s="3">
        <v>35</v>
      </c>
      <c r="N1021" s="3">
        <v>69.99</v>
      </c>
      <c r="O1021" s="2" t="s">
        <v>230</v>
      </c>
      <c r="P1021" s="2" t="s">
        <v>231</v>
      </c>
      <c r="Q1021" s="2" t="s">
        <v>232</v>
      </c>
      <c r="R1021" s="2" t="s">
        <v>233</v>
      </c>
      <c r="S1021" s="2" t="s">
        <v>5183</v>
      </c>
      <c r="T1021" s="2" t="s">
        <v>1859</v>
      </c>
      <c r="U1021" s="2" t="s">
        <v>781</v>
      </c>
      <c r="V1021" s="2" t="s">
        <v>236</v>
      </c>
      <c r="W1021" s="2" t="s">
        <v>237</v>
      </c>
      <c r="X1021" s="2" t="s">
        <v>712</v>
      </c>
      <c r="Y1021" s="2" t="s">
        <v>5184</v>
      </c>
      <c r="Z1021" s="4">
        <v>403</v>
      </c>
      <c r="AA1021" s="4">
        <f>=ROUNDDOWN(26.8666666666667,0)</f>
      </c>
      <c r="AB1021" s="5">
        <v>15</v>
      </c>
      <c r="AC1021" s="2" t="s">
        <v>490</v>
      </c>
      <c r="AD1021" s="4">
        <v>400</v>
      </c>
      <c r="AE1021" s="4">
        <v>400</v>
      </c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233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/>
      <c r="AW1021" s="8"/>
      <c r="AX1021" s="4"/>
      <c r="AY1021" s="8"/>
      <c r="AZ1021" s="7"/>
      <c r="BA1021" s="7"/>
      <c r="BB1021" s="7"/>
      <c r="BC1021" s="4" t="s">
        <v>233</v>
      </c>
      <c r="BD1021" s="8" t="s">
        <v>233</v>
      </c>
      <c r="BE1021" s="4" t="s">
        <v>233</v>
      </c>
      <c r="BF1021" s="8" t="s">
        <v>233</v>
      </c>
      <c r="BG1021" s="7" t="s">
        <v>233</v>
      </c>
      <c r="BH1021" s="7" t="s">
        <v>233</v>
      </c>
      <c r="BI1021" s="7"/>
      <c r="BJ1021" s="4">
        <v>6</v>
      </c>
      <c r="BK1021" s="8">
        <v>227.96</v>
      </c>
      <c r="BL1021" s="2" t="s">
        <v>1660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5179</v>
      </c>
      <c r="BV1021" s="2" t="s">
        <v>233</v>
      </c>
      <c r="BW1021" s="2" t="s">
        <v>233</v>
      </c>
      <c r="BX1021" s="2" t="s">
        <v>293</v>
      </c>
      <c r="BY1021" s="2" t="s">
        <v>242</v>
      </c>
      <c r="BZ1021" s="2" t="s">
        <v>230</v>
      </c>
      <c r="CA1021" s="2" t="s">
        <v>1916</v>
      </c>
      <c r="CB1021" s="2" t="s">
        <v>233</v>
      </c>
      <c r="CC1021" s="2" t="s">
        <v>245</v>
      </c>
      <c r="CD1021" s="2" t="s">
        <v>233</v>
      </c>
      <c r="CE1021" s="4">
        <v>403</v>
      </c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>
        <v>400</v>
      </c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>
        <v>403</v>
      </c>
      <c r="GD1021" s="4">
        <v>268</v>
      </c>
      <c r="GE1021" s="4">
        <v>249</v>
      </c>
      <c r="GF1021" s="4">
        <v>230</v>
      </c>
      <c r="GG1021" s="4">
        <v>207</v>
      </c>
      <c r="GH1021" s="4">
        <v>187</v>
      </c>
      <c r="GI1021" s="4">
        <v>567</v>
      </c>
      <c r="GJ1021" s="4">
        <v>550</v>
      </c>
      <c r="GK1021" s="4">
        <v>537</v>
      </c>
      <c r="GL1021" s="4">
        <v>522</v>
      </c>
      <c r="GM1021" s="4">
        <v>506</v>
      </c>
      <c r="GN1021" s="4">
        <v>491</v>
      </c>
      <c r="GO1021" s="4">
        <v>475</v>
      </c>
      <c r="GP1021" s="4">
        <v>459</v>
      </c>
      <c r="GQ1021" s="4">
        <v>443</v>
      </c>
      <c r="GR1021" s="4">
        <v>427</v>
      </c>
      <c r="GS1021" s="4">
        <v>412</v>
      </c>
      <c r="GT1021" s="4">
        <v>397</v>
      </c>
      <c r="GU1021" s="4">
        <v>382</v>
      </c>
      <c r="GV1021" s="4">
        <v>367</v>
      </c>
      <c r="GW1021" s="4">
        <v>352</v>
      </c>
      <c r="GX1021" s="4">
        <v>337</v>
      </c>
      <c r="GY1021" s="4">
        <v>322</v>
      </c>
      <c r="GZ1021" s="4">
        <v>307</v>
      </c>
      <c r="HA1021" s="4">
        <v>291</v>
      </c>
      <c r="HB1021" s="4">
        <v>277</v>
      </c>
      <c r="HC1021" s="19">
        <v>8.2</v>
      </c>
      <c r="HD1021" s="19">
        <v>13.4</v>
      </c>
      <c r="HE1021" s="19">
        <v>12.5</v>
      </c>
      <c r="HF1021" s="19">
        <v>11.5</v>
      </c>
      <c r="HG1021" s="19">
        <v>11.5</v>
      </c>
      <c r="HH1021" s="19">
        <v>11.7</v>
      </c>
      <c r="HI1021" s="19">
        <v>37.8</v>
      </c>
      <c r="HJ1021" s="19">
        <v>36.7</v>
      </c>
      <c r="HK1021" s="19">
        <v>33.6</v>
      </c>
      <c r="HL1021" s="19">
        <v>32.6</v>
      </c>
      <c r="HM1021" s="19">
        <v>31.6</v>
      </c>
      <c r="HN1021" s="19">
        <v>30.7</v>
      </c>
      <c r="HO1021" s="19">
        <v>29.7</v>
      </c>
      <c r="HP1021" s="19">
        <v>28.7</v>
      </c>
      <c r="HQ1021" s="19">
        <v>29.5</v>
      </c>
      <c r="HR1021" s="19">
        <v>28.5</v>
      </c>
      <c r="HS1021" s="19">
        <v>27.5</v>
      </c>
      <c r="HT1021" s="19">
        <v>26.5</v>
      </c>
      <c r="HU1021" s="19">
        <v>25.5</v>
      </c>
      <c r="HV1021" s="19">
        <v>24.5</v>
      </c>
      <c r="HW1021" s="19">
        <v>23.5</v>
      </c>
      <c r="HX1021" s="19">
        <v>22.5</v>
      </c>
      <c r="HY1021" s="19">
        <v>21.5</v>
      </c>
      <c r="HZ1021" s="19">
        <v>21.9</v>
      </c>
      <c r="IA1021" s="19">
        <v>20.8</v>
      </c>
      <c r="IB1021" s="19">
        <v>17.3</v>
      </c>
    </row>
    <row r="1022">
      <c r="A1022" s="2" t="s">
        <v>5185</v>
      </c>
      <c r="B1022" s="2" t="s">
        <v>938</v>
      </c>
      <c r="C1022" s="2" t="s">
        <v>280</v>
      </c>
      <c r="D1022" s="2" t="s">
        <v>972</v>
      </c>
      <c r="E1022" s="2" t="s">
        <v>1221</v>
      </c>
      <c r="F1022" s="2" t="s">
        <v>5186</v>
      </c>
      <c r="G1022" s="2" t="s">
        <v>5187</v>
      </c>
      <c r="H1022" s="2" t="s">
        <v>5188</v>
      </c>
      <c r="I1022" s="2" t="s">
        <v>5189</v>
      </c>
      <c r="J1022" s="2" t="s">
        <v>2859</v>
      </c>
      <c r="K1022" s="2" t="s">
        <v>484</v>
      </c>
      <c r="L1022" s="3">
        <v>13.5</v>
      </c>
      <c r="M1022" s="3">
        <v>14.18</v>
      </c>
      <c r="N1022" s="3">
        <v>29.99</v>
      </c>
      <c r="O1022" s="2" t="s">
        <v>230</v>
      </c>
      <c r="P1022" s="2" t="s">
        <v>231</v>
      </c>
      <c r="Q1022" s="2" t="s">
        <v>232</v>
      </c>
      <c r="R1022" s="2" t="s">
        <v>233</v>
      </c>
      <c r="S1022" s="2" t="s">
        <v>5190</v>
      </c>
      <c r="T1022" s="2" t="s">
        <v>233</v>
      </c>
      <c r="U1022" s="2" t="s">
        <v>329</v>
      </c>
      <c r="V1022" s="2" t="s">
        <v>236</v>
      </c>
      <c r="W1022" s="2" t="s">
        <v>1631</v>
      </c>
      <c r="X1022" s="2" t="s">
        <v>1221</v>
      </c>
      <c r="Y1022" s="2" t="s">
        <v>5077</v>
      </c>
      <c r="Z1022" s="4">
        <v>226</v>
      </c>
      <c r="AA1022" s="4">
        <f>=ROUNDDOWN(45.2,0)</f>
      </c>
      <c r="AB1022" s="5">
        <v>5</v>
      </c>
      <c r="AC1022" s="2" t="s">
        <v>233</v>
      </c>
      <c r="AD1022" s="4"/>
      <c r="AE1022" s="4"/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233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 t="s">
        <v>233</v>
      </c>
      <c r="BD1022" s="8" t="s">
        <v>233</v>
      </c>
      <c r="BE1022" s="4" t="s">
        <v>233</v>
      </c>
      <c r="BF1022" s="8" t="s">
        <v>233</v>
      </c>
      <c r="BG1022" s="7" t="s">
        <v>233</v>
      </c>
      <c r="BH1022" s="7" t="s">
        <v>233</v>
      </c>
      <c r="BI1022" s="7"/>
      <c r="BJ1022" s="4">
        <v>2</v>
      </c>
      <c r="BK1022" s="8">
        <v>26.58</v>
      </c>
      <c r="BL1022" s="2" t="s">
        <v>324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5191</v>
      </c>
      <c r="BV1022" s="2" t="s">
        <v>233</v>
      </c>
      <c r="BW1022" s="2" t="s">
        <v>233</v>
      </c>
      <c r="BX1022" s="2" t="s">
        <v>241</v>
      </c>
      <c r="BY1022" s="2" t="s">
        <v>242</v>
      </c>
      <c r="BZ1022" s="2" t="s">
        <v>230</v>
      </c>
      <c r="CA1022" s="2" t="s">
        <v>2007</v>
      </c>
      <c r="CB1022" s="2" t="s">
        <v>5192</v>
      </c>
      <c r="CC1022" s="2" t="s">
        <v>245</v>
      </c>
      <c r="CD1022" s="2" t="s">
        <v>233</v>
      </c>
      <c r="CE1022" s="4">
        <v>226</v>
      </c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>
        <v>229</v>
      </c>
      <c r="GD1022" s="4">
        <v>222</v>
      </c>
      <c r="GE1022" s="4">
        <v>218</v>
      </c>
      <c r="GF1022" s="4">
        <v>212</v>
      </c>
      <c r="GG1022" s="4">
        <v>205</v>
      </c>
      <c r="GH1022" s="4">
        <v>200</v>
      </c>
      <c r="GI1022" s="4">
        <v>194</v>
      </c>
      <c r="GJ1022" s="4">
        <v>189</v>
      </c>
      <c r="GK1022" s="4">
        <v>184</v>
      </c>
      <c r="GL1022" s="4">
        <v>179</v>
      </c>
      <c r="GM1022" s="4">
        <v>174</v>
      </c>
      <c r="GN1022" s="4">
        <v>169</v>
      </c>
      <c r="GO1022" s="4">
        <v>164</v>
      </c>
      <c r="GP1022" s="4">
        <v>159</v>
      </c>
      <c r="GQ1022" s="4">
        <v>154</v>
      </c>
      <c r="GR1022" s="4">
        <v>149</v>
      </c>
      <c r="GS1022" s="4">
        <v>144</v>
      </c>
      <c r="GT1022" s="4">
        <v>138</v>
      </c>
      <c r="GU1022" s="4">
        <v>133</v>
      </c>
      <c r="GV1022" s="4">
        <v>128</v>
      </c>
      <c r="GW1022" s="4">
        <v>123</v>
      </c>
      <c r="GX1022" s="4">
        <v>118</v>
      </c>
      <c r="GY1022" s="4">
        <v>113</v>
      </c>
      <c r="GZ1022" s="4">
        <v>108</v>
      </c>
      <c r="HA1022" s="4">
        <v>103</v>
      </c>
      <c r="HB1022" s="4">
        <v>98</v>
      </c>
      <c r="HC1022" s="19">
        <v>38.2</v>
      </c>
      <c r="HD1022" s="19">
        <v>37</v>
      </c>
      <c r="HE1022" s="19">
        <v>36.3</v>
      </c>
      <c r="HF1022" s="19">
        <v>35.3</v>
      </c>
      <c r="HG1022" s="19">
        <v>41</v>
      </c>
      <c r="HH1022" s="19">
        <v>40</v>
      </c>
      <c r="HI1022" s="19">
        <v>38.8</v>
      </c>
      <c r="HJ1022" s="19">
        <v>37.8</v>
      </c>
      <c r="HK1022" s="19">
        <v>36.8</v>
      </c>
      <c r="HL1022" s="19">
        <v>35.8</v>
      </c>
      <c r="HM1022" s="19">
        <v>34.8</v>
      </c>
      <c r="HN1022" s="19">
        <v>33.8</v>
      </c>
      <c r="HO1022" s="19">
        <v>32.8</v>
      </c>
      <c r="HP1022" s="19">
        <v>31.8</v>
      </c>
      <c r="HQ1022" s="19">
        <v>30.8</v>
      </c>
      <c r="HR1022" s="19">
        <v>29.8</v>
      </c>
      <c r="HS1022" s="19">
        <v>28.8</v>
      </c>
      <c r="HT1022" s="19">
        <v>27.6</v>
      </c>
      <c r="HU1022" s="19">
        <v>26.6</v>
      </c>
      <c r="HV1022" s="19">
        <v>25.6</v>
      </c>
      <c r="HW1022" s="19">
        <v>24.6</v>
      </c>
      <c r="HX1022" s="19">
        <v>23.6</v>
      </c>
      <c r="HY1022" s="19">
        <v>22.6</v>
      </c>
      <c r="HZ1022" s="19">
        <v>21.6</v>
      </c>
      <c r="IA1022" s="19">
        <v>20.6</v>
      </c>
      <c r="IB1022" s="19">
        <v>19.6</v>
      </c>
    </row>
    <row r="1023">
      <c r="A1023" s="2" t="s">
        <v>5193</v>
      </c>
      <c r="B1023" s="2" t="s">
        <v>938</v>
      </c>
      <c r="C1023" s="2" t="s">
        <v>280</v>
      </c>
      <c r="D1023" s="2" t="s">
        <v>972</v>
      </c>
      <c r="E1023" s="2" t="s">
        <v>1221</v>
      </c>
      <c r="F1023" s="2" t="s">
        <v>5186</v>
      </c>
      <c r="G1023" s="2" t="s">
        <v>5187</v>
      </c>
      <c r="H1023" s="2" t="s">
        <v>5188</v>
      </c>
      <c r="I1023" s="2" t="s">
        <v>5189</v>
      </c>
      <c r="J1023" s="2" t="s">
        <v>2859</v>
      </c>
      <c r="K1023" s="2" t="s">
        <v>4483</v>
      </c>
      <c r="L1023" s="3">
        <v>13.5</v>
      </c>
      <c r="M1023" s="3">
        <v>14.18</v>
      </c>
      <c r="N1023" s="3">
        <v>29.99</v>
      </c>
      <c r="O1023" s="2" t="s">
        <v>230</v>
      </c>
      <c r="P1023" s="2" t="s">
        <v>231</v>
      </c>
      <c r="Q1023" s="2" t="s">
        <v>232</v>
      </c>
      <c r="R1023" s="2" t="s">
        <v>233</v>
      </c>
      <c r="S1023" s="2" t="s">
        <v>5194</v>
      </c>
      <c r="T1023" s="2" t="s">
        <v>233</v>
      </c>
      <c r="U1023" s="2" t="s">
        <v>329</v>
      </c>
      <c r="V1023" s="2" t="s">
        <v>236</v>
      </c>
      <c r="W1023" s="2" t="s">
        <v>1631</v>
      </c>
      <c r="X1023" s="2" t="s">
        <v>1221</v>
      </c>
      <c r="Y1023" s="2" t="s">
        <v>2864</v>
      </c>
      <c r="Z1023" s="4">
        <v>475</v>
      </c>
      <c r="AA1023" s="4">
        <f>=ROUNDDOWN(79.1666666666667,0)</f>
      </c>
      <c r="AB1023" s="5">
        <v>6</v>
      </c>
      <c r="AC1023" s="2" t="s">
        <v>233</v>
      </c>
      <c r="AD1023" s="4"/>
      <c r="AE1023" s="4"/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233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/>
      <c r="AW1023" s="8"/>
      <c r="AX1023" s="4"/>
      <c r="AY1023" s="8"/>
      <c r="AZ1023" s="7"/>
      <c r="BA1023" s="7"/>
      <c r="BB1023" s="7"/>
      <c r="BC1023" s="4" t="s">
        <v>233</v>
      </c>
      <c r="BD1023" s="8" t="s">
        <v>233</v>
      </c>
      <c r="BE1023" s="4" t="s">
        <v>233</v>
      </c>
      <c r="BF1023" s="8" t="s">
        <v>233</v>
      </c>
      <c r="BG1023" s="7" t="s">
        <v>233</v>
      </c>
      <c r="BH1023" s="7" t="s">
        <v>233</v>
      </c>
      <c r="BI1023" s="7"/>
      <c r="BJ1023" s="4">
        <v>32</v>
      </c>
      <c r="BK1023" s="8">
        <v>455.15</v>
      </c>
      <c r="BL1023" s="2" t="s">
        <v>5195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5191</v>
      </c>
      <c r="BV1023" s="2" t="s">
        <v>233</v>
      </c>
      <c r="BW1023" s="2" t="s">
        <v>233</v>
      </c>
      <c r="BX1023" s="2" t="s">
        <v>241</v>
      </c>
      <c r="BY1023" s="2" t="s">
        <v>242</v>
      </c>
      <c r="BZ1023" s="2" t="s">
        <v>230</v>
      </c>
      <c r="CA1023" s="2" t="s">
        <v>5196</v>
      </c>
      <c r="CB1023" s="2" t="s">
        <v>5197</v>
      </c>
      <c r="CC1023" s="2" t="s">
        <v>245</v>
      </c>
      <c r="CD1023" s="2" t="s">
        <v>233</v>
      </c>
      <c r="CE1023" s="4">
        <v>475</v>
      </c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>
        <v>483</v>
      </c>
      <c r="GD1023" s="4">
        <v>474</v>
      </c>
      <c r="GE1023" s="4">
        <v>468</v>
      </c>
      <c r="GF1023" s="4">
        <v>463</v>
      </c>
      <c r="GG1023" s="4">
        <v>456</v>
      </c>
      <c r="GH1023" s="4">
        <v>452</v>
      </c>
      <c r="GI1023" s="4">
        <v>447</v>
      </c>
      <c r="GJ1023" s="4">
        <v>443</v>
      </c>
      <c r="GK1023" s="4">
        <v>438</v>
      </c>
      <c r="GL1023" s="4">
        <v>432</v>
      </c>
      <c r="GM1023" s="4">
        <v>426</v>
      </c>
      <c r="GN1023" s="4">
        <v>420</v>
      </c>
      <c r="GO1023" s="4">
        <v>414</v>
      </c>
      <c r="GP1023" s="4">
        <v>408</v>
      </c>
      <c r="GQ1023" s="4">
        <v>402</v>
      </c>
      <c r="GR1023" s="4">
        <v>396</v>
      </c>
      <c r="GS1023" s="4">
        <v>390</v>
      </c>
      <c r="GT1023" s="4">
        <v>383</v>
      </c>
      <c r="GU1023" s="4">
        <v>377</v>
      </c>
      <c r="GV1023" s="4">
        <v>371</v>
      </c>
      <c r="GW1023" s="4">
        <v>365</v>
      </c>
      <c r="GX1023" s="4">
        <v>359</v>
      </c>
      <c r="GY1023" s="4">
        <v>353</v>
      </c>
      <c r="GZ1023" s="4">
        <v>347</v>
      </c>
      <c r="HA1023" s="4">
        <v>341</v>
      </c>
      <c r="HB1023" s="4">
        <v>335</v>
      </c>
      <c r="HC1023" s="19">
        <v>69</v>
      </c>
      <c r="HD1023" s="19">
        <v>79</v>
      </c>
      <c r="HE1023" s="19">
        <v>93.6</v>
      </c>
      <c r="HF1023" s="19">
        <v>92.6</v>
      </c>
      <c r="HG1023" s="19">
        <v>114</v>
      </c>
      <c r="HH1023" s="19">
        <v>90.4</v>
      </c>
      <c r="HI1023" s="19">
        <v>89.4</v>
      </c>
      <c r="HJ1023" s="19">
        <v>73.8</v>
      </c>
      <c r="HK1023" s="19">
        <v>73</v>
      </c>
      <c r="HL1023" s="19">
        <v>72</v>
      </c>
      <c r="HM1023" s="19">
        <v>71</v>
      </c>
      <c r="HN1023" s="19">
        <v>70</v>
      </c>
      <c r="HO1023" s="19">
        <v>69</v>
      </c>
      <c r="HP1023" s="19">
        <v>68</v>
      </c>
      <c r="HQ1023" s="19">
        <v>67</v>
      </c>
      <c r="HR1023" s="19">
        <v>66</v>
      </c>
      <c r="HS1023" s="19">
        <v>65</v>
      </c>
      <c r="HT1023" s="19">
        <v>63.8</v>
      </c>
      <c r="HU1023" s="19">
        <v>62.8</v>
      </c>
      <c r="HV1023" s="19">
        <v>61.8</v>
      </c>
      <c r="HW1023" s="19">
        <v>60.8</v>
      </c>
      <c r="HX1023" s="19">
        <v>59.8</v>
      </c>
      <c r="HY1023" s="19">
        <v>58.8</v>
      </c>
      <c r="HZ1023" s="19">
        <v>57.8</v>
      </c>
      <c r="IA1023" s="19">
        <v>56.8</v>
      </c>
      <c r="IB1023" s="19">
        <v>55.8</v>
      </c>
    </row>
    <row r="1024">
      <c r="A1024" s="2" t="s">
        <v>5198</v>
      </c>
      <c r="B1024" s="2" t="s">
        <v>773</v>
      </c>
      <c r="C1024" s="2" t="s">
        <v>280</v>
      </c>
      <c r="D1024" s="2" t="s">
        <v>1442</v>
      </c>
      <c r="E1024" s="2" t="s">
        <v>1443</v>
      </c>
      <c r="F1024" s="2" t="s">
        <v>3744</v>
      </c>
      <c r="G1024" s="2" t="s">
        <v>3743</v>
      </c>
      <c r="H1024" s="2" t="s">
        <v>3743</v>
      </c>
      <c r="I1024" s="2" t="s">
        <v>5199</v>
      </c>
      <c r="J1024" s="2" t="s">
        <v>1446</v>
      </c>
      <c r="K1024" s="2" t="s">
        <v>2697</v>
      </c>
      <c r="L1024" s="3">
        <v>23.8</v>
      </c>
      <c r="M1024" s="3">
        <v>24.99</v>
      </c>
      <c r="N1024" s="3">
        <v>49.99</v>
      </c>
      <c r="O1024" s="2" t="s">
        <v>230</v>
      </c>
      <c r="P1024" s="2" t="s">
        <v>721</v>
      </c>
      <c r="Q1024" s="2" t="s">
        <v>232</v>
      </c>
      <c r="R1024" s="2" t="s">
        <v>233</v>
      </c>
      <c r="S1024" s="2" t="s">
        <v>5200</v>
      </c>
      <c r="T1024" s="2" t="s">
        <v>233</v>
      </c>
      <c r="U1024" s="2" t="s">
        <v>329</v>
      </c>
      <c r="V1024" s="2" t="s">
        <v>236</v>
      </c>
      <c r="W1024" s="2" t="s">
        <v>237</v>
      </c>
      <c r="X1024" s="2" t="s">
        <v>233</v>
      </c>
      <c r="Y1024" s="2" t="s">
        <v>3389</v>
      </c>
      <c r="Z1024" s="4">
        <v>389</v>
      </c>
      <c r="AA1024" s="4">
        <f>=ROUNDDOWN(129.666666666667,0)</f>
      </c>
      <c r="AB1024" s="5">
        <v>3</v>
      </c>
      <c r="AC1024" s="2" t="s">
        <v>233</v>
      </c>
      <c r="AD1024" s="4"/>
      <c r="AE1024" s="4"/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233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/>
      <c r="AW1024" s="8"/>
      <c r="AX1024" s="4"/>
      <c r="AY1024" s="8"/>
      <c r="AZ1024" s="7"/>
      <c r="BA1024" s="7"/>
      <c r="BB1024" s="7"/>
      <c r="BC1024" s="4"/>
      <c r="BD1024" s="8"/>
      <c r="BE1024" s="4"/>
      <c r="BF1024" s="8"/>
      <c r="BG1024" s="7"/>
      <c r="BH1024" s="7"/>
      <c r="BI1024" s="7"/>
      <c r="BJ1024" s="4">
        <v>27</v>
      </c>
      <c r="BK1024" s="8">
        <v>727.98</v>
      </c>
      <c r="BL1024" s="2" t="s">
        <v>1803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5201</v>
      </c>
      <c r="BV1024" s="2" t="s">
        <v>233</v>
      </c>
      <c r="BW1024" s="2" t="s">
        <v>233</v>
      </c>
      <c r="BX1024" s="2" t="s">
        <v>241</v>
      </c>
      <c r="BY1024" s="2" t="s">
        <v>242</v>
      </c>
      <c r="BZ1024" s="2" t="s">
        <v>230</v>
      </c>
      <c r="CA1024" s="2" t="s">
        <v>2662</v>
      </c>
      <c r="CB1024" s="2" t="s">
        <v>443</v>
      </c>
      <c r="CC1024" s="2" t="s">
        <v>245</v>
      </c>
      <c r="CD1024" s="2" t="s">
        <v>233</v>
      </c>
      <c r="CE1024" s="4">
        <v>389</v>
      </c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>
        <v>391</v>
      </c>
      <c r="GD1024" s="4">
        <v>385</v>
      </c>
      <c r="GE1024" s="4">
        <v>376</v>
      </c>
      <c r="GF1024" s="4">
        <v>367</v>
      </c>
      <c r="GG1024" s="4">
        <v>351</v>
      </c>
      <c r="GH1024" s="4">
        <v>339</v>
      </c>
      <c r="GI1024" s="4">
        <v>323</v>
      </c>
      <c r="GJ1024" s="4">
        <v>315</v>
      </c>
      <c r="GK1024" s="4">
        <v>308</v>
      </c>
      <c r="GL1024" s="4">
        <v>301</v>
      </c>
      <c r="GM1024" s="4">
        <v>298</v>
      </c>
      <c r="GN1024" s="4">
        <v>295</v>
      </c>
      <c r="GO1024" s="4">
        <v>292</v>
      </c>
      <c r="GP1024" s="4">
        <v>289</v>
      </c>
      <c r="GQ1024" s="4">
        <v>286</v>
      </c>
      <c r="GR1024" s="4">
        <v>283</v>
      </c>
      <c r="GS1024" s="4">
        <v>280</v>
      </c>
      <c r="GT1024" s="4">
        <v>277</v>
      </c>
      <c r="GU1024" s="4">
        <v>274</v>
      </c>
      <c r="GV1024" s="4">
        <v>271</v>
      </c>
      <c r="GW1024" s="4">
        <v>268</v>
      </c>
      <c r="GX1024" s="4">
        <v>265</v>
      </c>
      <c r="GY1024" s="4">
        <v>262</v>
      </c>
      <c r="GZ1024" s="4">
        <v>259</v>
      </c>
      <c r="HA1024" s="4">
        <v>256</v>
      </c>
      <c r="HB1024" s="4">
        <v>253</v>
      </c>
      <c r="HC1024" s="19">
        <v>39.1</v>
      </c>
      <c r="HD1024" s="19">
        <v>32.1</v>
      </c>
      <c r="HE1024" s="19">
        <v>28.9</v>
      </c>
      <c r="HF1024" s="19">
        <v>28.2</v>
      </c>
      <c r="HG1024" s="19">
        <v>31.9</v>
      </c>
      <c r="HH1024" s="19">
        <v>33.9</v>
      </c>
      <c r="HI1024" s="19">
        <v>53.8</v>
      </c>
      <c r="HJ1024" s="19">
        <v>63</v>
      </c>
      <c r="HK1024" s="19">
        <v>77</v>
      </c>
      <c r="HL1024" s="19">
        <v>100.3</v>
      </c>
      <c r="HM1024" s="19">
        <v>99.3</v>
      </c>
      <c r="HN1024" s="19">
        <v>98.3</v>
      </c>
      <c r="HO1024" s="19">
        <v>97.3</v>
      </c>
      <c r="HP1024" s="19">
        <v>96.3</v>
      </c>
      <c r="HQ1024" s="19">
        <v>95.3</v>
      </c>
      <c r="HR1024" s="19">
        <v>94.3</v>
      </c>
      <c r="HS1024" s="19">
        <v>93.3</v>
      </c>
      <c r="HT1024" s="19">
        <v>92.3</v>
      </c>
      <c r="HU1024" s="19">
        <v>91.3</v>
      </c>
      <c r="HV1024" s="19">
        <v>90.3</v>
      </c>
      <c r="HW1024" s="19">
        <v>89.3</v>
      </c>
      <c r="HX1024" s="19">
        <v>88.3</v>
      </c>
      <c r="HY1024" s="19">
        <v>87.3</v>
      </c>
      <c r="HZ1024" s="19">
        <v>86.3</v>
      </c>
      <c r="IA1024" s="19">
        <v>85.3</v>
      </c>
      <c r="IB1024" s="19">
        <v>84.3</v>
      </c>
    </row>
    <row r="1025">
      <c r="A1025" s="2" t="s">
        <v>5202</v>
      </c>
      <c r="B1025" s="2" t="s">
        <v>825</v>
      </c>
      <c r="C1025" s="2" t="s">
        <v>1411</v>
      </c>
      <c r="D1025" s="2" t="s">
        <v>261</v>
      </c>
      <c r="E1025" s="2" t="s">
        <v>603</v>
      </c>
      <c r="F1025" s="2" t="s">
        <v>5203</v>
      </c>
      <c r="G1025" s="2" t="s">
        <v>5204</v>
      </c>
      <c r="H1025" s="2" t="s">
        <v>5205</v>
      </c>
      <c r="I1025" s="2" t="s">
        <v>1414</v>
      </c>
      <c r="J1025" s="2" t="s">
        <v>1052</v>
      </c>
      <c r="K1025" s="2" t="s">
        <v>1511</v>
      </c>
      <c r="L1025" s="3">
        <v>29.25</v>
      </c>
      <c r="M1025" s="3">
        <v>30.71</v>
      </c>
      <c r="N1025" s="3">
        <v>64.99</v>
      </c>
      <c r="O1025" s="2" t="s">
        <v>230</v>
      </c>
      <c r="P1025" s="2" t="s">
        <v>231</v>
      </c>
      <c r="Q1025" s="2" t="s">
        <v>232</v>
      </c>
      <c r="R1025" s="2" t="s">
        <v>233</v>
      </c>
      <c r="S1025" s="2" t="s">
        <v>233</v>
      </c>
      <c r="T1025" s="2" t="s">
        <v>469</v>
      </c>
      <c r="U1025" s="2" t="s">
        <v>287</v>
      </c>
      <c r="V1025" s="2" t="s">
        <v>914</v>
      </c>
      <c r="W1025" s="2" t="s">
        <v>237</v>
      </c>
      <c r="X1025" s="2" t="s">
        <v>915</v>
      </c>
      <c r="Y1025" s="2" t="s">
        <v>1633</v>
      </c>
      <c r="Z1025" s="4">
        <v>402</v>
      </c>
      <c r="AA1025" s="4">
        <f>=ROUNDDOWN(67,0)</f>
      </c>
      <c r="AB1025" s="5">
        <v>6</v>
      </c>
      <c r="AC1025" s="2" t="s">
        <v>233</v>
      </c>
      <c r="AD1025" s="4"/>
      <c r="AE1025" s="4"/>
      <c r="AF1025" s="6">
        <v>64</v>
      </c>
      <c r="AG1025" s="6">
        <v>47</v>
      </c>
      <c r="AH1025" s="7">
        <v>1</v>
      </c>
      <c r="AI1025" s="4"/>
      <c r="AJ1025" s="4">
        <f>=ROUNDDOWN({0},0)</f>
      </c>
      <c r="AK1025" s="5"/>
      <c r="AL1025" s="2" t="s">
        <v>233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/>
      <c r="AW1025" s="8"/>
      <c r="AX1025" s="4"/>
      <c r="AY1025" s="8"/>
      <c r="AZ1025" s="7"/>
      <c r="BA1025" s="7"/>
      <c r="BB1025" s="7"/>
      <c r="BC1025" s="4"/>
      <c r="BD1025" s="8"/>
      <c r="BE1025" s="4"/>
      <c r="BF1025" s="8"/>
      <c r="BG1025" s="7"/>
      <c r="BH1025" s="7"/>
      <c r="BI1025" s="7"/>
      <c r="BJ1025" s="4">
        <v>21</v>
      </c>
      <c r="BK1025" s="8">
        <v>670.48</v>
      </c>
      <c r="BL1025" s="2" t="s">
        <v>5206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5207</v>
      </c>
      <c r="BV1025" s="2" t="s">
        <v>233</v>
      </c>
      <c r="BW1025" s="2" t="s">
        <v>233</v>
      </c>
      <c r="BX1025" s="2" t="s">
        <v>241</v>
      </c>
      <c r="BY1025" s="2" t="s">
        <v>242</v>
      </c>
      <c r="BZ1025" s="2" t="s">
        <v>230</v>
      </c>
      <c r="CA1025" s="2" t="s">
        <v>5077</v>
      </c>
      <c r="CB1025" s="2" t="s">
        <v>5208</v>
      </c>
      <c r="CC1025" s="2" t="s">
        <v>245</v>
      </c>
      <c r="CD1025" s="2" t="s">
        <v>233</v>
      </c>
      <c r="CE1025" s="4">
        <v>269</v>
      </c>
      <c r="CF1025" s="4"/>
      <c r="CG1025" s="4"/>
      <c r="CH1025" s="4">
        <v>133</v>
      </c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>
        <v>413</v>
      </c>
      <c r="GD1025" s="4">
        <v>402</v>
      </c>
      <c r="GE1025" s="4">
        <v>395</v>
      </c>
      <c r="GF1025" s="4">
        <v>388</v>
      </c>
      <c r="GG1025" s="4">
        <v>381</v>
      </c>
      <c r="GH1025" s="4">
        <v>370</v>
      </c>
      <c r="GI1025" s="4">
        <v>358</v>
      </c>
      <c r="GJ1025" s="4">
        <v>349</v>
      </c>
      <c r="GK1025" s="4">
        <v>341</v>
      </c>
      <c r="GL1025" s="4">
        <v>333</v>
      </c>
      <c r="GM1025" s="4">
        <v>326</v>
      </c>
      <c r="GN1025" s="4">
        <v>319</v>
      </c>
      <c r="GO1025" s="4">
        <v>312</v>
      </c>
      <c r="GP1025" s="4">
        <v>305</v>
      </c>
      <c r="GQ1025" s="4">
        <v>298</v>
      </c>
      <c r="GR1025" s="4">
        <v>291</v>
      </c>
      <c r="GS1025" s="4">
        <v>284</v>
      </c>
      <c r="GT1025" s="4">
        <v>276</v>
      </c>
      <c r="GU1025" s="4">
        <v>269</v>
      </c>
      <c r="GV1025" s="4">
        <v>262</v>
      </c>
      <c r="GW1025" s="4">
        <v>255</v>
      </c>
      <c r="GX1025" s="4">
        <v>248</v>
      </c>
      <c r="GY1025" s="4">
        <v>241</v>
      </c>
      <c r="GZ1025" s="4">
        <v>234</v>
      </c>
      <c r="HA1025" s="4">
        <v>227</v>
      </c>
      <c r="HB1025" s="4">
        <v>220</v>
      </c>
      <c r="HC1025" s="19">
        <v>87</v>
      </c>
      <c r="HD1025" s="19">
        <v>85.7</v>
      </c>
      <c r="HE1025" s="19">
        <v>49.5</v>
      </c>
      <c r="HF1025" s="19">
        <v>48.8</v>
      </c>
      <c r="HG1025" s="19">
        <v>48.2</v>
      </c>
      <c r="HH1025" s="19">
        <v>79.2</v>
      </c>
      <c r="HI1025" s="19">
        <v>79.6</v>
      </c>
      <c r="HJ1025" s="19">
        <v>81.2</v>
      </c>
      <c r="HK1025" s="19">
        <v>80.1</v>
      </c>
      <c r="HL1025" s="19">
        <v>79</v>
      </c>
      <c r="HM1025" s="19">
        <v>78</v>
      </c>
      <c r="HN1025" s="19">
        <v>77</v>
      </c>
      <c r="HO1025" s="19">
        <v>76</v>
      </c>
      <c r="HP1025" s="19">
        <v>75</v>
      </c>
      <c r="HQ1025" s="19">
        <v>74</v>
      </c>
      <c r="HR1025" s="19">
        <v>73</v>
      </c>
      <c r="HS1025" s="19">
        <v>72</v>
      </c>
      <c r="HT1025" s="19">
        <v>70.9</v>
      </c>
      <c r="HU1025" s="19">
        <v>69.9</v>
      </c>
      <c r="HV1025" s="19">
        <v>68.9</v>
      </c>
      <c r="HW1025" s="19">
        <v>67.9</v>
      </c>
      <c r="HX1025" s="19">
        <v>66.9</v>
      </c>
      <c r="HY1025" s="19">
        <v>65.9</v>
      </c>
      <c r="HZ1025" s="19">
        <v>64.9</v>
      </c>
      <c r="IA1025" s="19">
        <v>63.9</v>
      </c>
      <c r="IB1025" s="19">
        <v>62.9</v>
      </c>
    </row>
    <row r="1026">
      <c r="A1026" s="2" t="s">
        <v>5209</v>
      </c>
      <c r="B1026" s="2" t="s">
        <v>872</v>
      </c>
      <c r="C1026" s="2" t="s">
        <v>343</v>
      </c>
      <c r="D1026" s="2" t="s">
        <v>884</v>
      </c>
      <c r="E1026" s="2" t="s">
        <v>1119</v>
      </c>
      <c r="F1026" s="2" t="s">
        <v>5210</v>
      </c>
      <c r="G1026" s="2" t="s">
        <v>5211</v>
      </c>
      <c r="H1026" s="2" t="s">
        <v>5212</v>
      </c>
      <c r="I1026" s="2" t="s">
        <v>3702</v>
      </c>
      <c r="J1026" s="2" t="s">
        <v>252</v>
      </c>
      <c r="K1026" s="2" t="s">
        <v>434</v>
      </c>
      <c r="L1026" s="3">
        <v>54.45</v>
      </c>
      <c r="M1026" s="3">
        <v>57.17</v>
      </c>
      <c r="N1026" s="3">
        <v>99</v>
      </c>
      <c r="O1026" s="2" t="s">
        <v>230</v>
      </c>
      <c r="P1026" s="2" t="s">
        <v>231</v>
      </c>
      <c r="Q1026" s="2" t="s">
        <v>232</v>
      </c>
      <c r="R1026" s="2" t="s">
        <v>233</v>
      </c>
      <c r="S1026" s="2" t="s">
        <v>5213</v>
      </c>
      <c r="T1026" s="2" t="s">
        <v>233</v>
      </c>
      <c r="U1026" s="2" t="s">
        <v>723</v>
      </c>
      <c r="V1026" s="2" t="s">
        <v>349</v>
      </c>
      <c r="W1026" s="2" t="s">
        <v>620</v>
      </c>
      <c r="X1026" s="2" t="s">
        <v>233</v>
      </c>
      <c r="Y1026" s="2" t="s">
        <v>1700</v>
      </c>
      <c r="Z1026" s="4">
        <v>178</v>
      </c>
      <c r="AA1026" s="4">
        <f>=ROUNDDOWN(44.5,0)</f>
      </c>
      <c r="AB1026" s="5">
        <v>4</v>
      </c>
      <c r="AC1026" s="2" t="s">
        <v>150</v>
      </c>
      <c r="AD1026" s="4">
        <v>17</v>
      </c>
      <c r="AE1026" s="4">
        <v>56</v>
      </c>
      <c r="AF1026" s="6">
        <v>65</v>
      </c>
      <c r="AG1026" s="6">
        <v>73</v>
      </c>
      <c r="AH1026" s="7">
        <v>1</v>
      </c>
      <c r="AI1026" s="4"/>
      <c r="AJ1026" s="4">
        <f>=ROUNDDOWN({0},0)</f>
      </c>
      <c r="AK1026" s="5"/>
      <c r="AL1026" s="2" t="s">
        <v>233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/>
      <c r="AW1026" s="8"/>
      <c r="AX1026" s="4"/>
      <c r="AY1026" s="8"/>
      <c r="AZ1026" s="7"/>
      <c r="BA1026" s="7"/>
      <c r="BB1026" s="7"/>
      <c r="BC1026" s="4" t="s">
        <v>233</v>
      </c>
      <c r="BD1026" s="8" t="s">
        <v>233</v>
      </c>
      <c r="BE1026" s="4" t="s">
        <v>233</v>
      </c>
      <c r="BF1026" s="8" t="s">
        <v>233</v>
      </c>
      <c r="BG1026" s="7" t="s">
        <v>233</v>
      </c>
      <c r="BH1026" s="7" t="s">
        <v>233</v>
      </c>
      <c r="BI1026" s="7"/>
      <c r="BJ1026" s="4">
        <v>9</v>
      </c>
      <c r="BK1026" s="8">
        <v>517.96</v>
      </c>
      <c r="BL1026" s="2" t="s">
        <v>5214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5215</v>
      </c>
      <c r="BV1026" s="2" t="s">
        <v>233</v>
      </c>
      <c r="BW1026" s="2" t="s">
        <v>233</v>
      </c>
      <c r="BX1026" s="2" t="s">
        <v>241</v>
      </c>
      <c r="BY1026" s="2" t="s">
        <v>242</v>
      </c>
      <c r="BZ1026" s="2" t="s">
        <v>230</v>
      </c>
      <c r="CA1026" s="2" t="s">
        <v>5216</v>
      </c>
      <c r="CB1026" s="2" t="s">
        <v>5196</v>
      </c>
      <c r="CC1026" s="2" t="s">
        <v>245</v>
      </c>
      <c r="CD1026" s="2" t="s">
        <v>233</v>
      </c>
      <c r="CE1026" s="4">
        <v>145</v>
      </c>
      <c r="CF1026" s="4"/>
      <c r="CG1026" s="4"/>
      <c r="CH1026" s="4">
        <v>33</v>
      </c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>
        <v>17</v>
      </c>
      <c r="DM1026" s="4"/>
      <c r="DN1026" s="4"/>
      <c r="DO1026" s="4"/>
      <c r="DP1026" s="4"/>
      <c r="DQ1026" s="4">
        <v>39</v>
      </c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>
        <v>180</v>
      </c>
      <c r="GD1026" s="4">
        <v>167</v>
      </c>
      <c r="GE1026" s="4">
        <v>163</v>
      </c>
      <c r="GF1026" s="4">
        <v>159</v>
      </c>
      <c r="GG1026" s="4">
        <v>168</v>
      </c>
      <c r="GH1026" s="4">
        <v>201</v>
      </c>
      <c r="GI1026" s="4">
        <v>195</v>
      </c>
      <c r="GJ1026" s="4">
        <v>191</v>
      </c>
      <c r="GK1026" s="4">
        <v>187</v>
      </c>
      <c r="GL1026" s="4">
        <v>180</v>
      </c>
      <c r="GM1026" s="4">
        <v>176</v>
      </c>
      <c r="GN1026" s="4">
        <v>172</v>
      </c>
      <c r="GO1026" s="4">
        <v>168</v>
      </c>
      <c r="GP1026" s="4">
        <v>164</v>
      </c>
      <c r="GQ1026" s="4">
        <v>160</v>
      </c>
      <c r="GR1026" s="4">
        <v>156</v>
      </c>
      <c r="GS1026" s="4">
        <v>152</v>
      </c>
      <c r="GT1026" s="4">
        <v>148</v>
      </c>
      <c r="GU1026" s="4">
        <v>144</v>
      </c>
      <c r="GV1026" s="4">
        <v>140</v>
      </c>
      <c r="GW1026" s="4">
        <v>136</v>
      </c>
      <c r="GX1026" s="4">
        <v>132</v>
      </c>
      <c r="GY1026" s="4">
        <v>128</v>
      </c>
      <c r="GZ1026" s="4">
        <v>124</v>
      </c>
      <c r="HA1026" s="4">
        <v>120</v>
      </c>
      <c r="HB1026" s="4">
        <v>116</v>
      </c>
      <c r="HC1026" s="19">
        <v>20.5</v>
      </c>
      <c r="HD1026" s="19">
        <v>24.8</v>
      </c>
      <c r="HE1026" s="19">
        <v>24.2</v>
      </c>
      <c r="HF1026" s="19">
        <v>23.5</v>
      </c>
      <c r="HG1026" s="19">
        <v>24.3</v>
      </c>
      <c r="HH1026" s="19">
        <v>48.8</v>
      </c>
      <c r="HI1026" s="19">
        <v>47.3</v>
      </c>
      <c r="HJ1026" s="19">
        <v>46.4</v>
      </c>
      <c r="HK1026" s="19">
        <v>45.5</v>
      </c>
      <c r="HL1026" s="19">
        <v>49.4</v>
      </c>
      <c r="HM1026" s="19">
        <v>48.4</v>
      </c>
      <c r="HN1026" s="19">
        <v>47.4</v>
      </c>
      <c r="HO1026" s="19">
        <v>46.4</v>
      </c>
      <c r="HP1026" s="19">
        <v>45.4</v>
      </c>
      <c r="HQ1026" s="19">
        <v>44.4</v>
      </c>
      <c r="HR1026" s="19">
        <v>43.4</v>
      </c>
      <c r="HS1026" s="19">
        <v>42.4</v>
      </c>
      <c r="HT1026" s="19">
        <v>41.4</v>
      </c>
      <c r="HU1026" s="19">
        <v>40.4</v>
      </c>
      <c r="HV1026" s="19">
        <v>39.4</v>
      </c>
      <c r="HW1026" s="19">
        <v>38.4</v>
      </c>
      <c r="HX1026" s="19">
        <v>37.4</v>
      </c>
      <c r="HY1026" s="19">
        <v>36.4</v>
      </c>
      <c r="HZ1026" s="19">
        <v>35.4</v>
      </c>
      <c r="IA1026" s="19">
        <v>34.4</v>
      </c>
      <c r="IB1026" s="19">
        <v>33.4</v>
      </c>
    </row>
    <row r="1027">
      <c r="A1027" s="2" t="s">
        <v>5217</v>
      </c>
      <c r="B1027" s="2" t="s">
        <v>872</v>
      </c>
      <c r="C1027" s="2" t="s">
        <v>343</v>
      </c>
      <c r="D1027" s="2" t="s">
        <v>884</v>
      </c>
      <c r="E1027" s="2" t="s">
        <v>1119</v>
      </c>
      <c r="F1027" s="2" t="s">
        <v>5210</v>
      </c>
      <c r="G1027" s="2" t="s">
        <v>5211</v>
      </c>
      <c r="H1027" s="2" t="s">
        <v>5212</v>
      </c>
      <c r="I1027" s="2" t="s">
        <v>3702</v>
      </c>
      <c r="J1027" s="2" t="s">
        <v>285</v>
      </c>
      <c r="K1027" s="2" t="s">
        <v>458</v>
      </c>
      <c r="L1027" s="3">
        <v>65.45</v>
      </c>
      <c r="M1027" s="3">
        <v>68.72</v>
      </c>
      <c r="N1027" s="3">
        <v>119</v>
      </c>
      <c r="O1027" s="2" t="s">
        <v>230</v>
      </c>
      <c r="P1027" s="2" t="s">
        <v>597</v>
      </c>
      <c r="Q1027" s="2" t="s">
        <v>232</v>
      </c>
      <c r="R1027" s="2" t="s">
        <v>233</v>
      </c>
      <c r="S1027" s="2" t="s">
        <v>5218</v>
      </c>
      <c r="T1027" s="2" t="s">
        <v>233</v>
      </c>
      <c r="U1027" s="2" t="s">
        <v>723</v>
      </c>
      <c r="V1027" s="2" t="s">
        <v>349</v>
      </c>
      <c r="W1027" s="2" t="s">
        <v>620</v>
      </c>
      <c r="X1027" s="2" t="s">
        <v>233</v>
      </c>
      <c r="Y1027" s="2" t="s">
        <v>238</v>
      </c>
      <c r="Z1027" s="4">
        <v>117</v>
      </c>
      <c r="AA1027" s="4">
        <f>=ROUNDDOWN(58.5,0)</f>
      </c>
      <c r="AB1027" s="5">
        <v>2</v>
      </c>
      <c r="AC1027" s="2" t="s">
        <v>233</v>
      </c>
      <c r="AD1027" s="4"/>
      <c r="AE1027" s="4"/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233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 t="s">
        <v>233</v>
      </c>
      <c r="BD1027" s="8" t="s">
        <v>233</v>
      </c>
      <c r="BE1027" s="4" t="s">
        <v>233</v>
      </c>
      <c r="BF1027" s="8" t="s">
        <v>233</v>
      </c>
      <c r="BG1027" s="7" t="s">
        <v>233</v>
      </c>
      <c r="BH1027" s="7" t="s">
        <v>233</v>
      </c>
      <c r="BI1027" s="7"/>
      <c r="BJ1027" s="4">
        <v>8</v>
      </c>
      <c r="BK1027" s="8">
        <v>539.79</v>
      </c>
      <c r="BL1027" s="2" t="s">
        <v>2869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5215</v>
      </c>
      <c r="BV1027" s="2" t="s">
        <v>233</v>
      </c>
      <c r="BW1027" s="2" t="s">
        <v>233</v>
      </c>
      <c r="BX1027" s="2" t="s">
        <v>241</v>
      </c>
      <c r="BY1027" s="2" t="s">
        <v>242</v>
      </c>
      <c r="BZ1027" s="2" t="s">
        <v>230</v>
      </c>
      <c r="CA1027" s="2" t="s">
        <v>243</v>
      </c>
      <c r="CB1027" s="2" t="s">
        <v>3538</v>
      </c>
      <c r="CC1027" s="2" t="s">
        <v>245</v>
      </c>
      <c r="CD1027" s="2" t="s">
        <v>233</v>
      </c>
      <c r="CE1027" s="4">
        <v>117</v>
      </c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>
        <v>117</v>
      </c>
      <c r="GD1027" s="4">
        <v>106</v>
      </c>
      <c r="GE1027" s="4">
        <v>104</v>
      </c>
      <c r="GF1027" s="4">
        <v>102</v>
      </c>
      <c r="GG1027" s="4">
        <v>98</v>
      </c>
      <c r="GH1027" s="4">
        <v>95</v>
      </c>
      <c r="GI1027" s="4">
        <v>92</v>
      </c>
      <c r="GJ1027" s="4">
        <v>90</v>
      </c>
      <c r="GK1027" s="4">
        <v>88</v>
      </c>
      <c r="GL1027" s="4">
        <v>81</v>
      </c>
      <c r="GM1027" s="4">
        <v>79</v>
      </c>
      <c r="GN1027" s="4">
        <v>77</v>
      </c>
      <c r="GO1027" s="4">
        <v>75</v>
      </c>
      <c r="GP1027" s="4">
        <v>73</v>
      </c>
      <c r="GQ1027" s="4">
        <v>71</v>
      </c>
      <c r="GR1027" s="4">
        <v>69</v>
      </c>
      <c r="GS1027" s="4">
        <v>67</v>
      </c>
      <c r="GT1027" s="4">
        <v>65</v>
      </c>
      <c r="GU1027" s="4">
        <v>63</v>
      </c>
      <c r="GV1027" s="4">
        <v>61</v>
      </c>
      <c r="GW1027" s="4">
        <v>59</v>
      </c>
      <c r="GX1027" s="4">
        <v>57</v>
      </c>
      <c r="GY1027" s="4">
        <v>55</v>
      </c>
      <c r="GZ1027" s="4">
        <v>53</v>
      </c>
      <c r="HA1027" s="4">
        <v>51</v>
      </c>
      <c r="HB1027" s="4">
        <v>49</v>
      </c>
      <c r="HC1027" s="19">
        <v>23.4</v>
      </c>
      <c r="HD1027" s="19">
        <v>35.3</v>
      </c>
      <c r="HE1027" s="19">
        <v>34.7</v>
      </c>
      <c r="HF1027" s="19">
        <v>34</v>
      </c>
      <c r="HG1027" s="19">
        <v>49</v>
      </c>
      <c r="HH1027" s="19">
        <v>23.8</v>
      </c>
      <c r="HI1027" s="19">
        <v>30.7</v>
      </c>
      <c r="HJ1027" s="19">
        <v>30</v>
      </c>
      <c r="HK1027" s="19">
        <v>29.3</v>
      </c>
      <c r="HL1027" s="19">
        <v>40.5</v>
      </c>
      <c r="HM1027" s="19">
        <v>39.5</v>
      </c>
      <c r="HN1027" s="19">
        <v>38.5</v>
      </c>
      <c r="HO1027" s="19">
        <v>37.5</v>
      </c>
      <c r="HP1027" s="19">
        <v>36.5</v>
      </c>
      <c r="HQ1027" s="19">
        <v>35.5</v>
      </c>
      <c r="HR1027" s="19">
        <v>34.5</v>
      </c>
      <c r="HS1027" s="19">
        <v>33.5</v>
      </c>
      <c r="HT1027" s="19">
        <v>32.5</v>
      </c>
      <c r="HU1027" s="19">
        <v>31.5</v>
      </c>
      <c r="HV1027" s="19">
        <v>30.5</v>
      </c>
      <c r="HW1027" s="19">
        <v>29.5</v>
      </c>
      <c r="HX1027" s="19">
        <v>28.5</v>
      </c>
      <c r="HY1027" s="19">
        <v>27.5</v>
      </c>
      <c r="HZ1027" s="19">
        <v>26.5</v>
      </c>
      <c r="IA1027" s="19">
        <v>25.5</v>
      </c>
      <c r="IB1027" s="19">
        <v>24.5</v>
      </c>
    </row>
    <row r="1028">
      <c r="A1028" s="2" t="s">
        <v>5219</v>
      </c>
      <c r="B1028" s="2" t="s">
        <v>773</v>
      </c>
      <c r="C1028" s="2" t="s">
        <v>280</v>
      </c>
      <c r="D1028" s="2" t="s">
        <v>1442</v>
      </c>
      <c r="E1028" s="2" t="s">
        <v>1443</v>
      </c>
      <c r="F1028" s="2" t="s">
        <v>5220</v>
      </c>
      <c r="G1028" s="2" t="s">
        <v>5221</v>
      </c>
      <c r="H1028" s="2" t="s">
        <v>5221</v>
      </c>
      <c r="I1028" s="2" t="s">
        <v>5222</v>
      </c>
      <c r="J1028" s="2" t="s">
        <v>989</v>
      </c>
      <c r="K1028" s="2" t="s">
        <v>484</v>
      </c>
      <c r="L1028" s="3">
        <v>14.85</v>
      </c>
      <c r="M1028" s="3">
        <v>15.59</v>
      </c>
      <c r="N1028" s="3">
        <v>32.99</v>
      </c>
      <c r="O1028" s="2" t="s">
        <v>230</v>
      </c>
      <c r="P1028" s="2" t="s">
        <v>231</v>
      </c>
      <c r="Q1028" s="2" t="s">
        <v>232</v>
      </c>
      <c r="R1028" s="2" t="s">
        <v>233</v>
      </c>
      <c r="S1028" s="2" t="s">
        <v>5223</v>
      </c>
      <c r="T1028" s="2" t="s">
        <v>780</v>
      </c>
      <c r="U1028" s="2" t="s">
        <v>329</v>
      </c>
      <c r="V1028" s="2" t="s">
        <v>744</v>
      </c>
      <c r="W1028" s="2" t="s">
        <v>620</v>
      </c>
      <c r="X1028" s="2" t="s">
        <v>288</v>
      </c>
      <c r="Y1028" s="2" t="s">
        <v>5224</v>
      </c>
      <c r="Z1028" s="4">
        <v>1431</v>
      </c>
      <c r="AA1028" s="4">
        <f>=ROUNDDOWN(102.214285714286,0)</f>
      </c>
      <c r="AB1028" s="5">
        <v>14</v>
      </c>
      <c r="AC1028" s="2" t="s">
        <v>290</v>
      </c>
      <c r="AD1028" s="4">
        <v>500</v>
      </c>
      <c r="AE1028" s="4">
        <v>500</v>
      </c>
      <c r="AF1028" s="6">
        <v>64</v>
      </c>
      <c r="AG1028" s="6"/>
      <c r="AH1028" s="7">
        <v>1</v>
      </c>
      <c r="AI1028" s="4"/>
      <c r="AJ1028" s="4">
        <f>=ROUNDDOWN({0},0)</f>
      </c>
      <c r="AK1028" s="5"/>
      <c r="AL1028" s="2" t="s">
        <v>233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/>
      <c r="AW1028" s="8"/>
      <c r="AX1028" s="4"/>
      <c r="AY1028" s="8"/>
      <c r="AZ1028" s="7"/>
      <c r="BA1028" s="7"/>
      <c r="BB1028" s="7"/>
      <c r="BC1028" s="4" t="s">
        <v>233</v>
      </c>
      <c r="BD1028" s="8" t="s">
        <v>233</v>
      </c>
      <c r="BE1028" s="4" t="s">
        <v>233</v>
      </c>
      <c r="BF1028" s="8" t="s">
        <v>233</v>
      </c>
      <c r="BG1028" s="7" t="s">
        <v>233</v>
      </c>
      <c r="BH1028" s="7" t="s">
        <v>233</v>
      </c>
      <c r="BI1028" s="7"/>
      <c r="BJ1028" s="4">
        <v>136</v>
      </c>
      <c r="BK1028" s="8">
        <v>2030.62</v>
      </c>
      <c r="BL1028" s="2" t="s">
        <v>5225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5226</v>
      </c>
      <c r="BV1028" s="2" t="s">
        <v>233</v>
      </c>
      <c r="BW1028" s="2" t="s">
        <v>233</v>
      </c>
      <c r="BX1028" s="2" t="s">
        <v>241</v>
      </c>
      <c r="BY1028" s="2" t="s">
        <v>242</v>
      </c>
      <c r="BZ1028" s="2" t="s">
        <v>230</v>
      </c>
      <c r="CA1028" s="2" t="s">
        <v>5224</v>
      </c>
      <c r="CB1028" s="2" t="s">
        <v>1086</v>
      </c>
      <c r="CC1028" s="2" t="s">
        <v>245</v>
      </c>
      <c r="CD1028" s="2" t="s">
        <v>233</v>
      </c>
      <c r="CE1028" s="4">
        <v>1431</v>
      </c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>
        <v>500</v>
      </c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>
        <v>1437</v>
      </c>
      <c r="GD1028" s="4">
        <v>1371</v>
      </c>
      <c r="GE1028" s="4">
        <v>1175</v>
      </c>
      <c r="GF1028" s="4">
        <v>952</v>
      </c>
      <c r="GG1028" s="4">
        <v>423</v>
      </c>
      <c r="GH1028" s="4">
        <v>773</v>
      </c>
      <c r="GI1028" s="4">
        <v>562</v>
      </c>
      <c r="GJ1028" s="4">
        <v>412</v>
      </c>
      <c r="GK1028" s="4">
        <v>388</v>
      </c>
      <c r="GL1028" s="4">
        <v>357</v>
      </c>
      <c r="GM1028" s="4">
        <v>329</v>
      </c>
      <c r="GN1028" s="4">
        <v>301</v>
      </c>
      <c r="GO1028" s="4">
        <v>273</v>
      </c>
      <c r="GP1028" s="4">
        <v>245</v>
      </c>
      <c r="GQ1028" s="4">
        <v>217</v>
      </c>
      <c r="GR1028" s="4">
        <v>203</v>
      </c>
      <c r="GS1028" s="4">
        <v>189</v>
      </c>
      <c r="GT1028" s="4">
        <v>174</v>
      </c>
      <c r="GU1028" s="4">
        <v>160</v>
      </c>
      <c r="GV1028" s="4">
        <v>146</v>
      </c>
      <c r="GW1028" s="4">
        <v>132</v>
      </c>
      <c r="GX1028" s="4">
        <v>118</v>
      </c>
      <c r="GY1028" s="4">
        <v>104</v>
      </c>
      <c r="GZ1028" s="4">
        <v>90</v>
      </c>
      <c r="HA1028" s="4">
        <v>76</v>
      </c>
      <c r="HB1028" s="4">
        <v>154</v>
      </c>
      <c r="HC1028" s="19">
        <v>5.7</v>
      </c>
      <c r="HD1028" s="19">
        <v>5</v>
      </c>
      <c r="HE1028" s="19">
        <v>4.2</v>
      </c>
      <c r="HF1028" s="19">
        <v>3.7</v>
      </c>
      <c r="HG1028" s="19">
        <v>3.2</v>
      </c>
      <c r="HH1028" s="19">
        <v>7.4</v>
      </c>
      <c r="HI1028" s="19">
        <v>9.7</v>
      </c>
      <c r="HJ1028" s="19">
        <v>14.7</v>
      </c>
      <c r="HK1028" s="19">
        <v>13.4</v>
      </c>
      <c r="HL1028" s="19">
        <v>12.8</v>
      </c>
      <c r="HM1028" s="19">
        <v>11.8</v>
      </c>
      <c r="HN1028" s="19">
        <v>12.5</v>
      </c>
      <c r="HO1028" s="19">
        <v>13</v>
      </c>
      <c r="HP1028" s="19">
        <v>13.6</v>
      </c>
      <c r="HQ1028" s="19">
        <v>15.5</v>
      </c>
      <c r="HR1028" s="19">
        <v>14.5</v>
      </c>
      <c r="HS1028" s="19">
        <v>13.5</v>
      </c>
      <c r="HT1028" s="19">
        <v>12.4</v>
      </c>
      <c r="HU1028" s="19">
        <v>11.4</v>
      </c>
      <c r="HV1028" s="19">
        <v>10.4</v>
      </c>
      <c r="HW1028" s="19">
        <v>9.4</v>
      </c>
      <c r="HX1028" s="19">
        <v>8.4</v>
      </c>
      <c r="HY1028" s="19">
        <v>7.4</v>
      </c>
      <c r="HZ1028" s="19">
        <v>6.4</v>
      </c>
      <c r="IA1028" s="19">
        <v>5.4</v>
      </c>
      <c r="IB1028" s="19">
        <v>11</v>
      </c>
    </row>
    <row r="1029">
      <c r="A1029" s="2" t="s">
        <v>5227</v>
      </c>
      <c r="B1029" s="2" t="s">
        <v>773</v>
      </c>
      <c r="C1029" s="2" t="s">
        <v>280</v>
      </c>
      <c r="D1029" s="2" t="s">
        <v>1442</v>
      </c>
      <c r="E1029" s="2" t="s">
        <v>1443</v>
      </c>
      <c r="F1029" s="2" t="s">
        <v>5220</v>
      </c>
      <c r="G1029" s="2" t="s">
        <v>5221</v>
      </c>
      <c r="H1029" s="2" t="s">
        <v>5221</v>
      </c>
      <c r="I1029" s="2" t="s">
        <v>5222</v>
      </c>
      <c r="J1029" s="2" t="s">
        <v>989</v>
      </c>
      <c r="K1029" s="2" t="s">
        <v>955</v>
      </c>
      <c r="L1029" s="3">
        <v>14.85</v>
      </c>
      <c r="M1029" s="3">
        <v>15.59</v>
      </c>
      <c r="N1029" s="3">
        <v>32.99</v>
      </c>
      <c r="O1029" s="2" t="s">
        <v>230</v>
      </c>
      <c r="P1029" s="2" t="s">
        <v>231</v>
      </c>
      <c r="Q1029" s="2" t="s">
        <v>232</v>
      </c>
      <c r="R1029" s="2" t="s">
        <v>233</v>
      </c>
      <c r="S1029" s="2" t="s">
        <v>5228</v>
      </c>
      <c r="T1029" s="2" t="s">
        <v>780</v>
      </c>
      <c r="U1029" s="2" t="s">
        <v>233</v>
      </c>
      <c r="V1029" s="2" t="s">
        <v>744</v>
      </c>
      <c r="W1029" s="2" t="s">
        <v>620</v>
      </c>
      <c r="X1029" s="2" t="s">
        <v>288</v>
      </c>
      <c r="Y1029" s="2" t="s">
        <v>2739</v>
      </c>
      <c r="Z1029" s="4">
        <v>3375</v>
      </c>
      <c r="AA1029" s="4">
        <f>=ROUNDDOWN(135,0)</f>
      </c>
      <c r="AB1029" s="5">
        <v>25</v>
      </c>
      <c r="AC1029" s="2" t="s">
        <v>233</v>
      </c>
      <c r="AD1029" s="4"/>
      <c r="AE1029" s="4"/>
      <c r="AF1029" s="6">
        <v>64</v>
      </c>
      <c r="AG1029" s="6">
        <v>47</v>
      </c>
      <c r="AH1029" s="7">
        <v>1</v>
      </c>
      <c r="AI1029" s="4"/>
      <c r="AJ1029" s="4">
        <f>=ROUNDDOWN({0},0)</f>
      </c>
      <c r="AK1029" s="5"/>
      <c r="AL1029" s="2" t="s">
        <v>233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/>
      <c r="AW1029" s="8"/>
      <c r="AX1029" s="4"/>
      <c r="AY1029" s="8"/>
      <c r="AZ1029" s="7"/>
      <c r="BA1029" s="7"/>
      <c r="BB1029" s="7"/>
      <c r="BC1029" s="4" t="s">
        <v>233</v>
      </c>
      <c r="BD1029" s="8" t="s">
        <v>233</v>
      </c>
      <c r="BE1029" s="4" t="s">
        <v>233</v>
      </c>
      <c r="BF1029" s="8" t="s">
        <v>233</v>
      </c>
      <c r="BG1029" s="7" t="s">
        <v>233</v>
      </c>
      <c r="BH1029" s="7" t="s">
        <v>233</v>
      </c>
      <c r="BI1029" s="7"/>
      <c r="BJ1029" s="4">
        <v>273</v>
      </c>
      <c r="BK1029" s="8">
        <v>4222.66</v>
      </c>
      <c r="BL1029" s="2" t="s">
        <v>5229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5226</v>
      </c>
      <c r="BV1029" s="2" t="s">
        <v>233</v>
      </c>
      <c r="BW1029" s="2" t="s">
        <v>233</v>
      </c>
      <c r="BX1029" s="2" t="s">
        <v>241</v>
      </c>
      <c r="BY1029" s="2" t="s">
        <v>242</v>
      </c>
      <c r="BZ1029" s="2" t="s">
        <v>230</v>
      </c>
      <c r="CA1029" s="2" t="s">
        <v>3515</v>
      </c>
      <c r="CB1029" s="2" t="s">
        <v>3209</v>
      </c>
      <c r="CC1029" s="2" t="s">
        <v>245</v>
      </c>
      <c r="CD1029" s="2" t="s">
        <v>233</v>
      </c>
      <c r="CE1029" s="4"/>
      <c r="CF1029" s="4">
        <v>1848</v>
      </c>
      <c r="CG1029" s="4"/>
      <c r="CH1029" s="4">
        <v>1527</v>
      </c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>
        <v>3406</v>
      </c>
      <c r="GD1029" s="4">
        <v>3273</v>
      </c>
      <c r="GE1029" s="4">
        <v>2923</v>
      </c>
      <c r="GF1029" s="4">
        <v>2526</v>
      </c>
      <c r="GG1029" s="4">
        <v>1581</v>
      </c>
      <c r="GH1029" s="4">
        <v>1313</v>
      </c>
      <c r="GI1029" s="4">
        <v>935</v>
      </c>
      <c r="GJ1029" s="4">
        <v>707</v>
      </c>
      <c r="GK1029" s="4">
        <v>676</v>
      </c>
      <c r="GL1029" s="4">
        <v>637</v>
      </c>
      <c r="GM1029" s="4">
        <v>601</v>
      </c>
      <c r="GN1029" s="4">
        <v>565</v>
      </c>
      <c r="GO1029" s="4">
        <v>529</v>
      </c>
      <c r="GP1029" s="4">
        <v>493</v>
      </c>
      <c r="GQ1029" s="4">
        <v>457</v>
      </c>
      <c r="GR1029" s="4">
        <v>439</v>
      </c>
      <c r="GS1029" s="4">
        <v>421</v>
      </c>
      <c r="GT1029" s="4">
        <v>401</v>
      </c>
      <c r="GU1029" s="4">
        <v>383</v>
      </c>
      <c r="GV1029" s="4">
        <v>365</v>
      </c>
      <c r="GW1029" s="4">
        <v>347</v>
      </c>
      <c r="GX1029" s="4">
        <v>329</v>
      </c>
      <c r="GY1029" s="4">
        <v>311</v>
      </c>
      <c r="GZ1029" s="4">
        <v>293</v>
      </c>
      <c r="HA1029" s="4">
        <v>275</v>
      </c>
      <c r="HB1029" s="4">
        <v>257</v>
      </c>
      <c r="HC1029" s="19">
        <v>8.9</v>
      </c>
      <c r="HD1029" s="19">
        <v>8</v>
      </c>
      <c r="HE1029" s="19">
        <v>7.2</v>
      </c>
      <c r="HF1029" s="19">
        <v>6.4</v>
      </c>
      <c r="HG1029" s="19">
        <v>7.8</v>
      </c>
      <c r="HH1029" s="19">
        <v>7.8</v>
      </c>
      <c r="HI1029" s="19">
        <v>8.1</v>
      </c>
      <c r="HJ1029" s="19">
        <v>9.8</v>
      </c>
      <c r="HK1029" s="19">
        <v>9.2</v>
      </c>
      <c r="HL1029" s="19">
        <v>8.9</v>
      </c>
      <c r="HM1029" s="19">
        <v>8.4</v>
      </c>
      <c r="HN1029" s="19">
        <v>8.9</v>
      </c>
      <c r="HO1029" s="19">
        <v>9.8</v>
      </c>
      <c r="HP1029" s="19">
        <v>10.7</v>
      </c>
      <c r="HQ1029" s="19">
        <v>12.7</v>
      </c>
      <c r="HR1029" s="19">
        <v>12.2</v>
      </c>
      <c r="HS1029" s="19">
        <v>11.7</v>
      </c>
      <c r="HT1029" s="19">
        <v>11.2</v>
      </c>
      <c r="HU1029" s="19">
        <v>10.7</v>
      </c>
      <c r="HV1029" s="19">
        <v>10.2</v>
      </c>
      <c r="HW1029" s="19">
        <v>9.7</v>
      </c>
      <c r="HX1029" s="19">
        <v>9.2</v>
      </c>
      <c r="HY1029" s="19">
        <v>8.7</v>
      </c>
      <c r="HZ1029" s="19">
        <v>8.2</v>
      </c>
      <c r="IA1029" s="19">
        <v>7.7</v>
      </c>
      <c r="IB1029" s="19">
        <v>7.2</v>
      </c>
    </row>
    <row r="1030">
      <c r="A1030" s="2" t="s">
        <v>5230</v>
      </c>
      <c r="B1030" s="2" t="s">
        <v>938</v>
      </c>
      <c r="C1030" s="2" t="s">
        <v>280</v>
      </c>
      <c r="D1030" s="2" t="s">
        <v>972</v>
      </c>
      <c r="E1030" s="2" t="s">
        <v>973</v>
      </c>
      <c r="F1030" s="2" t="s">
        <v>5231</v>
      </c>
      <c r="G1030" s="2" t="s">
        <v>5232</v>
      </c>
      <c r="H1030" s="2" t="s">
        <v>5233</v>
      </c>
      <c r="I1030" s="2" t="s">
        <v>5234</v>
      </c>
      <c r="J1030" s="2" t="s">
        <v>2859</v>
      </c>
      <c r="K1030" s="2" t="s">
        <v>5235</v>
      </c>
      <c r="L1030" s="3">
        <v>13.5</v>
      </c>
      <c r="M1030" s="3">
        <v>14.18</v>
      </c>
      <c r="N1030" s="3">
        <v>29.99</v>
      </c>
      <c r="O1030" s="2" t="s">
        <v>230</v>
      </c>
      <c r="P1030" s="2" t="s">
        <v>231</v>
      </c>
      <c r="Q1030" s="2" t="s">
        <v>232</v>
      </c>
      <c r="R1030" s="2" t="s">
        <v>233</v>
      </c>
      <c r="S1030" s="2" t="s">
        <v>5236</v>
      </c>
      <c r="T1030" s="2" t="s">
        <v>233</v>
      </c>
      <c r="U1030" s="2" t="s">
        <v>329</v>
      </c>
      <c r="V1030" s="2" t="s">
        <v>1431</v>
      </c>
      <c r="W1030" s="2" t="s">
        <v>620</v>
      </c>
      <c r="X1030" s="2" t="s">
        <v>980</v>
      </c>
      <c r="Y1030" s="2" t="s">
        <v>238</v>
      </c>
      <c r="Z1030" s="4">
        <v>92</v>
      </c>
      <c r="AA1030" s="4">
        <f>=ROUNDDOWN(8.36363636363636,0)</f>
      </c>
      <c r="AB1030" s="5">
        <v>11</v>
      </c>
      <c r="AC1030" s="2" t="s">
        <v>134</v>
      </c>
      <c r="AD1030" s="4">
        <v>200</v>
      </c>
      <c r="AE1030" s="4">
        <v>380</v>
      </c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233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233</v>
      </c>
      <c r="AW1030" s="8" t="s">
        <v>233</v>
      </c>
      <c r="AX1030" s="4" t="s">
        <v>233</v>
      </c>
      <c r="AY1030" s="8" t="s">
        <v>233</v>
      </c>
      <c r="AZ1030" s="7" t="s">
        <v>233</v>
      </c>
      <c r="BA1030" s="7" t="s">
        <v>233</v>
      </c>
      <c r="BB1030" s="7"/>
      <c r="BC1030" s="4" t="s">
        <v>233</v>
      </c>
      <c r="BD1030" s="8" t="s">
        <v>233</v>
      </c>
      <c r="BE1030" s="4" t="s">
        <v>233</v>
      </c>
      <c r="BF1030" s="8" t="s">
        <v>233</v>
      </c>
      <c r="BG1030" s="7" t="s">
        <v>233</v>
      </c>
      <c r="BH1030" s="7" t="s">
        <v>233</v>
      </c>
      <c r="BI1030" s="7"/>
      <c r="BJ1030" s="4">
        <v>13</v>
      </c>
      <c r="BK1030" s="8">
        <v>177.11</v>
      </c>
      <c r="BL1030" s="2" t="s">
        <v>546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5237</v>
      </c>
      <c r="BV1030" s="2" t="s">
        <v>233</v>
      </c>
      <c r="BW1030" s="2" t="s">
        <v>233</v>
      </c>
      <c r="BX1030" s="2" t="s">
        <v>241</v>
      </c>
      <c r="BY1030" s="2" t="s">
        <v>242</v>
      </c>
      <c r="BZ1030" s="2" t="s">
        <v>230</v>
      </c>
      <c r="CA1030" s="2" t="s">
        <v>992</v>
      </c>
      <c r="CB1030" s="2" t="s">
        <v>906</v>
      </c>
      <c r="CC1030" s="2" t="s">
        <v>245</v>
      </c>
      <c r="CD1030" s="2" t="s">
        <v>233</v>
      </c>
      <c r="CE1030" s="4">
        <v>92</v>
      </c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>
        <v>200</v>
      </c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>
        <v>92</v>
      </c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>
        <v>88</v>
      </c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>
        <v>94</v>
      </c>
      <c r="GD1030" s="4">
        <v>280</v>
      </c>
      <c r="GE1030" s="4">
        <v>266</v>
      </c>
      <c r="GF1030" s="4">
        <v>253</v>
      </c>
      <c r="GG1030" s="4">
        <v>235</v>
      </c>
      <c r="GH1030" s="4">
        <v>224</v>
      </c>
      <c r="GI1030" s="4">
        <v>211</v>
      </c>
      <c r="GJ1030" s="4">
        <v>292</v>
      </c>
      <c r="GK1030" s="4">
        <v>281</v>
      </c>
      <c r="GL1030" s="4">
        <v>270</v>
      </c>
      <c r="GM1030" s="4">
        <v>259</v>
      </c>
      <c r="GN1030" s="4">
        <v>248</v>
      </c>
      <c r="GO1030" s="4">
        <v>237</v>
      </c>
      <c r="GP1030" s="4">
        <v>226</v>
      </c>
      <c r="GQ1030" s="4">
        <v>303</v>
      </c>
      <c r="GR1030" s="4">
        <v>292</v>
      </c>
      <c r="GS1030" s="4">
        <v>281</v>
      </c>
      <c r="GT1030" s="4">
        <v>268</v>
      </c>
      <c r="GU1030" s="4">
        <v>257</v>
      </c>
      <c r="GV1030" s="4">
        <v>246</v>
      </c>
      <c r="GW1030" s="4">
        <v>235</v>
      </c>
      <c r="GX1030" s="4">
        <v>364</v>
      </c>
      <c r="GY1030" s="4">
        <v>353</v>
      </c>
      <c r="GZ1030" s="4">
        <v>342</v>
      </c>
      <c r="HA1030" s="4">
        <v>331</v>
      </c>
      <c r="HB1030" s="4">
        <v>320</v>
      </c>
      <c r="HC1030" s="19">
        <v>6.3</v>
      </c>
      <c r="HD1030" s="19">
        <v>20</v>
      </c>
      <c r="HE1030" s="19">
        <v>19</v>
      </c>
      <c r="HF1030" s="19">
        <v>19.5</v>
      </c>
      <c r="HG1030" s="19">
        <v>19.6</v>
      </c>
      <c r="HH1030" s="19">
        <v>18.7</v>
      </c>
      <c r="HI1030" s="19">
        <v>19.2</v>
      </c>
      <c r="HJ1030" s="19">
        <v>26.5</v>
      </c>
      <c r="HK1030" s="19">
        <v>25.5</v>
      </c>
      <c r="HL1030" s="19">
        <v>24.5</v>
      </c>
      <c r="HM1030" s="19">
        <v>23.5</v>
      </c>
      <c r="HN1030" s="19">
        <v>22.5</v>
      </c>
      <c r="HO1030" s="19">
        <v>21.5</v>
      </c>
      <c r="HP1030" s="19">
        <v>18.8</v>
      </c>
      <c r="HQ1030" s="19">
        <v>25.3</v>
      </c>
      <c r="HR1030" s="19">
        <v>24.3</v>
      </c>
      <c r="HS1030" s="19">
        <v>23.4</v>
      </c>
      <c r="HT1030" s="19">
        <v>24.4</v>
      </c>
      <c r="HU1030" s="19">
        <v>23.4</v>
      </c>
      <c r="HV1030" s="19">
        <v>22.4</v>
      </c>
      <c r="HW1030" s="19">
        <v>21.4</v>
      </c>
      <c r="HX1030" s="19">
        <v>33.1</v>
      </c>
      <c r="HY1030" s="19">
        <v>32.1</v>
      </c>
      <c r="HZ1030" s="19">
        <v>31.1</v>
      </c>
      <c r="IA1030" s="19">
        <v>30.1</v>
      </c>
      <c r="IB1030" s="19">
        <v>29.1</v>
      </c>
    </row>
    <row r="1031">
      <c r="A1031" s="2" t="s">
        <v>5238</v>
      </c>
      <c r="B1031" s="2" t="s">
        <v>938</v>
      </c>
      <c r="C1031" s="2" t="s">
        <v>280</v>
      </c>
      <c r="D1031" s="2" t="s">
        <v>972</v>
      </c>
      <c r="E1031" s="2" t="s">
        <v>973</v>
      </c>
      <c r="F1031" s="2" t="s">
        <v>5231</v>
      </c>
      <c r="G1031" s="2" t="s">
        <v>5232</v>
      </c>
      <c r="H1031" s="2" t="s">
        <v>5233</v>
      </c>
      <c r="I1031" s="2" t="s">
        <v>5234</v>
      </c>
      <c r="J1031" s="2" t="s">
        <v>1004</v>
      </c>
      <c r="K1031" s="2" t="s">
        <v>5235</v>
      </c>
      <c r="L1031" s="3">
        <v>18.4</v>
      </c>
      <c r="M1031" s="3">
        <v>19.32</v>
      </c>
      <c r="N1031" s="3">
        <v>39.99</v>
      </c>
      <c r="O1031" s="2" t="s">
        <v>230</v>
      </c>
      <c r="P1031" s="2" t="s">
        <v>231</v>
      </c>
      <c r="Q1031" s="2" t="s">
        <v>232</v>
      </c>
      <c r="R1031" s="2" t="s">
        <v>233</v>
      </c>
      <c r="S1031" s="2" t="s">
        <v>5236</v>
      </c>
      <c r="T1031" s="2" t="s">
        <v>233</v>
      </c>
      <c r="U1031" s="2" t="s">
        <v>329</v>
      </c>
      <c r="V1031" s="2" t="s">
        <v>1431</v>
      </c>
      <c r="W1031" s="2" t="s">
        <v>620</v>
      </c>
      <c r="X1031" s="2" t="s">
        <v>980</v>
      </c>
      <c r="Y1031" s="2" t="s">
        <v>4764</v>
      </c>
      <c r="Z1031" s="4">
        <v>173</v>
      </c>
      <c r="AA1031" s="4">
        <f>=ROUNDDOWN(21.625,0)</f>
      </c>
      <c r="AB1031" s="5">
        <v>8</v>
      </c>
      <c r="AC1031" s="2" t="s">
        <v>134</v>
      </c>
      <c r="AD1031" s="4">
        <v>208</v>
      </c>
      <c r="AE1031" s="4">
        <v>240</v>
      </c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233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233</v>
      </c>
      <c r="AW1031" s="8" t="s">
        <v>233</v>
      </c>
      <c r="AX1031" s="4" t="s">
        <v>233</v>
      </c>
      <c r="AY1031" s="8" t="s">
        <v>233</v>
      </c>
      <c r="AZ1031" s="7" t="s">
        <v>233</v>
      </c>
      <c r="BA1031" s="7" t="s">
        <v>233</v>
      </c>
      <c r="BB1031" s="7"/>
      <c r="BC1031" s="4" t="s">
        <v>233</v>
      </c>
      <c r="BD1031" s="8" t="s">
        <v>233</v>
      </c>
      <c r="BE1031" s="4" t="s">
        <v>233</v>
      </c>
      <c r="BF1031" s="8" t="s">
        <v>233</v>
      </c>
      <c r="BG1031" s="7" t="s">
        <v>233</v>
      </c>
      <c r="BH1031" s="7" t="s">
        <v>233</v>
      </c>
      <c r="BI1031" s="7"/>
      <c r="BJ1031" s="4">
        <v>21</v>
      </c>
      <c r="BK1031" s="8">
        <v>392.47</v>
      </c>
      <c r="BL1031" s="2" t="s">
        <v>5239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5237</v>
      </c>
      <c r="BV1031" s="2" t="s">
        <v>233</v>
      </c>
      <c r="BW1031" s="2" t="s">
        <v>233</v>
      </c>
      <c r="BX1031" s="2" t="s">
        <v>241</v>
      </c>
      <c r="BY1031" s="2" t="s">
        <v>242</v>
      </c>
      <c r="BZ1031" s="2" t="s">
        <v>230</v>
      </c>
      <c r="CA1031" s="2" t="s">
        <v>992</v>
      </c>
      <c r="CB1031" s="2" t="s">
        <v>1355</v>
      </c>
      <c r="CC1031" s="2" t="s">
        <v>245</v>
      </c>
      <c r="CD1031" s="2" t="s">
        <v>233</v>
      </c>
      <c r="CE1031" s="4">
        <v>173</v>
      </c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>
        <v>208</v>
      </c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>
        <v>32</v>
      </c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>
        <v>179</v>
      </c>
      <c r="GD1031" s="4">
        <v>372</v>
      </c>
      <c r="GE1031" s="4">
        <v>361</v>
      </c>
      <c r="GF1031" s="4">
        <v>351</v>
      </c>
      <c r="GG1031" s="4">
        <v>338</v>
      </c>
      <c r="GH1031" s="4">
        <v>329</v>
      </c>
      <c r="GI1031" s="4">
        <v>317</v>
      </c>
      <c r="GJ1031" s="4">
        <v>310</v>
      </c>
      <c r="GK1031" s="4">
        <v>302</v>
      </c>
      <c r="GL1031" s="4">
        <v>295</v>
      </c>
      <c r="GM1031" s="4">
        <v>288</v>
      </c>
      <c r="GN1031" s="4">
        <v>281</v>
      </c>
      <c r="GO1031" s="4">
        <v>274</v>
      </c>
      <c r="GP1031" s="4">
        <v>267</v>
      </c>
      <c r="GQ1031" s="4">
        <v>292</v>
      </c>
      <c r="GR1031" s="4">
        <v>285</v>
      </c>
      <c r="GS1031" s="4">
        <v>278</v>
      </c>
      <c r="GT1031" s="4">
        <v>270</v>
      </c>
      <c r="GU1031" s="4">
        <v>263</v>
      </c>
      <c r="GV1031" s="4">
        <v>256</v>
      </c>
      <c r="GW1031" s="4">
        <v>249</v>
      </c>
      <c r="GX1031" s="4">
        <v>350</v>
      </c>
      <c r="GY1031" s="4">
        <v>343</v>
      </c>
      <c r="GZ1031" s="4">
        <v>336</v>
      </c>
      <c r="HA1031" s="4">
        <v>329</v>
      </c>
      <c r="HB1031" s="4">
        <v>322</v>
      </c>
      <c r="HC1031" s="19">
        <v>14.9</v>
      </c>
      <c r="HD1031" s="19">
        <v>33.8</v>
      </c>
      <c r="HE1031" s="19">
        <v>32.8</v>
      </c>
      <c r="HF1031" s="19">
        <v>35.1</v>
      </c>
      <c r="HG1031" s="19">
        <v>37.6</v>
      </c>
      <c r="HH1031" s="19">
        <v>41.1</v>
      </c>
      <c r="HI1031" s="19">
        <v>45.3</v>
      </c>
      <c r="HJ1031" s="19">
        <v>44.3</v>
      </c>
      <c r="HK1031" s="19">
        <v>43.1</v>
      </c>
      <c r="HL1031" s="19">
        <v>42.1</v>
      </c>
      <c r="HM1031" s="19">
        <v>41.1</v>
      </c>
      <c r="HN1031" s="19">
        <v>40.1</v>
      </c>
      <c r="HO1031" s="19">
        <v>39.1</v>
      </c>
      <c r="HP1031" s="19">
        <v>38.1</v>
      </c>
      <c r="HQ1031" s="19">
        <v>41.7</v>
      </c>
      <c r="HR1031" s="19">
        <v>40.7</v>
      </c>
      <c r="HS1031" s="19">
        <v>39.7</v>
      </c>
      <c r="HT1031" s="19">
        <v>38.6</v>
      </c>
      <c r="HU1031" s="19">
        <v>37.6</v>
      </c>
      <c r="HV1031" s="19">
        <v>36.6</v>
      </c>
      <c r="HW1031" s="19">
        <v>35.6</v>
      </c>
      <c r="HX1031" s="19">
        <v>50</v>
      </c>
      <c r="HY1031" s="19">
        <v>49</v>
      </c>
      <c r="HZ1031" s="19">
        <v>48</v>
      </c>
      <c r="IA1031" s="19">
        <v>47</v>
      </c>
      <c r="IB1031" s="19">
        <v>40.3</v>
      </c>
    </row>
    <row r="1032">
      <c r="A1032" s="2" t="s">
        <v>5240</v>
      </c>
      <c r="B1032" s="2" t="s">
        <v>938</v>
      </c>
      <c r="C1032" s="2" t="s">
        <v>280</v>
      </c>
      <c r="D1032" s="2" t="s">
        <v>972</v>
      </c>
      <c r="E1032" s="2" t="s">
        <v>973</v>
      </c>
      <c r="F1032" s="2" t="s">
        <v>5231</v>
      </c>
      <c r="G1032" s="2" t="s">
        <v>5232</v>
      </c>
      <c r="H1032" s="2" t="s">
        <v>5233</v>
      </c>
      <c r="I1032" s="2" t="s">
        <v>5234</v>
      </c>
      <c r="J1032" s="2" t="s">
        <v>1104</v>
      </c>
      <c r="K1032" s="2" t="s">
        <v>5235</v>
      </c>
      <c r="L1032" s="3">
        <v>20.7</v>
      </c>
      <c r="M1032" s="3">
        <v>21.74</v>
      </c>
      <c r="N1032" s="3">
        <v>44.99</v>
      </c>
      <c r="O1032" s="2" t="s">
        <v>230</v>
      </c>
      <c r="P1032" s="2" t="s">
        <v>231</v>
      </c>
      <c r="Q1032" s="2" t="s">
        <v>232</v>
      </c>
      <c r="R1032" s="2" t="s">
        <v>233</v>
      </c>
      <c r="S1032" s="2" t="s">
        <v>5236</v>
      </c>
      <c r="T1032" s="2" t="s">
        <v>233</v>
      </c>
      <c r="U1032" s="2" t="s">
        <v>329</v>
      </c>
      <c r="V1032" s="2" t="s">
        <v>1431</v>
      </c>
      <c r="W1032" s="2" t="s">
        <v>620</v>
      </c>
      <c r="X1032" s="2" t="s">
        <v>980</v>
      </c>
      <c r="Y1032" s="2" t="s">
        <v>238</v>
      </c>
      <c r="Z1032" s="4">
        <v>115</v>
      </c>
      <c r="AA1032" s="4">
        <f>=ROUNDDOWN(14.375,0)</f>
      </c>
      <c r="AB1032" s="5">
        <v>8</v>
      </c>
      <c r="AC1032" s="2" t="s">
        <v>168</v>
      </c>
      <c r="AD1032" s="4">
        <v>80</v>
      </c>
      <c r="AE1032" s="4">
        <v>140</v>
      </c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233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233</v>
      </c>
      <c r="AW1032" s="8" t="s">
        <v>233</v>
      </c>
      <c r="AX1032" s="4" t="s">
        <v>233</v>
      </c>
      <c r="AY1032" s="8" t="s">
        <v>233</v>
      </c>
      <c r="AZ1032" s="7" t="s">
        <v>233</v>
      </c>
      <c r="BA1032" s="7" t="s">
        <v>233</v>
      </c>
      <c r="BB1032" s="7"/>
      <c r="BC1032" s="4" t="s">
        <v>233</v>
      </c>
      <c r="BD1032" s="8" t="s">
        <v>233</v>
      </c>
      <c r="BE1032" s="4" t="s">
        <v>233</v>
      </c>
      <c r="BF1032" s="8" t="s">
        <v>233</v>
      </c>
      <c r="BG1032" s="7" t="s">
        <v>233</v>
      </c>
      <c r="BH1032" s="7" t="s">
        <v>233</v>
      </c>
      <c r="BI1032" s="7"/>
      <c r="BJ1032" s="4">
        <v>34</v>
      </c>
      <c r="BK1032" s="8">
        <v>749.87</v>
      </c>
      <c r="BL1032" s="2" t="s">
        <v>5241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5237</v>
      </c>
      <c r="BV1032" s="2" t="s">
        <v>233</v>
      </c>
      <c r="BW1032" s="2" t="s">
        <v>233</v>
      </c>
      <c r="BX1032" s="2" t="s">
        <v>241</v>
      </c>
      <c r="BY1032" s="2" t="s">
        <v>242</v>
      </c>
      <c r="BZ1032" s="2" t="s">
        <v>230</v>
      </c>
      <c r="CA1032" s="2" t="s">
        <v>992</v>
      </c>
      <c r="CB1032" s="2" t="s">
        <v>882</v>
      </c>
      <c r="CC1032" s="2" t="s">
        <v>245</v>
      </c>
      <c r="CD1032" s="2" t="s">
        <v>233</v>
      </c>
      <c r="CE1032" s="4">
        <v>115</v>
      </c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>
        <v>80</v>
      </c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>
        <v>60</v>
      </c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>
        <v>115</v>
      </c>
      <c r="GD1032" s="4">
        <v>105</v>
      </c>
      <c r="GE1032" s="4">
        <v>93</v>
      </c>
      <c r="GF1032" s="4">
        <v>79</v>
      </c>
      <c r="GG1032" s="4">
        <v>61</v>
      </c>
      <c r="GH1032" s="4">
        <v>49</v>
      </c>
      <c r="GI1032" s="4">
        <v>34</v>
      </c>
      <c r="GJ1032" s="4">
        <v>106</v>
      </c>
      <c r="GK1032" s="4">
        <v>98</v>
      </c>
      <c r="GL1032" s="4">
        <v>90</v>
      </c>
      <c r="GM1032" s="4">
        <v>82</v>
      </c>
      <c r="GN1032" s="4">
        <v>74</v>
      </c>
      <c r="GO1032" s="4">
        <v>66</v>
      </c>
      <c r="GP1032" s="4">
        <v>58</v>
      </c>
      <c r="GQ1032" s="4">
        <v>110</v>
      </c>
      <c r="GR1032" s="4">
        <v>102</v>
      </c>
      <c r="GS1032" s="4">
        <v>94</v>
      </c>
      <c r="GT1032" s="4">
        <v>84</v>
      </c>
      <c r="GU1032" s="4">
        <v>76</v>
      </c>
      <c r="GV1032" s="4">
        <v>68</v>
      </c>
      <c r="GW1032" s="4">
        <v>60</v>
      </c>
      <c r="GX1032" s="4">
        <v>132</v>
      </c>
      <c r="GY1032" s="4">
        <v>124</v>
      </c>
      <c r="GZ1032" s="4">
        <v>116</v>
      </c>
      <c r="HA1032" s="4">
        <v>108</v>
      </c>
      <c r="HB1032" s="4">
        <v>100</v>
      </c>
      <c r="HC1032" s="19">
        <v>8.2</v>
      </c>
      <c r="HD1032" s="19">
        <v>7.5</v>
      </c>
      <c r="HE1032" s="19">
        <v>6.2</v>
      </c>
      <c r="HF1032" s="19">
        <v>6.1</v>
      </c>
      <c r="HG1032" s="19">
        <v>5.5</v>
      </c>
      <c r="HH1032" s="19">
        <v>4.9</v>
      </c>
      <c r="HI1032" s="19">
        <v>4.3</v>
      </c>
      <c r="HJ1032" s="19">
        <v>13.3</v>
      </c>
      <c r="HK1032" s="19">
        <v>12.3</v>
      </c>
      <c r="HL1032" s="19">
        <v>11.3</v>
      </c>
      <c r="HM1032" s="19">
        <v>10.3</v>
      </c>
      <c r="HN1032" s="19">
        <v>9.3</v>
      </c>
      <c r="HO1032" s="19">
        <v>8.3</v>
      </c>
      <c r="HP1032" s="19">
        <v>7.3</v>
      </c>
      <c r="HQ1032" s="19">
        <v>13.8</v>
      </c>
      <c r="HR1032" s="19">
        <v>12.8</v>
      </c>
      <c r="HS1032" s="19">
        <v>11.8</v>
      </c>
      <c r="HT1032" s="19">
        <v>10.5</v>
      </c>
      <c r="HU1032" s="19">
        <v>9.5</v>
      </c>
      <c r="HV1032" s="19">
        <v>8.5</v>
      </c>
      <c r="HW1032" s="19">
        <v>7.5</v>
      </c>
      <c r="HX1032" s="19">
        <v>16.5</v>
      </c>
      <c r="HY1032" s="19">
        <v>15.5</v>
      </c>
      <c r="HZ1032" s="19">
        <v>14.5</v>
      </c>
      <c r="IA1032" s="19">
        <v>13.5</v>
      </c>
      <c r="IB1032" s="19">
        <v>12.5</v>
      </c>
    </row>
    <row r="1033">
      <c r="A1033" s="2" t="s">
        <v>5242</v>
      </c>
      <c r="B1033" s="2" t="s">
        <v>938</v>
      </c>
      <c r="C1033" s="2" t="s">
        <v>280</v>
      </c>
      <c r="D1033" s="2" t="s">
        <v>972</v>
      </c>
      <c r="E1033" s="2" t="s">
        <v>973</v>
      </c>
      <c r="F1033" s="2" t="s">
        <v>5231</v>
      </c>
      <c r="G1033" s="2" t="s">
        <v>5232</v>
      </c>
      <c r="H1033" s="2" t="s">
        <v>5233</v>
      </c>
      <c r="I1033" s="2" t="s">
        <v>5234</v>
      </c>
      <c r="J1033" s="2" t="s">
        <v>2859</v>
      </c>
      <c r="K1033" s="2" t="s">
        <v>5243</v>
      </c>
      <c r="L1033" s="3">
        <v>13.5</v>
      </c>
      <c r="M1033" s="3">
        <v>14.18</v>
      </c>
      <c r="N1033" s="3">
        <v>29.99</v>
      </c>
      <c r="O1033" s="2" t="s">
        <v>230</v>
      </c>
      <c r="P1033" s="2" t="s">
        <v>231</v>
      </c>
      <c r="Q1033" s="2" t="s">
        <v>232</v>
      </c>
      <c r="R1033" s="2" t="s">
        <v>233</v>
      </c>
      <c r="S1033" s="2" t="s">
        <v>5244</v>
      </c>
      <c r="T1033" s="2" t="s">
        <v>233</v>
      </c>
      <c r="U1033" s="2" t="s">
        <v>329</v>
      </c>
      <c r="V1033" s="2" t="s">
        <v>1431</v>
      </c>
      <c r="W1033" s="2" t="s">
        <v>620</v>
      </c>
      <c r="X1033" s="2" t="s">
        <v>980</v>
      </c>
      <c r="Y1033" s="2" t="s">
        <v>238</v>
      </c>
      <c r="Z1033" s="4">
        <v>528</v>
      </c>
      <c r="AA1033" s="4">
        <f>=ROUNDDOWN(66,0)</f>
      </c>
      <c r="AB1033" s="5">
        <v>8</v>
      </c>
      <c r="AC1033" s="2" t="s">
        <v>233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233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233</v>
      </c>
      <c r="AW1033" s="8" t="s">
        <v>233</v>
      </c>
      <c r="AX1033" s="4" t="s">
        <v>233</v>
      </c>
      <c r="AY1033" s="8" t="s">
        <v>233</v>
      </c>
      <c r="AZ1033" s="7" t="s">
        <v>233</v>
      </c>
      <c r="BA1033" s="7" t="s">
        <v>233</v>
      </c>
      <c r="BB1033" s="7"/>
      <c r="BC1033" s="4" t="s">
        <v>233</v>
      </c>
      <c r="BD1033" s="8" t="s">
        <v>233</v>
      </c>
      <c r="BE1033" s="4" t="s">
        <v>233</v>
      </c>
      <c r="BF1033" s="8" t="s">
        <v>233</v>
      </c>
      <c r="BG1033" s="7" t="s">
        <v>233</v>
      </c>
      <c r="BH1033" s="7" t="s">
        <v>233</v>
      </c>
      <c r="BI1033" s="7"/>
      <c r="BJ1033" s="4">
        <v>37</v>
      </c>
      <c r="BK1033" s="8">
        <v>526.26</v>
      </c>
      <c r="BL1033" s="2" t="s">
        <v>5245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5237</v>
      </c>
      <c r="BV1033" s="2" t="s">
        <v>233</v>
      </c>
      <c r="BW1033" s="2" t="s">
        <v>233</v>
      </c>
      <c r="BX1033" s="2" t="s">
        <v>241</v>
      </c>
      <c r="BY1033" s="2" t="s">
        <v>242</v>
      </c>
      <c r="BZ1033" s="2" t="s">
        <v>230</v>
      </c>
      <c r="CA1033" s="2" t="s">
        <v>243</v>
      </c>
      <c r="CB1033" s="2" t="s">
        <v>1057</v>
      </c>
      <c r="CC1033" s="2" t="s">
        <v>245</v>
      </c>
      <c r="CD1033" s="2" t="s">
        <v>233</v>
      </c>
      <c r="CE1033" s="4">
        <v>528</v>
      </c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>
        <v>530</v>
      </c>
      <c r="GD1033" s="4">
        <v>514</v>
      </c>
      <c r="GE1033" s="4">
        <v>503</v>
      </c>
      <c r="GF1033" s="4">
        <v>494</v>
      </c>
      <c r="GG1033" s="4">
        <v>481</v>
      </c>
      <c r="GH1033" s="4">
        <v>473</v>
      </c>
      <c r="GI1033" s="4">
        <v>464</v>
      </c>
      <c r="GJ1033" s="4">
        <v>456</v>
      </c>
      <c r="GK1033" s="4">
        <v>448</v>
      </c>
      <c r="GL1033" s="4">
        <v>440</v>
      </c>
      <c r="GM1033" s="4">
        <v>432</v>
      </c>
      <c r="GN1033" s="4">
        <v>424</v>
      </c>
      <c r="GO1033" s="4">
        <v>416</v>
      </c>
      <c r="GP1033" s="4">
        <v>408</v>
      </c>
      <c r="GQ1033" s="4">
        <v>400</v>
      </c>
      <c r="GR1033" s="4">
        <v>392</v>
      </c>
      <c r="GS1033" s="4">
        <v>384</v>
      </c>
      <c r="GT1033" s="4">
        <v>375</v>
      </c>
      <c r="GU1033" s="4">
        <v>367</v>
      </c>
      <c r="GV1033" s="4">
        <v>359</v>
      </c>
      <c r="GW1033" s="4">
        <v>351</v>
      </c>
      <c r="GX1033" s="4">
        <v>343</v>
      </c>
      <c r="GY1033" s="4">
        <v>335</v>
      </c>
      <c r="GZ1033" s="4">
        <v>327</v>
      </c>
      <c r="HA1033" s="4">
        <v>319</v>
      </c>
      <c r="HB1033" s="4">
        <v>311</v>
      </c>
      <c r="HC1033" s="19">
        <v>44.2</v>
      </c>
      <c r="HD1033" s="19">
        <v>51.4</v>
      </c>
      <c r="HE1033" s="19">
        <v>50.3</v>
      </c>
      <c r="HF1033" s="19">
        <v>49.4</v>
      </c>
      <c r="HG1033" s="19">
        <v>60.1</v>
      </c>
      <c r="HH1033" s="19">
        <v>59.1</v>
      </c>
      <c r="HI1033" s="19">
        <v>58</v>
      </c>
      <c r="HJ1033" s="19">
        <v>57</v>
      </c>
      <c r="HK1033" s="19">
        <v>56</v>
      </c>
      <c r="HL1033" s="19">
        <v>55</v>
      </c>
      <c r="HM1033" s="19">
        <v>54</v>
      </c>
      <c r="HN1033" s="19">
        <v>53</v>
      </c>
      <c r="HO1033" s="19">
        <v>52</v>
      </c>
      <c r="HP1033" s="19">
        <v>51</v>
      </c>
      <c r="HQ1033" s="19">
        <v>50</v>
      </c>
      <c r="HR1033" s="19">
        <v>49</v>
      </c>
      <c r="HS1033" s="19">
        <v>48</v>
      </c>
      <c r="HT1033" s="19">
        <v>46.9</v>
      </c>
      <c r="HU1033" s="19">
        <v>45.9</v>
      </c>
      <c r="HV1033" s="19">
        <v>44.9</v>
      </c>
      <c r="HW1033" s="19">
        <v>43.9</v>
      </c>
      <c r="HX1033" s="19">
        <v>42.9</v>
      </c>
      <c r="HY1033" s="19">
        <v>41.9</v>
      </c>
      <c r="HZ1033" s="19">
        <v>40.9</v>
      </c>
      <c r="IA1033" s="19">
        <v>39.9</v>
      </c>
      <c r="IB1033" s="19">
        <v>38.9</v>
      </c>
    </row>
    <row r="1034">
      <c r="A1034" s="2" t="s">
        <v>5246</v>
      </c>
      <c r="B1034" s="2" t="s">
        <v>938</v>
      </c>
      <c r="C1034" s="2" t="s">
        <v>280</v>
      </c>
      <c r="D1034" s="2" t="s">
        <v>972</v>
      </c>
      <c r="E1034" s="2" t="s">
        <v>973</v>
      </c>
      <c r="F1034" s="2" t="s">
        <v>5231</v>
      </c>
      <c r="G1034" s="2" t="s">
        <v>5232</v>
      </c>
      <c r="H1034" s="2" t="s">
        <v>5233</v>
      </c>
      <c r="I1034" s="2" t="s">
        <v>5234</v>
      </c>
      <c r="J1034" s="2" t="s">
        <v>978</v>
      </c>
      <c r="K1034" s="2" t="s">
        <v>5243</v>
      </c>
      <c r="L1034" s="3">
        <v>15.75</v>
      </c>
      <c r="M1034" s="3">
        <v>16.54</v>
      </c>
      <c r="N1034" s="3">
        <v>34.99</v>
      </c>
      <c r="O1034" s="2" t="s">
        <v>230</v>
      </c>
      <c r="P1034" s="2" t="s">
        <v>231</v>
      </c>
      <c r="Q1034" s="2" t="s">
        <v>232</v>
      </c>
      <c r="R1034" s="2" t="s">
        <v>233</v>
      </c>
      <c r="S1034" s="2" t="s">
        <v>5244</v>
      </c>
      <c r="T1034" s="2" t="s">
        <v>233</v>
      </c>
      <c r="U1034" s="2" t="s">
        <v>329</v>
      </c>
      <c r="V1034" s="2" t="s">
        <v>1431</v>
      </c>
      <c r="W1034" s="2" t="s">
        <v>620</v>
      </c>
      <c r="X1034" s="2" t="s">
        <v>980</v>
      </c>
      <c r="Y1034" s="2" t="s">
        <v>238</v>
      </c>
      <c r="Z1034" s="4">
        <v>438</v>
      </c>
      <c r="AA1034" s="4">
        <f>=ROUNDDOWN(23.0526315789474,0)</f>
      </c>
      <c r="AB1034" s="5">
        <v>19</v>
      </c>
      <c r="AC1034" s="2" t="s">
        <v>153</v>
      </c>
      <c r="AD1034" s="4">
        <v>300</v>
      </c>
      <c r="AE1034" s="4">
        <v>300</v>
      </c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233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233</v>
      </c>
      <c r="AW1034" s="8" t="s">
        <v>233</v>
      </c>
      <c r="AX1034" s="4" t="s">
        <v>233</v>
      </c>
      <c r="AY1034" s="8" t="s">
        <v>233</v>
      </c>
      <c r="AZ1034" s="7" t="s">
        <v>233</v>
      </c>
      <c r="BA1034" s="7" t="s">
        <v>233</v>
      </c>
      <c r="BB1034" s="7"/>
      <c r="BC1034" s="4" t="s">
        <v>233</v>
      </c>
      <c r="BD1034" s="8" t="s">
        <v>233</v>
      </c>
      <c r="BE1034" s="4" t="s">
        <v>233</v>
      </c>
      <c r="BF1034" s="8" t="s">
        <v>233</v>
      </c>
      <c r="BG1034" s="7" t="s">
        <v>233</v>
      </c>
      <c r="BH1034" s="7" t="s">
        <v>233</v>
      </c>
      <c r="BI1034" s="7"/>
      <c r="BJ1034" s="4">
        <v>104</v>
      </c>
      <c r="BK1034" s="8">
        <v>1665.15</v>
      </c>
      <c r="BL1034" s="2" t="s">
        <v>5247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5237</v>
      </c>
      <c r="BV1034" s="2" t="s">
        <v>233</v>
      </c>
      <c r="BW1034" s="2" t="s">
        <v>233</v>
      </c>
      <c r="BX1034" s="2" t="s">
        <v>241</v>
      </c>
      <c r="BY1034" s="2" t="s">
        <v>242</v>
      </c>
      <c r="BZ1034" s="2" t="s">
        <v>230</v>
      </c>
      <c r="CA1034" s="2" t="s">
        <v>243</v>
      </c>
      <c r="CB1034" s="2" t="s">
        <v>3774</v>
      </c>
      <c r="CC1034" s="2" t="s">
        <v>245</v>
      </c>
      <c r="CD1034" s="2" t="s">
        <v>233</v>
      </c>
      <c r="CE1034" s="4">
        <v>438</v>
      </c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>
        <v>300</v>
      </c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>
        <v>442</v>
      </c>
      <c r="GD1034" s="4">
        <v>405</v>
      </c>
      <c r="GE1034" s="4">
        <v>377</v>
      </c>
      <c r="GF1034" s="4">
        <v>353</v>
      </c>
      <c r="GG1034" s="4">
        <v>621</v>
      </c>
      <c r="GH1034" s="4">
        <v>597</v>
      </c>
      <c r="GI1034" s="4">
        <v>565</v>
      </c>
      <c r="GJ1034" s="4">
        <v>546</v>
      </c>
      <c r="GK1034" s="4">
        <v>523</v>
      </c>
      <c r="GL1034" s="4">
        <v>504</v>
      </c>
      <c r="GM1034" s="4">
        <v>485</v>
      </c>
      <c r="GN1034" s="4">
        <v>466</v>
      </c>
      <c r="GO1034" s="4">
        <v>447</v>
      </c>
      <c r="GP1034" s="4">
        <v>428</v>
      </c>
      <c r="GQ1034" s="4">
        <v>409</v>
      </c>
      <c r="GR1034" s="4">
        <v>390</v>
      </c>
      <c r="GS1034" s="4">
        <v>371</v>
      </c>
      <c r="GT1034" s="4">
        <v>348</v>
      </c>
      <c r="GU1034" s="4">
        <v>329</v>
      </c>
      <c r="GV1034" s="4">
        <v>310</v>
      </c>
      <c r="GW1034" s="4">
        <v>291</v>
      </c>
      <c r="GX1034" s="4">
        <v>272</v>
      </c>
      <c r="GY1034" s="4">
        <v>253</v>
      </c>
      <c r="GZ1034" s="4">
        <v>234</v>
      </c>
      <c r="HA1034" s="4">
        <v>215</v>
      </c>
      <c r="HB1034" s="4">
        <v>196</v>
      </c>
      <c r="HC1034" s="19">
        <v>14.7</v>
      </c>
      <c r="HD1034" s="19">
        <v>15</v>
      </c>
      <c r="HE1034" s="19">
        <v>13.5</v>
      </c>
      <c r="HF1034" s="19">
        <v>13.1</v>
      </c>
      <c r="HG1034" s="19">
        <v>25.9</v>
      </c>
      <c r="HH1034" s="19">
        <v>26</v>
      </c>
      <c r="HI1034" s="19">
        <v>28.3</v>
      </c>
      <c r="HJ1034" s="19">
        <v>27.3</v>
      </c>
      <c r="HK1034" s="19">
        <v>27.5</v>
      </c>
      <c r="HL1034" s="19">
        <v>26.5</v>
      </c>
      <c r="HM1034" s="19">
        <v>25.5</v>
      </c>
      <c r="HN1034" s="19">
        <v>24.5</v>
      </c>
      <c r="HO1034" s="19">
        <v>23.5</v>
      </c>
      <c r="HP1034" s="19">
        <v>21.4</v>
      </c>
      <c r="HQ1034" s="19">
        <v>20.5</v>
      </c>
      <c r="HR1034" s="19">
        <v>19.5</v>
      </c>
      <c r="HS1034" s="19">
        <v>18.6</v>
      </c>
      <c r="HT1034" s="19">
        <v>18.3</v>
      </c>
      <c r="HU1034" s="19">
        <v>17.3</v>
      </c>
      <c r="HV1034" s="19">
        <v>16.3</v>
      </c>
      <c r="HW1034" s="19">
        <v>15.3</v>
      </c>
      <c r="HX1034" s="19">
        <v>14.3</v>
      </c>
      <c r="HY1034" s="19">
        <v>13.3</v>
      </c>
      <c r="HZ1034" s="19">
        <v>12.3</v>
      </c>
      <c r="IA1034" s="19">
        <v>11.3</v>
      </c>
      <c r="IB1034" s="19">
        <v>10.3</v>
      </c>
    </row>
    <row r="1035">
      <c r="A1035" s="2" t="s">
        <v>5248</v>
      </c>
      <c r="B1035" s="2" t="s">
        <v>938</v>
      </c>
      <c r="C1035" s="2" t="s">
        <v>280</v>
      </c>
      <c r="D1035" s="2" t="s">
        <v>972</v>
      </c>
      <c r="E1035" s="2" t="s">
        <v>973</v>
      </c>
      <c r="F1035" s="2" t="s">
        <v>5231</v>
      </c>
      <c r="G1035" s="2" t="s">
        <v>5232</v>
      </c>
      <c r="H1035" s="2" t="s">
        <v>5233</v>
      </c>
      <c r="I1035" s="2" t="s">
        <v>5234</v>
      </c>
      <c r="J1035" s="2" t="s">
        <v>1104</v>
      </c>
      <c r="K1035" s="2" t="s">
        <v>5243</v>
      </c>
      <c r="L1035" s="3">
        <v>20.7</v>
      </c>
      <c r="M1035" s="3">
        <v>21.74</v>
      </c>
      <c r="N1035" s="3">
        <v>44.99</v>
      </c>
      <c r="O1035" s="2" t="s">
        <v>230</v>
      </c>
      <c r="P1035" s="2" t="s">
        <v>231</v>
      </c>
      <c r="Q1035" s="2" t="s">
        <v>232</v>
      </c>
      <c r="R1035" s="2" t="s">
        <v>233</v>
      </c>
      <c r="S1035" s="2" t="s">
        <v>5244</v>
      </c>
      <c r="T1035" s="2" t="s">
        <v>233</v>
      </c>
      <c r="U1035" s="2" t="s">
        <v>329</v>
      </c>
      <c r="V1035" s="2" t="s">
        <v>1431</v>
      </c>
      <c r="W1035" s="2" t="s">
        <v>620</v>
      </c>
      <c r="X1035" s="2" t="s">
        <v>980</v>
      </c>
      <c r="Y1035" s="2" t="s">
        <v>238</v>
      </c>
      <c r="Z1035" s="4">
        <v>171</v>
      </c>
      <c r="AA1035" s="4">
        <f>=ROUNDDOWN(21.375,0)</f>
      </c>
      <c r="AB1035" s="5">
        <v>8</v>
      </c>
      <c r="AC1035" s="2" t="s">
        <v>153</v>
      </c>
      <c r="AD1035" s="4">
        <v>100</v>
      </c>
      <c r="AE1035" s="4">
        <v>100</v>
      </c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233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233</v>
      </c>
      <c r="AW1035" s="8" t="s">
        <v>233</v>
      </c>
      <c r="AX1035" s="4" t="s">
        <v>233</v>
      </c>
      <c r="AY1035" s="8" t="s">
        <v>233</v>
      </c>
      <c r="AZ1035" s="7" t="s">
        <v>233</v>
      </c>
      <c r="BA1035" s="7" t="s">
        <v>233</v>
      </c>
      <c r="BB1035" s="7"/>
      <c r="BC1035" s="4" t="s">
        <v>233</v>
      </c>
      <c r="BD1035" s="8" t="s">
        <v>233</v>
      </c>
      <c r="BE1035" s="4" t="s">
        <v>233</v>
      </c>
      <c r="BF1035" s="8" t="s">
        <v>233</v>
      </c>
      <c r="BG1035" s="7" t="s">
        <v>233</v>
      </c>
      <c r="BH1035" s="7" t="s">
        <v>233</v>
      </c>
      <c r="BI1035" s="7"/>
      <c r="BJ1035" s="4">
        <v>5</v>
      </c>
      <c r="BK1035" s="8">
        <v>109.89</v>
      </c>
      <c r="BL1035" s="2" t="s">
        <v>3187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5237</v>
      </c>
      <c r="BV1035" s="2" t="s">
        <v>233</v>
      </c>
      <c r="BW1035" s="2" t="s">
        <v>233</v>
      </c>
      <c r="BX1035" s="2" t="s">
        <v>241</v>
      </c>
      <c r="BY1035" s="2" t="s">
        <v>242</v>
      </c>
      <c r="BZ1035" s="2" t="s">
        <v>230</v>
      </c>
      <c r="CA1035" s="2" t="s">
        <v>243</v>
      </c>
      <c r="CB1035" s="2" t="s">
        <v>5249</v>
      </c>
      <c r="CC1035" s="2" t="s">
        <v>245</v>
      </c>
      <c r="CD1035" s="2" t="s">
        <v>233</v>
      </c>
      <c r="CE1035" s="4">
        <v>171</v>
      </c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>
        <v>100</v>
      </c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>
        <v>171</v>
      </c>
      <c r="GD1035" s="4">
        <v>162</v>
      </c>
      <c r="GE1035" s="4">
        <v>150</v>
      </c>
      <c r="GF1035" s="4">
        <v>137</v>
      </c>
      <c r="GG1035" s="4">
        <v>221</v>
      </c>
      <c r="GH1035" s="4">
        <v>209</v>
      </c>
      <c r="GI1035" s="4">
        <v>195</v>
      </c>
      <c r="GJ1035" s="4">
        <v>187</v>
      </c>
      <c r="GK1035" s="4">
        <v>179</v>
      </c>
      <c r="GL1035" s="4">
        <v>171</v>
      </c>
      <c r="GM1035" s="4">
        <v>163</v>
      </c>
      <c r="GN1035" s="4">
        <v>155</v>
      </c>
      <c r="GO1035" s="4">
        <v>147</v>
      </c>
      <c r="GP1035" s="4">
        <v>139</v>
      </c>
      <c r="GQ1035" s="4">
        <v>131</v>
      </c>
      <c r="GR1035" s="4">
        <v>123</v>
      </c>
      <c r="GS1035" s="4">
        <v>115</v>
      </c>
      <c r="GT1035" s="4">
        <v>106</v>
      </c>
      <c r="GU1035" s="4">
        <v>98</v>
      </c>
      <c r="GV1035" s="4">
        <v>90</v>
      </c>
      <c r="GW1035" s="4">
        <v>82</v>
      </c>
      <c r="GX1035" s="4">
        <v>74</v>
      </c>
      <c r="GY1035" s="4">
        <v>66</v>
      </c>
      <c r="GZ1035" s="4">
        <v>58</v>
      </c>
      <c r="HA1035" s="4">
        <v>50</v>
      </c>
      <c r="HB1035" s="4">
        <v>42</v>
      </c>
      <c r="HC1035" s="19">
        <v>14.3</v>
      </c>
      <c r="HD1035" s="19">
        <v>12.5</v>
      </c>
      <c r="HE1035" s="19">
        <v>10.7</v>
      </c>
      <c r="HF1035" s="19">
        <v>11.4</v>
      </c>
      <c r="HG1035" s="19">
        <v>22.1</v>
      </c>
      <c r="HH1035" s="19">
        <v>20.9</v>
      </c>
      <c r="HI1035" s="19">
        <v>24.4</v>
      </c>
      <c r="HJ1035" s="19">
        <v>23.4</v>
      </c>
      <c r="HK1035" s="19">
        <v>22.4</v>
      </c>
      <c r="HL1035" s="19">
        <v>21.4</v>
      </c>
      <c r="HM1035" s="19">
        <v>20.4</v>
      </c>
      <c r="HN1035" s="19">
        <v>19.4</v>
      </c>
      <c r="HO1035" s="19">
        <v>18.4</v>
      </c>
      <c r="HP1035" s="19">
        <v>17.4</v>
      </c>
      <c r="HQ1035" s="19">
        <v>16.4</v>
      </c>
      <c r="HR1035" s="19">
        <v>15.4</v>
      </c>
      <c r="HS1035" s="19">
        <v>14.4</v>
      </c>
      <c r="HT1035" s="19">
        <v>13.3</v>
      </c>
      <c r="HU1035" s="19">
        <v>12.3</v>
      </c>
      <c r="HV1035" s="19">
        <v>11.3</v>
      </c>
      <c r="HW1035" s="19">
        <v>10.3</v>
      </c>
      <c r="HX1035" s="19">
        <v>9.3</v>
      </c>
      <c r="HY1035" s="19">
        <v>8.3</v>
      </c>
      <c r="HZ1035" s="19">
        <v>7.3</v>
      </c>
      <c r="IA1035" s="19">
        <v>6.3</v>
      </c>
      <c r="IB1035" s="19">
        <v>5.3</v>
      </c>
    </row>
    <row r="1036">
      <c r="A1036" s="2" t="s">
        <v>5250</v>
      </c>
      <c r="B1036" s="2" t="s">
        <v>938</v>
      </c>
      <c r="C1036" s="2" t="s">
        <v>280</v>
      </c>
      <c r="D1036" s="2" t="s">
        <v>972</v>
      </c>
      <c r="E1036" s="2" t="s">
        <v>973</v>
      </c>
      <c r="F1036" s="2" t="s">
        <v>5231</v>
      </c>
      <c r="G1036" s="2" t="s">
        <v>5232</v>
      </c>
      <c r="H1036" s="2" t="s">
        <v>5233</v>
      </c>
      <c r="I1036" s="2" t="s">
        <v>5234</v>
      </c>
      <c r="J1036" s="2" t="s">
        <v>1104</v>
      </c>
      <c r="K1036" s="2" t="s">
        <v>5251</v>
      </c>
      <c r="L1036" s="3">
        <v>20.7</v>
      </c>
      <c r="M1036" s="3">
        <v>21.74</v>
      </c>
      <c r="N1036" s="3">
        <v>44.99</v>
      </c>
      <c r="O1036" s="2" t="s">
        <v>230</v>
      </c>
      <c r="P1036" s="2" t="s">
        <v>231</v>
      </c>
      <c r="Q1036" s="2" t="s">
        <v>232</v>
      </c>
      <c r="R1036" s="2" t="s">
        <v>233</v>
      </c>
      <c r="S1036" s="2" t="s">
        <v>5252</v>
      </c>
      <c r="T1036" s="2" t="s">
        <v>233</v>
      </c>
      <c r="U1036" s="2" t="s">
        <v>329</v>
      </c>
      <c r="V1036" s="2" t="s">
        <v>1431</v>
      </c>
      <c r="W1036" s="2" t="s">
        <v>620</v>
      </c>
      <c r="X1036" s="2" t="s">
        <v>980</v>
      </c>
      <c r="Y1036" s="2" t="s">
        <v>238</v>
      </c>
      <c r="Z1036" s="4">
        <v>310</v>
      </c>
      <c r="AA1036" s="4">
        <f>=ROUNDDOWN(31,0)</f>
      </c>
      <c r="AB1036" s="5">
        <v>10</v>
      </c>
      <c r="AC1036" s="2" t="s">
        <v>490</v>
      </c>
      <c r="AD1036" s="4">
        <v>264</v>
      </c>
      <c r="AE1036" s="4">
        <v>264</v>
      </c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233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 t="s">
        <v>233</v>
      </c>
      <c r="BD1036" s="8" t="s">
        <v>233</v>
      </c>
      <c r="BE1036" s="4" t="s">
        <v>233</v>
      </c>
      <c r="BF1036" s="8" t="s">
        <v>233</v>
      </c>
      <c r="BG1036" s="7" t="s">
        <v>233</v>
      </c>
      <c r="BH1036" s="7" t="s">
        <v>233</v>
      </c>
      <c r="BI1036" s="7"/>
      <c r="BJ1036" s="4">
        <v>25</v>
      </c>
      <c r="BK1036" s="8">
        <v>980.79</v>
      </c>
      <c r="BL1036" s="2" t="s">
        <v>5253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5237</v>
      </c>
      <c r="BV1036" s="2" t="s">
        <v>233</v>
      </c>
      <c r="BW1036" s="2" t="s">
        <v>233</v>
      </c>
      <c r="BX1036" s="2" t="s">
        <v>241</v>
      </c>
      <c r="BY1036" s="2" t="s">
        <v>242</v>
      </c>
      <c r="BZ1036" s="2" t="s">
        <v>230</v>
      </c>
      <c r="CA1036" s="2" t="s">
        <v>243</v>
      </c>
      <c r="CB1036" s="2" t="s">
        <v>5254</v>
      </c>
      <c r="CC1036" s="2" t="s">
        <v>245</v>
      </c>
      <c r="CD1036" s="2" t="s">
        <v>233</v>
      </c>
      <c r="CE1036" s="4">
        <v>310</v>
      </c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>
        <v>264</v>
      </c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>
        <v>314</v>
      </c>
      <c r="GD1036" s="4">
        <v>299</v>
      </c>
      <c r="GE1036" s="4">
        <v>285</v>
      </c>
      <c r="GF1036" s="4">
        <v>270</v>
      </c>
      <c r="GG1036" s="4">
        <v>250</v>
      </c>
      <c r="GH1036" s="4">
        <v>236</v>
      </c>
      <c r="GI1036" s="4">
        <v>483</v>
      </c>
      <c r="GJ1036" s="4">
        <v>474</v>
      </c>
      <c r="GK1036" s="4">
        <v>464</v>
      </c>
      <c r="GL1036" s="4">
        <v>454</v>
      </c>
      <c r="GM1036" s="4">
        <v>444</v>
      </c>
      <c r="GN1036" s="4">
        <v>434</v>
      </c>
      <c r="GO1036" s="4">
        <v>424</v>
      </c>
      <c r="GP1036" s="4">
        <v>414</v>
      </c>
      <c r="GQ1036" s="4">
        <v>404</v>
      </c>
      <c r="GR1036" s="4">
        <v>394</v>
      </c>
      <c r="GS1036" s="4">
        <v>384</v>
      </c>
      <c r="GT1036" s="4">
        <v>372</v>
      </c>
      <c r="GU1036" s="4">
        <v>362</v>
      </c>
      <c r="GV1036" s="4">
        <v>352</v>
      </c>
      <c r="GW1036" s="4">
        <v>342</v>
      </c>
      <c r="GX1036" s="4">
        <v>332</v>
      </c>
      <c r="GY1036" s="4">
        <v>322</v>
      </c>
      <c r="GZ1036" s="4">
        <v>312</v>
      </c>
      <c r="HA1036" s="4">
        <v>302</v>
      </c>
      <c r="HB1036" s="4">
        <v>292</v>
      </c>
      <c r="HC1036" s="19">
        <v>19.6</v>
      </c>
      <c r="HD1036" s="19">
        <v>18.7</v>
      </c>
      <c r="HE1036" s="19">
        <v>17.8</v>
      </c>
      <c r="HF1036" s="19">
        <v>18</v>
      </c>
      <c r="HG1036" s="19">
        <v>20.8</v>
      </c>
      <c r="HH1036" s="19">
        <v>19.7</v>
      </c>
      <c r="HI1036" s="19">
        <v>48.3</v>
      </c>
      <c r="HJ1036" s="19">
        <v>47.4</v>
      </c>
      <c r="HK1036" s="19">
        <v>46.4</v>
      </c>
      <c r="HL1036" s="19">
        <v>45.4</v>
      </c>
      <c r="HM1036" s="19">
        <v>44.4</v>
      </c>
      <c r="HN1036" s="19">
        <v>43.4</v>
      </c>
      <c r="HO1036" s="19">
        <v>42.4</v>
      </c>
      <c r="HP1036" s="19">
        <v>41.4</v>
      </c>
      <c r="HQ1036" s="19">
        <v>40.4</v>
      </c>
      <c r="HR1036" s="19">
        <v>39.4</v>
      </c>
      <c r="HS1036" s="19">
        <v>38.4</v>
      </c>
      <c r="HT1036" s="19">
        <v>37.2</v>
      </c>
      <c r="HU1036" s="19">
        <v>36.2</v>
      </c>
      <c r="HV1036" s="19">
        <v>35.2</v>
      </c>
      <c r="HW1036" s="19">
        <v>34.2</v>
      </c>
      <c r="HX1036" s="19">
        <v>33.2</v>
      </c>
      <c r="HY1036" s="19">
        <v>32.2</v>
      </c>
      <c r="HZ1036" s="19">
        <v>31.2</v>
      </c>
      <c r="IA1036" s="19">
        <v>30.2</v>
      </c>
      <c r="IB1036" s="19">
        <v>29.2</v>
      </c>
    </row>
    <row r="1037">
      <c r="A1037" s="2" t="s">
        <v>5255</v>
      </c>
      <c r="B1037" s="2" t="s">
        <v>938</v>
      </c>
      <c r="C1037" s="2" t="s">
        <v>280</v>
      </c>
      <c r="D1037" s="2" t="s">
        <v>972</v>
      </c>
      <c r="E1037" s="2" t="s">
        <v>973</v>
      </c>
      <c r="F1037" s="2" t="s">
        <v>5231</v>
      </c>
      <c r="G1037" s="2" t="s">
        <v>5232</v>
      </c>
      <c r="H1037" s="2" t="s">
        <v>5233</v>
      </c>
      <c r="I1037" s="2" t="s">
        <v>5234</v>
      </c>
      <c r="J1037" s="2" t="s">
        <v>1004</v>
      </c>
      <c r="K1037" s="2" t="s">
        <v>5256</v>
      </c>
      <c r="L1037" s="3">
        <v>18.4</v>
      </c>
      <c r="M1037" s="3">
        <v>19.32</v>
      </c>
      <c r="N1037" s="3">
        <v>39.99</v>
      </c>
      <c r="O1037" s="2" t="s">
        <v>230</v>
      </c>
      <c r="P1037" s="2" t="s">
        <v>231</v>
      </c>
      <c r="Q1037" s="2" t="s">
        <v>232</v>
      </c>
      <c r="R1037" s="2" t="s">
        <v>233</v>
      </c>
      <c r="S1037" s="2" t="s">
        <v>5257</v>
      </c>
      <c r="T1037" s="2" t="s">
        <v>233</v>
      </c>
      <c r="U1037" s="2" t="s">
        <v>329</v>
      </c>
      <c r="V1037" s="2" t="s">
        <v>1431</v>
      </c>
      <c r="W1037" s="2" t="s">
        <v>620</v>
      </c>
      <c r="X1037" s="2" t="s">
        <v>980</v>
      </c>
      <c r="Y1037" s="2" t="s">
        <v>238</v>
      </c>
      <c r="Z1037" s="4">
        <v>121</v>
      </c>
      <c r="AA1037" s="4">
        <f>=ROUNDDOWN(24.2,0)</f>
      </c>
      <c r="AB1037" s="5">
        <v>5</v>
      </c>
      <c r="AC1037" s="2" t="s">
        <v>5</v>
      </c>
      <c r="AD1037" s="4">
        <v>116</v>
      </c>
      <c r="AE1037" s="4">
        <v>220</v>
      </c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233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233</v>
      </c>
      <c r="AW1037" s="8" t="s">
        <v>233</v>
      </c>
      <c r="AX1037" s="4" t="s">
        <v>233</v>
      </c>
      <c r="AY1037" s="8" t="s">
        <v>233</v>
      </c>
      <c r="AZ1037" s="7" t="s">
        <v>233</v>
      </c>
      <c r="BA1037" s="7" t="s">
        <v>233</v>
      </c>
      <c r="BB1037" s="7"/>
      <c r="BC1037" s="4" t="s">
        <v>233</v>
      </c>
      <c r="BD1037" s="8" t="s">
        <v>233</v>
      </c>
      <c r="BE1037" s="4" t="s">
        <v>233</v>
      </c>
      <c r="BF1037" s="8" t="s">
        <v>233</v>
      </c>
      <c r="BG1037" s="7" t="s">
        <v>233</v>
      </c>
      <c r="BH1037" s="7" t="s">
        <v>233</v>
      </c>
      <c r="BI1037" s="7"/>
      <c r="BJ1037" s="4">
        <v>13</v>
      </c>
      <c r="BK1037" s="8">
        <v>237.49</v>
      </c>
      <c r="BL1037" s="2" t="s">
        <v>5258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5237</v>
      </c>
      <c r="BV1037" s="2" t="s">
        <v>233</v>
      </c>
      <c r="BW1037" s="2" t="s">
        <v>233</v>
      </c>
      <c r="BX1037" s="2" t="s">
        <v>241</v>
      </c>
      <c r="BY1037" s="2" t="s">
        <v>242</v>
      </c>
      <c r="BZ1037" s="2" t="s">
        <v>230</v>
      </c>
      <c r="CA1037" s="2" t="s">
        <v>243</v>
      </c>
      <c r="CB1037" s="2" t="s">
        <v>2221</v>
      </c>
      <c r="CC1037" s="2" t="s">
        <v>245</v>
      </c>
      <c r="CD1037" s="2" t="s">
        <v>233</v>
      </c>
      <c r="CE1037" s="4">
        <v>121</v>
      </c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>
        <v>116</v>
      </c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>
        <v>104</v>
      </c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>
        <v>121</v>
      </c>
      <c r="GD1037" s="4">
        <v>232</v>
      </c>
      <c r="GE1037" s="4">
        <v>226</v>
      </c>
      <c r="GF1037" s="4">
        <v>220</v>
      </c>
      <c r="GG1037" s="4">
        <v>213</v>
      </c>
      <c r="GH1037" s="4">
        <v>208</v>
      </c>
      <c r="GI1037" s="4">
        <v>201</v>
      </c>
      <c r="GJ1037" s="4">
        <v>197</v>
      </c>
      <c r="GK1037" s="4">
        <v>192</v>
      </c>
      <c r="GL1037" s="4">
        <v>292</v>
      </c>
      <c r="GM1037" s="4">
        <v>288</v>
      </c>
      <c r="GN1037" s="4">
        <v>284</v>
      </c>
      <c r="GO1037" s="4">
        <v>280</v>
      </c>
      <c r="GP1037" s="4">
        <v>276</v>
      </c>
      <c r="GQ1037" s="4">
        <v>272</v>
      </c>
      <c r="GR1037" s="4">
        <v>268</v>
      </c>
      <c r="GS1037" s="4">
        <v>264</v>
      </c>
      <c r="GT1037" s="4">
        <v>259</v>
      </c>
      <c r="GU1037" s="4">
        <v>255</v>
      </c>
      <c r="GV1037" s="4">
        <v>251</v>
      </c>
      <c r="GW1037" s="4">
        <v>247</v>
      </c>
      <c r="GX1037" s="4">
        <v>243</v>
      </c>
      <c r="GY1037" s="4">
        <v>239</v>
      </c>
      <c r="GZ1037" s="4">
        <v>234</v>
      </c>
      <c r="HA1037" s="4">
        <v>229</v>
      </c>
      <c r="HB1037" s="4">
        <v>224</v>
      </c>
      <c r="HC1037" s="19">
        <v>20.2</v>
      </c>
      <c r="HD1037" s="19">
        <v>38.7</v>
      </c>
      <c r="HE1037" s="19">
        <v>37.7</v>
      </c>
      <c r="HF1037" s="19">
        <v>36.7</v>
      </c>
      <c r="HG1037" s="19">
        <v>42.6</v>
      </c>
      <c r="HH1037" s="19">
        <v>41.6</v>
      </c>
      <c r="HI1037" s="19">
        <v>50.3</v>
      </c>
      <c r="HJ1037" s="19">
        <v>49.3</v>
      </c>
      <c r="HK1037" s="19">
        <v>48</v>
      </c>
      <c r="HL1037" s="19">
        <v>73</v>
      </c>
      <c r="HM1037" s="19">
        <v>72</v>
      </c>
      <c r="HN1037" s="19">
        <v>71</v>
      </c>
      <c r="HO1037" s="19">
        <v>70</v>
      </c>
      <c r="HP1037" s="19">
        <v>69</v>
      </c>
      <c r="HQ1037" s="19">
        <v>68</v>
      </c>
      <c r="HR1037" s="19">
        <v>67</v>
      </c>
      <c r="HS1037" s="19">
        <v>66</v>
      </c>
      <c r="HT1037" s="19">
        <v>64.8</v>
      </c>
      <c r="HU1037" s="19">
        <v>63.8</v>
      </c>
      <c r="HV1037" s="19">
        <v>62.8</v>
      </c>
      <c r="HW1037" s="19">
        <v>61.8</v>
      </c>
      <c r="HX1037" s="19">
        <v>48.6</v>
      </c>
      <c r="HY1037" s="19">
        <v>47.8</v>
      </c>
      <c r="HZ1037" s="19">
        <v>46.8</v>
      </c>
      <c r="IA1037" s="19">
        <v>45.8</v>
      </c>
      <c r="IB1037" s="19">
        <v>44.8</v>
      </c>
    </row>
    <row r="1038">
      <c r="A1038" s="2" t="s">
        <v>5259</v>
      </c>
      <c r="B1038" s="2" t="s">
        <v>938</v>
      </c>
      <c r="C1038" s="2" t="s">
        <v>280</v>
      </c>
      <c r="D1038" s="2" t="s">
        <v>972</v>
      </c>
      <c r="E1038" s="2" t="s">
        <v>973</v>
      </c>
      <c r="F1038" s="2" t="s">
        <v>5231</v>
      </c>
      <c r="G1038" s="2" t="s">
        <v>5232</v>
      </c>
      <c r="H1038" s="2" t="s">
        <v>5233</v>
      </c>
      <c r="I1038" s="2" t="s">
        <v>5234</v>
      </c>
      <c r="J1038" s="2" t="s">
        <v>1104</v>
      </c>
      <c r="K1038" s="2" t="s">
        <v>5256</v>
      </c>
      <c r="L1038" s="3">
        <v>20.7</v>
      </c>
      <c r="M1038" s="3">
        <v>21.74</v>
      </c>
      <c r="N1038" s="3">
        <v>44.99</v>
      </c>
      <c r="O1038" s="2" t="s">
        <v>230</v>
      </c>
      <c r="P1038" s="2" t="s">
        <v>231</v>
      </c>
      <c r="Q1038" s="2" t="s">
        <v>232</v>
      </c>
      <c r="R1038" s="2" t="s">
        <v>233</v>
      </c>
      <c r="S1038" s="2" t="s">
        <v>5257</v>
      </c>
      <c r="T1038" s="2" t="s">
        <v>233</v>
      </c>
      <c r="U1038" s="2" t="s">
        <v>329</v>
      </c>
      <c r="V1038" s="2" t="s">
        <v>1431</v>
      </c>
      <c r="W1038" s="2" t="s">
        <v>620</v>
      </c>
      <c r="X1038" s="2" t="s">
        <v>980</v>
      </c>
      <c r="Y1038" s="2" t="s">
        <v>238</v>
      </c>
      <c r="Z1038" s="4">
        <v>141</v>
      </c>
      <c r="AA1038" s="4">
        <f>=ROUNDDOWN(35.25,0)</f>
      </c>
      <c r="AB1038" s="5">
        <v>4</v>
      </c>
      <c r="AC1038" s="2" t="s">
        <v>233</v>
      </c>
      <c r="AD1038" s="4"/>
      <c r="AE1038" s="4"/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233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233</v>
      </c>
      <c r="AW1038" s="8" t="s">
        <v>233</v>
      </c>
      <c r="AX1038" s="4" t="s">
        <v>233</v>
      </c>
      <c r="AY1038" s="8" t="s">
        <v>233</v>
      </c>
      <c r="AZ1038" s="7" t="s">
        <v>233</v>
      </c>
      <c r="BA1038" s="7" t="s">
        <v>233</v>
      </c>
      <c r="BB1038" s="7"/>
      <c r="BC1038" s="4" t="s">
        <v>233</v>
      </c>
      <c r="BD1038" s="8" t="s">
        <v>233</v>
      </c>
      <c r="BE1038" s="4" t="s">
        <v>233</v>
      </c>
      <c r="BF1038" s="8" t="s">
        <v>233</v>
      </c>
      <c r="BG1038" s="7" t="s">
        <v>233</v>
      </c>
      <c r="BH1038" s="7" t="s">
        <v>233</v>
      </c>
      <c r="BI1038" s="7"/>
      <c r="BJ1038" s="4">
        <v>1</v>
      </c>
      <c r="BK1038" s="8">
        <v>18.79</v>
      </c>
      <c r="BL1038" s="2" t="s">
        <v>1634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5237</v>
      </c>
      <c r="BV1038" s="2" t="s">
        <v>233</v>
      </c>
      <c r="BW1038" s="2" t="s">
        <v>233</v>
      </c>
      <c r="BX1038" s="2" t="s">
        <v>241</v>
      </c>
      <c r="BY1038" s="2" t="s">
        <v>242</v>
      </c>
      <c r="BZ1038" s="2" t="s">
        <v>230</v>
      </c>
      <c r="CA1038" s="2" t="s">
        <v>243</v>
      </c>
      <c r="CB1038" s="2" t="s">
        <v>5260</v>
      </c>
      <c r="CC1038" s="2" t="s">
        <v>245</v>
      </c>
      <c r="CD1038" s="2" t="s">
        <v>233</v>
      </c>
      <c r="CE1038" s="4">
        <v>141</v>
      </c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>
        <v>147</v>
      </c>
      <c r="GD1038" s="4">
        <v>132</v>
      </c>
      <c r="GE1038" s="4">
        <v>126</v>
      </c>
      <c r="GF1038" s="4">
        <v>120</v>
      </c>
      <c r="GG1038" s="4">
        <v>112</v>
      </c>
      <c r="GH1038" s="4">
        <v>106</v>
      </c>
      <c r="GI1038" s="4">
        <v>99</v>
      </c>
      <c r="GJ1038" s="4">
        <v>95</v>
      </c>
      <c r="GK1038" s="4">
        <v>91</v>
      </c>
      <c r="GL1038" s="4">
        <v>87</v>
      </c>
      <c r="GM1038" s="4">
        <v>83</v>
      </c>
      <c r="GN1038" s="4">
        <v>79</v>
      </c>
      <c r="GO1038" s="4">
        <v>75</v>
      </c>
      <c r="GP1038" s="4">
        <v>71</v>
      </c>
      <c r="GQ1038" s="4">
        <v>67</v>
      </c>
      <c r="GR1038" s="4">
        <v>63</v>
      </c>
      <c r="GS1038" s="4">
        <v>59</v>
      </c>
      <c r="GT1038" s="4">
        <v>54</v>
      </c>
      <c r="GU1038" s="4">
        <v>50</v>
      </c>
      <c r="GV1038" s="4">
        <v>46</v>
      </c>
      <c r="GW1038" s="4">
        <v>42</v>
      </c>
      <c r="GX1038" s="4">
        <v>38</v>
      </c>
      <c r="GY1038" s="4">
        <v>34</v>
      </c>
      <c r="GZ1038" s="4">
        <v>30</v>
      </c>
      <c r="HA1038" s="4">
        <v>26</v>
      </c>
      <c r="HB1038" s="4">
        <v>22</v>
      </c>
      <c r="HC1038" s="19">
        <v>16.3</v>
      </c>
      <c r="HD1038" s="19">
        <v>22</v>
      </c>
      <c r="HE1038" s="19">
        <v>18</v>
      </c>
      <c r="HF1038" s="19">
        <v>20</v>
      </c>
      <c r="HG1038" s="19">
        <v>22.4</v>
      </c>
      <c r="HH1038" s="19">
        <v>21.2</v>
      </c>
      <c r="HI1038" s="19">
        <v>24.8</v>
      </c>
      <c r="HJ1038" s="19">
        <v>23.8</v>
      </c>
      <c r="HK1038" s="19">
        <v>22.8</v>
      </c>
      <c r="HL1038" s="19">
        <v>21.8</v>
      </c>
      <c r="HM1038" s="19">
        <v>20.8</v>
      </c>
      <c r="HN1038" s="19">
        <v>19.8</v>
      </c>
      <c r="HO1038" s="19">
        <v>18.8</v>
      </c>
      <c r="HP1038" s="19">
        <v>17.8</v>
      </c>
      <c r="HQ1038" s="19">
        <v>16.8</v>
      </c>
      <c r="HR1038" s="19">
        <v>15.8</v>
      </c>
      <c r="HS1038" s="19">
        <v>14.8</v>
      </c>
      <c r="HT1038" s="19">
        <v>13.5</v>
      </c>
      <c r="HU1038" s="19">
        <v>12.5</v>
      </c>
      <c r="HV1038" s="19">
        <v>11.5</v>
      </c>
      <c r="HW1038" s="19">
        <v>10.5</v>
      </c>
      <c r="HX1038" s="19">
        <v>9.5</v>
      </c>
      <c r="HY1038" s="19">
        <v>8.5</v>
      </c>
      <c r="HZ1038" s="19">
        <v>7.5</v>
      </c>
      <c r="IA1038" s="19">
        <v>6.5</v>
      </c>
      <c r="IB1038" s="19">
        <v>5.5</v>
      </c>
    </row>
    <row r="1039">
      <c r="A1039" s="2" t="s">
        <v>5261</v>
      </c>
      <c r="B1039" s="2" t="s">
        <v>279</v>
      </c>
      <c r="C1039" s="2" t="s">
        <v>343</v>
      </c>
      <c r="D1039" s="2" t="s">
        <v>297</v>
      </c>
      <c r="E1039" s="2" t="s">
        <v>298</v>
      </c>
      <c r="F1039" s="2" t="s">
        <v>5011</v>
      </c>
      <c r="G1039" s="2" t="s">
        <v>5011</v>
      </c>
      <c r="H1039" s="2" t="s">
        <v>5011</v>
      </c>
      <c r="I1039" s="2" t="s">
        <v>5262</v>
      </c>
      <c r="J1039" s="2" t="s">
        <v>256</v>
      </c>
      <c r="K1039" s="2" t="s">
        <v>5016</v>
      </c>
      <c r="L1039" s="3">
        <v>6.24</v>
      </c>
      <c r="M1039" s="3">
        <v>6.55</v>
      </c>
      <c r="N1039" s="3">
        <v>12.99</v>
      </c>
      <c r="O1039" s="2" t="s">
        <v>230</v>
      </c>
      <c r="P1039" s="2" t="s">
        <v>231</v>
      </c>
      <c r="Q1039" s="2" t="s">
        <v>232</v>
      </c>
      <c r="R1039" s="2" t="s">
        <v>233</v>
      </c>
      <c r="S1039" s="2" t="s">
        <v>5017</v>
      </c>
      <c r="T1039" s="2" t="s">
        <v>5011</v>
      </c>
      <c r="U1039" s="2" t="s">
        <v>711</v>
      </c>
      <c r="V1039" s="2" t="s">
        <v>1268</v>
      </c>
      <c r="W1039" s="2" t="s">
        <v>288</v>
      </c>
      <c r="X1039" s="2" t="s">
        <v>237</v>
      </c>
      <c r="Y1039" s="2" t="s">
        <v>5012</v>
      </c>
      <c r="Z1039" s="4">
        <v>345</v>
      </c>
      <c r="AA1039" s="4">
        <f>=ROUNDDOWN(43.125,0)</f>
      </c>
      <c r="AB1039" s="5">
        <v>8</v>
      </c>
      <c r="AC1039" s="2" t="s">
        <v>2887</v>
      </c>
      <c r="AD1039" s="4">
        <v>32</v>
      </c>
      <c r="AE1039" s="4">
        <v>32</v>
      </c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233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233</v>
      </c>
      <c r="AW1039" s="8" t="s">
        <v>233</v>
      </c>
      <c r="AX1039" s="4" t="s">
        <v>233</v>
      </c>
      <c r="AY1039" s="8" t="s">
        <v>233</v>
      </c>
      <c r="AZ1039" s="7" t="s">
        <v>233</v>
      </c>
      <c r="BA1039" s="7" t="s">
        <v>233</v>
      </c>
      <c r="BB1039" s="7"/>
      <c r="BC1039" s="4" t="s">
        <v>233</v>
      </c>
      <c r="BD1039" s="8" t="s">
        <v>233</v>
      </c>
      <c r="BE1039" s="4" t="s">
        <v>233</v>
      </c>
      <c r="BF1039" s="8" t="s">
        <v>233</v>
      </c>
      <c r="BG1039" s="7" t="s">
        <v>233</v>
      </c>
      <c r="BH1039" s="7" t="s">
        <v>233</v>
      </c>
      <c r="BI1039" s="7"/>
      <c r="BJ1039" s="4">
        <v>41</v>
      </c>
      <c r="BK1039" s="8">
        <v>269.41</v>
      </c>
      <c r="BL1039" s="2" t="s">
        <v>2238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5263</v>
      </c>
      <c r="BV1039" s="2" t="s">
        <v>233</v>
      </c>
      <c r="BW1039" s="2" t="s">
        <v>233</v>
      </c>
      <c r="BX1039" s="2" t="s">
        <v>241</v>
      </c>
      <c r="BY1039" s="2" t="s">
        <v>242</v>
      </c>
      <c r="BZ1039" s="2" t="s">
        <v>230</v>
      </c>
      <c r="CA1039" s="2" t="s">
        <v>5264</v>
      </c>
      <c r="CB1039" s="2" t="s">
        <v>3076</v>
      </c>
      <c r="CC1039" s="2" t="s">
        <v>245</v>
      </c>
      <c r="CD1039" s="2" t="s">
        <v>233</v>
      </c>
      <c r="CE1039" s="4">
        <v>345</v>
      </c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>
        <v>32</v>
      </c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>
        <v>365</v>
      </c>
      <c r="GD1039" s="4">
        <v>353</v>
      </c>
      <c r="GE1039" s="4">
        <v>339</v>
      </c>
      <c r="GF1039" s="4">
        <v>321</v>
      </c>
      <c r="GG1039" s="4">
        <v>274</v>
      </c>
      <c r="GH1039" s="4">
        <v>236</v>
      </c>
      <c r="GI1039" s="4">
        <v>211</v>
      </c>
      <c r="GJ1039" s="4">
        <v>196</v>
      </c>
      <c r="GK1039" s="4">
        <v>181</v>
      </c>
      <c r="GL1039" s="4">
        <v>169</v>
      </c>
      <c r="GM1039" s="4">
        <v>161</v>
      </c>
      <c r="GN1039" s="4">
        <v>154</v>
      </c>
      <c r="GO1039" s="4">
        <v>148</v>
      </c>
      <c r="GP1039" s="4">
        <v>174</v>
      </c>
      <c r="GQ1039" s="4">
        <v>164</v>
      </c>
      <c r="GR1039" s="4">
        <v>157</v>
      </c>
      <c r="GS1039" s="4">
        <v>149</v>
      </c>
      <c r="GT1039" s="4">
        <v>140</v>
      </c>
      <c r="GU1039" s="4">
        <v>133</v>
      </c>
      <c r="GV1039" s="4">
        <v>124</v>
      </c>
      <c r="GW1039" s="4">
        <v>116</v>
      </c>
      <c r="GX1039" s="4">
        <v>108</v>
      </c>
      <c r="GY1039" s="4">
        <v>100</v>
      </c>
      <c r="GZ1039" s="4">
        <v>92</v>
      </c>
      <c r="HA1039" s="4">
        <v>83</v>
      </c>
      <c r="HB1039" s="4">
        <v>75</v>
      </c>
      <c r="HC1039" s="19">
        <v>15.9</v>
      </c>
      <c r="HD1039" s="19">
        <v>12.2</v>
      </c>
      <c r="HE1039" s="19">
        <v>10.6</v>
      </c>
      <c r="HF1039" s="19">
        <v>10.4</v>
      </c>
      <c r="HG1039" s="19">
        <v>11.9</v>
      </c>
      <c r="HH1039" s="19">
        <v>13.9</v>
      </c>
      <c r="HI1039" s="19">
        <v>17.6</v>
      </c>
      <c r="HJ1039" s="19">
        <v>19.6</v>
      </c>
      <c r="HK1039" s="19">
        <v>22.6</v>
      </c>
      <c r="HL1039" s="19">
        <v>24.1</v>
      </c>
      <c r="HM1039" s="19">
        <v>23</v>
      </c>
      <c r="HN1039" s="19">
        <v>22</v>
      </c>
      <c r="HO1039" s="19">
        <v>18.5</v>
      </c>
      <c r="HP1039" s="19">
        <v>21.8</v>
      </c>
      <c r="HQ1039" s="19">
        <v>20.5</v>
      </c>
      <c r="HR1039" s="19">
        <v>19.6</v>
      </c>
      <c r="HS1039" s="19">
        <v>18.6</v>
      </c>
      <c r="HT1039" s="19">
        <v>17.5</v>
      </c>
      <c r="HU1039" s="19">
        <v>16.6</v>
      </c>
      <c r="HV1039" s="19">
        <v>15.5</v>
      </c>
      <c r="HW1039" s="19">
        <v>14.5</v>
      </c>
      <c r="HX1039" s="19">
        <v>13.5</v>
      </c>
      <c r="HY1039" s="19">
        <v>12.5</v>
      </c>
      <c r="HZ1039" s="19">
        <v>10.2</v>
      </c>
      <c r="IA1039" s="19">
        <v>9.2</v>
      </c>
      <c r="IB1039" s="19">
        <v>8.3</v>
      </c>
    </row>
    <row r="1040">
      <c r="A1040" s="2" t="s">
        <v>5265</v>
      </c>
      <c r="B1040" s="2" t="s">
        <v>279</v>
      </c>
      <c r="C1040" s="2" t="s">
        <v>343</v>
      </c>
      <c r="D1040" s="2" t="s">
        <v>297</v>
      </c>
      <c r="E1040" s="2" t="s">
        <v>298</v>
      </c>
      <c r="F1040" s="2" t="s">
        <v>5011</v>
      </c>
      <c r="G1040" s="2" t="s">
        <v>5011</v>
      </c>
      <c r="H1040" s="2" t="s">
        <v>5011</v>
      </c>
      <c r="I1040" s="2" t="s">
        <v>5262</v>
      </c>
      <c r="J1040" s="2" t="s">
        <v>308</v>
      </c>
      <c r="K1040" s="2" t="s">
        <v>5016</v>
      </c>
      <c r="L1040" s="3">
        <v>5.76</v>
      </c>
      <c r="M1040" s="3">
        <v>6.05</v>
      </c>
      <c r="N1040" s="3">
        <v>11.99</v>
      </c>
      <c r="O1040" s="2" t="s">
        <v>230</v>
      </c>
      <c r="P1040" s="2" t="s">
        <v>231</v>
      </c>
      <c r="Q1040" s="2" t="s">
        <v>232</v>
      </c>
      <c r="R1040" s="2" t="s">
        <v>233</v>
      </c>
      <c r="S1040" s="2" t="s">
        <v>5017</v>
      </c>
      <c r="T1040" s="2" t="s">
        <v>5011</v>
      </c>
      <c r="U1040" s="2" t="s">
        <v>711</v>
      </c>
      <c r="V1040" s="2" t="s">
        <v>1268</v>
      </c>
      <c r="W1040" s="2" t="s">
        <v>288</v>
      </c>
      <c r="X1040" s="2" t="s">
        <v>237</v>
      </c>
      <c r="Y1040" s="2" t="s">
        <v>5012</v>
      </c>
      <c r="Z1040" s="4">
        <v>322</v>
      </c>
      <c r="AA1040" s="4">
        <f>=ROUNDDOWN(15.3333333333333,0)</f>
      </c>
      <c r="AB1040" s="5">
        <v>21</v>
      </c>
      <c r="AC1040" s="2" t="s">
        <v>141</v>
      </c>
      <c r="AD1040" s="4">
        <v>160</v>
      </c>
      <c r="AE1040" s="4">
        <v>504</v>
      </c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233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233</v>
      </c>
      <c r="AW1040" s="8" t="s">
        <v>233</v>
      </c>
      <c r="AX1040" s="4" t="s">
        <v>233</v>
      </c>
      <c r="AY1040" s="8" t="s">
        <v>233</v>
      </c>
      <c r="AZ1040" s="7" t="s">
        <v>233</v>
      </c>
      <c r="BA1040" s="7" t="s">
        <v>233</v>
      </c>
      <c r="BB1040" s="7"/>
      <c r="BC1040" s="4" t="s">
        <v>233</v>
      </c>
      <c r="BD1040" s="8" t="s">
        <v>233</v>
      </c>
      <c r="BE1040" s="4" t="s">
        <v>233</v>
      </c>
      <c r="BF1040" s="8" t="s">
        <v>233</v>
      </c>
      <c r="BG1040" s="7" t="s">
        <v>233</v>
      </c>
      <c r="BH1040" s="7" t="s">
        <v>233</v>
      </c>
      <c r="BI1040" s="7"/>
      <c r="BJ1040" s="4">
        <v>106</v>
      </c>
      <c r="BK1040" s="8">
        <v>689.22</v>
      </c>
      <c r="BL1040" s="2" t="s">
        <v>2313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5263</v>
      </c>
      <c r="BV1040" s="2" t="s">
        <v>233</v>
      </c>
      <c r="BW1040" s="2" t="s">
        <v>233</v>
      </c>
      <c r="BX1040" s="2" t="s">
        <v>241</v>
      </c>
      <c r="BY1040" s="2" t="s">
        <v>242</v>
      </c>
      <c r="BZ1040" s="2" t="s">
        <v>230</v>
      </c>
      <c r="CA1040" s="2" t="s">
        <v>5264</v>
      </c>
      <c r="CB1040" s="2" t="s">
        <v>5266</v>
      </c>
      <c r="CC1040" s="2" t="s">
        <v>245</v>
      </c>
      <c r="CD1040" s="2" t="s">
        <v>233</v>
      </c>
      <c r="CE1040" s="4">
        <v>322</v>
      </c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>
        <v>160</v>
      </c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>
        <v>240</v>
      </c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>
        <v>104</v>
      </c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>
        <v>326</v>
      </c>
      <c r="GD1040" s="4">
        <v>301</v>
      </c>
      <c r="GE1040" s="4">
        <v>256</v>
      </c>
      <c r="GF1040" s="4">
        <v>350</v>
      </c>
      <c r="GG1040" s="4">
        <v>269</v>
      </c>
      <c r="GH1040" s="4">
        <v>197</v>
      </c>
      <c r="GI1040" s="4">
        <v>373</v>
      </c>
      <c r="GJ1040" s="4">
        <v>333</v>
      </c>
      <c r="GK1040" s="4">
        <v>297</v>
      </c>
      <c r="GL1040" s="4">
        <v>269</v>
      </c>
      <c r="GM1040" s="4">
        <v>246</v>
      </c>
      <c r="GN1040" s="4">
        <v>224</v>
      </c>
      <c r="GO1040" s="4">
        <v>204</v>
      </c>
      <c r="GP1040" s="4">
        <v>290</v>
      </c>
      <c r="GQ1040" s="4">
        <v>275</v>
      </c>
      <c r="GR1040" s="4">
        <v>257</v>
      </c>
      <c r="GS1040" s="4">
        <v>238</v>
      </c>
      <c r="GT1040" s="4">
        <v>220</v>
      </c>
      <c r="GU1040" s="4">
        <v>203</v>
      </c>
      <c r="GV1040" s="4">
        <v>178</v>
      </c>
      <c r="GW1040" s="4">
        <v>159</v>
      </c>
      <c r="GX1040" s="4">
        <v>138</v>
      </c>
      <c r="GY1040" s="4">
        <v>116</v>
      </c>
      <c r="GZ1040" s="4">
        <v>348</v>
      </c>
      <c r="HA1040" s="4">
        <v>328</v>
      </c>
      <c r="HB1040" s="4">
        <v>305</v>
      </c>
      <c r="HC1040" s="19">
        <v>6</v>
      </c>
      <c r="HD1040" s="19">
        <v>4.6</v>
      </c>
      <c r="HE1040" s="19">
        <v>3.6</v>
      </c>
      <c r="HF1040" s="19">
        <v>5.5</v>
      </c>
      <c r="HG1040" s="19">
        <v>5.1</v>
      </c>
      <c r="HH1040" s="19">
        <v>4.7</v>
      </c>
      <c r="HI1040" s="19">
        <v>11.7</v>
      </c>
      <c r="HJ1040" s="19">
        <v>12.3</v>
      </c>
      <c r="HK1040" s="19">
        <v>12.9</v>
      </c>
      <c r="HL1040" s="19">
        <v>12.8</v>
      </c>
      <c r="HM1040" s="19">
        <v>12.9</v>
      </c>
      <c r="HN1040" s="19">
        <v>12.4</v>
      </c>
      <c r="HO1040" s="19">
        <v>11.3</v>
      </c>
      <c r="HP1040" s="19">
        <v>16.1</v>
      </c>
      <c r="HQ1040" s="19">
        <v>15.3</v>
      </c>
      <c r="HR1040" s="19">
        <v>12.9</v>
      </c>
      <c r="HS1040" s="19">
        <v>11.9</v>
      </c>
      <c r="HT1040" s="19">
        <v>11</v>
      </c>
      <c r="HU1040" s="19">
        <v>9.2</v>
      </c>
      <c r="HV1040" s="19">
        <v>8.5</v>
      </c>
      <c r="HW1040" s="19">
        <v>7.6</v>
      </c>
      <c r="HX1040" s="19">
        <v>6.3</v>
      </c>
      <c r="HY1040" s="19">
        <v>5</v>
      </c>
      <c r="HZ1040" s="19">
        <v>15.1</v>
      </c>
      <c r="IA1040" s="19">
        <v>14.3</v>
      </c>
      <c r="IB1040" s="19">
        <v>12.7</v>
      </c>
    </row>
    <row r="1041">
      <c r="A1041" s="2" t="s">
        <v>5267</v>
      </c>
      <c r="B1041" s="2" t="s">
        <v>811</v>
      </c>
      <c r="C1041" s="2" t="s">
        <v>789</v>
      </c>
      <c r="D1041" s="2" t="s">
        <v>813</v>
      </c>
      <c r="E1041" s="2" t="s">
        <v>814</v>
      </c>
      <c r="F1041" s="2" t="s">
        <v>5268</v>
      </c>
      <c r="G1041" s="2" t="s">
        <v>5268</v>
      </c>
      <c r="H1041" s="2" t="s">
        <v>5268</v>
      </c>
      <c r="I1041" s="2" t="s">
        <v>5269</v>
      </c>
      <c r="J1041" s="2" t="s">
        <v>741</v>
      </c>
      <c r="K1041" s="2" t="s">
        <v>1177</v>
      </c>
      <c r="L1041" s="3">
        <v>28.42</v>
      </c>
      <c r="M1041" s="3">
        <v>29.84</v>
      </c>
      <c r="N1041" s="3">
        <v>64.99</v>
      </c>
      <c r="O1041" s="2" t="s">
        <v>230</v>
      </c>
      <c r="P1041" s="2" t="s">
        <v>231</v>
      </c>
      <c r="Q1041" s="2" t="s">
        <v>232</v>
      </c>
      <c r="R1041" s="2" t="s">
        <v>233</v>
      </c>
      <c r="S1041" s="2" t="s">
        <v>233</v>
      </c>
      <c r="T1041" s="2" t="s">
        <v>233</v>
      </c>
      <c r="U1041" s="2" t="s">
        <v>329</v>
      </c>
      <c r="V1041" s="2" t="s">
        <v>236</v>
      </c>
      <c r="W1041" s="2" t="s">
        <v>237</v>
      </c>
      <c r="X1041" s="2" t="s">
        <v>233</v>
      </c>
      <c r="Y1041" s="2" t="s">
        <v>5270</v>
      </c>
      <c r="Z1041" s="4">
        <v>111</v>
      </c>
      <c r="AA1041" s="4">
        <f>=ROUNDDOWN(29.2105263157895,0)</f>
      </c>
      <c r="AB1041" s="5">
        <v>3.8</v>
      </c>
      <c r="AC1041" s="2" t="s">
        <v>233</v>
      </c>
      <c r="AD1041" s="4"/>
      <c r="AE1041" s="4"/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233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/>
      <c r="AW1041" s="8"/>
      <c r="AX1041" s="4"/>
      <c r="AY1041" s="8"/>
      <c r="AZ1041" s="7"/>
      <c r="BA1041" s="7"/>
      <c r="BB1041" s="7"/>
      <c r="BC1041" s="4"/>
      <c r="BD1041" s="8"/>
      <c r="BE1041" s="4"/>
      <c r="BF1041" s="8"/>
      <c r="BG1041" s="7"/>
      <c r="BH1041" s="7"/>
      <c r="BI1041" s="7"/>
      <c r="BJ1041" s="4">
        <v>14</v>
      </c>
      <c r="BK1041" s="8">
        <v>444.9</v>
      </c>
      <c r="BL1041" s="2" t="s">
        <v>5271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5272</v>
      </c>
      <c r="BV1041" s="2" t="s">
        <v>233</v>
      </c>
      <c r="BW1041" s="2" t="s">
        <v>233</v>
      </c>
      <c r="BX1041" s="2" t="s">
        <v>241</v>
      </c>
      <c r="BY1041" s="2" t="s">
        <v>242</v>
      </c>
      <c r="BZ1041" s="2" t="s">
        <v>230</v>
      </c>
      <c r="CA1041" s="2" t="s">
        <v>2485</v>
      </c>
      <c r="CB1041" s="2" t="s">
        <v>3283</v>
      </c>
      <c r="CC1041" s="2" t="s">
        <v>245</v>
      </c>
      <c r="CD1041" s="2" t="s">
        <v>233</v>
      </c>
      <c r="CE1041" s="4"/>
      <c r="CF1041" s="4">
        <v>111</v>
      </c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>
        <v>124</v>
      </c>
      <c r="GD1041" s="4">
        <v>119</v>
      </c>
      <c r="GE1041" s="4">
        <v>114</v>
      </c>
      <c r="GF1041" s="4">
        <v>109</v>
      </c>
      <c r="GG1041" s="4">
        <v>105</v>
      </c>
      <c r="GH1041" s="4">
        <v>101</v>
      </c>
      <c r="GI1041" s="4">
        <v>96</v>
      </c>
      <c r="GJ1041" s="4">
        <v>92</v>
      </c>
      <c r="GK1041" s="4">
        <v>88</v>
      </c>
      <c r="GL1041" s="4">
        <v>84</v>
      </c>
      <c r="GM1041" s="4">
        <v>80</v>
      </c>
      <c r="GN1041" s="4">
        <v>76</v>
      </c>
      <c r="GO1041" s="4">
        <v>72</v>
      </c>
      <c r="GP1041" s="4">
        <v>68</v>
      </c>
      <c r="GQ1041" s="4">
        <v>64</v>
      </c>
      <c r="GR1041" s="4">
        <v>60</v>
      </c>
      <c r="GS1041" s="4">
        <v>56</v>
      </c>
      <c r="GT1041" s="4">
        <v>51</v>
      </c>
      <c r="GU1041" s="4">
        <v>47</v>
      </c>
      <c r="GV1041" s="4">
        <v>43</v>
      </c>
      <c r="GW1041" s="4">
        <v>39</v>
      </c>
      <c r="GX1041" s="4">
        <v>35</v>
      </c>
      <c r="GY1041" s="4">
        <v>31</v>
      </c>
      <c r="GZ1041" s="4">
        <v>27</v>
      </c>
      <c r="HA1041" s="4">
        <v>23</v>
      </c>
      <c r="HB1041" s="4">
        <v>19</v>
      </c>
      <c r="HC1041" s="19">
        <v>24.8</v>
      </c>
      <c r="HD1041" s="19">
        <v>29.8</v>
      </c>
      <c r="HE1041" s="19">
        <v>28.5</v>
      </c>
      <c r="HF1041" s="19">
        <v>27.3</v>
      </c>
      <c r="HG1041" s="19">
        <v>26.3</v>
      </c>
      <c r="HH1041" s="19">
        <v>25.3</v>
      </c>
      <c r="HI1041" s="19">
        <v>24</v>
      </c>
      <c r="HJ1041" s="19">
        <v>23</v>
      </c>
      <c r="HK1041" s="19">
        <v>22</v>
      </c>
      <c r="HL1041" s="19">
        <v>21</v>
      </c>
      <c r="HM1041" s="19">
        <v>20</v>
      </c>
      <c r="HN1041" s="19">
        <v>19</v>
      </c>
      <c r="HO1041" s="19">
        <v>18</v>
      </c>
      <c r="HP1041" s="19">
        <v>17</v>
      </c>
      <c r="HQ1041" s="19">
        <v>16</v>
      </c>
      <c r="HR1041" s="19">
        <v>15</v>
      </c>
      <c r="HS1041" s="19">
        <v>14</v>
      </c>
      <c r="HT1041" s="19">
        <v>12.8</v>
      </c>
      <c r="HU1041" s="19">
        <v>11.8</v>
      </c>
      <c r="HV1041" s="19">
        <v>10.8</v>
      </c>
      <c r="HW1041" s="19">
        <v>9.8</v>
      </c>
      <c r="HX1041" s="19">
        <v>8.8</v>
      </c>
      <c r="HY1041" s="19">
        <v>7.8</v>
      </c>
      <c r="HZ1041" s="19">
        <v>6.8</v>
      </c>
      <c r="IA1041" s="19">
        <v>5.8</v>
      </c>
      <c r="IB1041" s="19">
        <v>4.8</v>
      </c>
    </row>
    <row r="1042">
      <c r="A1042" s="2" t="s">
        <v>5273</v>
      </c>
      <c r="B1042" s="2" t="s">
        <v>761</v>
      </c>
      <c r="C1042" s="2" t="s">
        <v>762</v>
      </c>
      <c r="D1042" s="2" t="s">
        <v>1531</v>
      </c>
      <c r="E1042" s="2" t="s">
        <v>1532</v>
      </c>
      <c r="F1042" s="2" t="s">
        <v>5274</v>
      </c>
      <c r="G1042" s="2" t="s">
        <v>5274</v>
      </c>
      <c r="H1042" s="2" t="s">
        <v>233</v>
      </c>
      <c r="I1042" s="2" t="s">
        <v>1536</v>
      </c>
      <c r="J1042" s="2" t="s">
        <v>741</v>
      </c>
      <c r="K1042" s="2" t="s">
        <v>5275</v>
      </c>
      <c r="L1042" s="3">
        <v>194.75</v>
      </c>
      <c r="M1042" s="3">
        <v>204.49</v>
      </c>
      <c r="N1042" s="3">
        <v>409</v>
      </c>
      <c r="O1042" s="2" t="s">
        <v>230</v>
      </c>
      <c r="P1042" s="2" t="s">
        <v>721</v>
      </c>
      <c r="Q1042" s="2" t="s">
        <v>232</v>
      </c>
      <c r="R1042" s="2" t="s">
        <v>233</v>
      </c>
      <c r="S1042" s="2" t="s">
        <v>5276</v>
      </c>
      <c r="T1042" s="2" t="s">
        <v>233</v>
      </c>
      <c r="U1042" s="2" t="s">
        <v>233</v>
      </c>
      <c r="V1042" s="2" t="s">
        <v>236</v>
      </c>
      <c r="W1042" s="2" t="s">
        <v>818</v>
      </c>
      <c r="X1042" s="2" t="s">
        <v>233</v>
      </c>
      <c r="Y1042" s="2" t="s">
        <v>238</v>
      </c>
      <c r="Z1042" s="4">
        <v>92</v>
      </c>
      <c r="AA1042" s="4">
        <f>=ROUNDDOWN(46,0)</f>
      </c>
      <c r="AB1042" s="5">
        <v>2</v>
      </c>
      <c r="AC1042" s="2" t="s">
        <v>233</v>
      </c>
      <c r="AD1042" s="4"/>
      <c r="AE1042" s="4"/>
      <c r="AF1042" s="6">
        <v>66</v>
      </c>
      <c r="AG1042" s="6">
        <v>49</v>
      </c>
      <c r="AH1042" s="7">
        <v>1</v>
      </c>
      <c r="AI1042" s="4"/>
      <c r="AJ1042" s="4">
        <f>=ROUNDDOWN({0},0)</f>
      </c>
      <c r="AK1042" s="5"/>
      <c r="AL1042" s="2" t="s">
        <v>233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/>
      <c r="BD1042" s="8"/>
      <c r="BE1042" s="4"/>
      <c r="BF1042" s="8"/>
      <c r="BG1042" s="7"/>
      <c r="BH1042" s="7"/>
      <c r="BI1042" s="7"/>
      <c r="BJ1042" s="4">
        <v>6</v>
      </c>
      <c r="BK1042" s="8">
        <v>1157.79</v>
      </c>
      <c r="BL1042" s="2" t="s">
        <v>1167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5277</v>
      </c>
      <c r="BV1042" s="2" t="s">
        <v>233</v>
      </c>
      <c r="BW1042" s="2" t="s">
        <v>233</v>
      </c>
      <c r="BX1042" s="2" t="s">
        <v>241</v>
      </c>
      <c r="BY1042" s="2" t="s">
        <v>242</v>
      </c>
      <c r="BZ1042" s="2" t="s">
        <v>230</v>
      </c>
      <c r="CA1042" s="2" t="s">
        <v>5278</v>
      </c>
      <c r="CB1042" s="2" t="s">
        <v>5279</v>
      </c>
      <c r="CC1042" s="2" t="s">
        <v>245</v>
      </c>
      <c r="CD1042" s="2" t="s">
        <v>233</v>
      </c>
      <c r="CE1042" s="4"/>
      <c r="CF1042" s="4">
        <v>92</v>
      </c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>
        <v>93</v>
      </c>
      <c r="GD1042" s="4">
        <v>90</v>
      </c>
      <c r="GE1042" s="4">
        <v>87</v>
      </c>
      <c r="GF1042" s="4">
        <v>85</v>
      </c>
      <c r="GG1042" s="4">
        <v>81</v>
      </c>
      <c r="GH1042" s="4">
        <v>78</v>
      </c>
      <c r="GI1042" s="4">
        <v>76</v>
      </c>
      <c r="GJ1042" s="4">
        <v>75</v>
      </c>
      <c r="GK1042" s="4">
        <v>74</v>
      </c>
      <c r="GL1042" s="4">
        <v>72</v>
      </c>
      <c r="GM1042" s="4">
        <v>71</v>
      </c>
      <c r="GN1042" s="4">
        <v>69</v>
      </c>
      <c r="GO1042" s="4">
        <v>68</v>
      </c>
      <c r="GP1042" s="4">
        <v>67</v>
      </c>
      <c r="GQ1042" s="4">
        <v>65</v>
      </c>
      <c r="GR1042" s="4">
        <v>63</v>
      </c>
      <c r="GS1042" s="4">
        <v>61</v>
      </c>
      <c r="GT1042" s="4">
        <v>59</v>
      </c>
      <c r="GU1042" s="4">
        <v>57</v>
      </c>
      <c r="GV1042" s="4">
        <v>55</v>
      </c>
      <c r="GW1042" s="4">
        <v>53</v>
      </c>
      <c r="GX1042" s="4">
        <v>51</v>
      </c>
      <c r="GY1042" s="4">
        <v>49</v>
      </c>
      <c r="GZ1042" s="4">
        <v>47</v>
      </c>
      <c r="HA1042" s="4">
        <v>45</v>
      </c>
      <c r="HB1042" s="4">
        <v>43</v>
      </c>
      <c r="HC1042" s="19">
        <v>15.5</v>
      </c>
      <c r="HD1042" s="19">
        <v>15</v>
      </c>
      <c r="HE1042" s="19">
        <v>14.5</v>
      </c>
      <c r="HF1042" s="19">
        <v>21.3</v>
      </c>
      <c r="HG1042" s="19">
        <v>20.3</v>
      </c>
      <c r="HH1042" s="19">
        <v>19.5</v>
      </c>
      <c r="HI1042" s="19">
        <v>38</v>
      </c>
      <c r="HJ1042" s="19">
        <v>18.8</v>
      </c>
      <c r="HK1042" s="19">
        <v>18.5</v>
      </c>
      <c r="HL1042" s="19">
        <v>36</v>
      </c>
      <c r="HM1042" s="19">
        <v>17.8</v>
      </c>
      <c r="HN1042" s="19">
        <v>17.3</v>
      </c>
      <c r="HO1042" s="19">
        <v>17</v>
      </c>
      <c r="HP1042" s="19">
        <v>16.8</v>
      </c>
      <c r="HQ1042" s="19">
        <v>16.3</v>
      </c>
      <c r="HR1042" s="19">
        <v>15.8</v>
      </c>
      <c r="HS1042" s="19">
        <v>15.3</v>
      </c>
      <c r="HT1042" s="19">
        <v>14.8</v>
      </c>
      <c r="HU1042" s="19">
        <v>14.3</v>
      </c>
      <c r="HV1042" s="19">
        <v>13.8</v>
      </c>
      <c r="HW1042" s="19">
        <v>13.3</v>
      </c>
      <c r="HX1042" s="19">
        <v>12.8</v>
      </c>
      <c r="HY1042" s="19">
        <v>12.3</v>
      </c>
      <c r="HZ1042" s="19">
        <v>11.8</v>
      </c>
      <c r="IA1042" s="19">
        <v>11.3</v>
      </c>
      <c r="IB1042" s="19">
        <v>10.8</v>
      </c>
    </row>
    <row r="1043">
      <c r="A1043" s="2" t="s">
        <v>5280</v>
      </c>
      <c r="B1043" s="2" t="s">
        <v>736</v>
      </c>
      <c r="C1043" s="2" t="s">
        <v>280</v>
      </c>
      <c r="D1043" s="2" t="s">
        <v>1197</v>
      </c>
      <c r="E1043" s="2" t="s">
        <v>738</v>
      </c>
      <c r="F1043" s="2" t="s">
        <v>5281</v>
      </c>
      <c r="G1043" s="2" t="s">
        <v>5281</v>
      </c>
      <c r="H1043" s="2" t="s">
        <v>5281</v>
      </c>
      <c r="I1043" s="2" t="s">
        <v>4640</v>
      </c>
      <c r="J1043" s="2" t="s">
        <v>741</v>
      </c>
      <c r="K1043" s="2" t="s">
        <v>229</v>
      </c>
      <c r="L1043" s="3">
        <v>55.77</v>
      </c>
      <c r="M1043" s="3">
        <v>58.56</v>
      </c>
      <c r="N1043" s="3">
        <v>118.99</v>
      </c>
      <c r="O1043" s="2" t="s">
        <v>230</v>
      </c>
      <c r="P1043" s="2" t="s">
        <v>721</v>
      </c>
      <c r="Q1043" s="2" t="s">
        <v>232</v>
      </c>
      <c r="R1043" s="2" t="s">
        <v>233</v>
      </c>
      <c r="S1043" s="2" t="s">
        <v>5282</v>
      </c>
      <c r="T1043" s="2" t="s">
        <v>233</v>
      </c>
      <c r="U1043" s="2" t="s">
        <v>287</v>
      </c>
      <c r="V1043" s="2" t="s">
        <v>1190</v>
      </c>
      <c r="W1043" s="2" t="s">
        <v>1190</v>
      </c>
      <c r="X1043" s="2" t="s">
        <v>233</v>
      </c>
      <c r="Y1043" s="2" t="s">
        <v>1965</v>
      </c>
      <c r="Z1043" s="4">
        <v>49</v>
      </c>
      <c r="AA1043" s="4">
        <f>=ROUNDDOWN(16.3333333333333,0)</f>
      </c>
      <c r="AB1043" s="5">
        <v>3</v>
      </c>
      <c r="AC1043" s="2" t="s">
        <v>233</v>
      </c>
      <c r="AD1043" s="4"/>
      <c r="AE1043" s="4"/>
      <c r="AF1043" s="6">
        <v>63</v>
      </c>
      <c r="AG1043" s="6"/>
      <c r="AH1043" s="7">
        <v>1</v>
      </c>
      <c r="AI1043" s="4"/>
      <c r="AJ1043" s="4">
        <f>=ROUNDDOWN({0},0)</f>
      </c>
      <c r="AK1043" s="5"/>
      <c r="AL1043" s="2" t="s">
        <v>233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/>
      <c r="AW1043" s="8"/>
      <c r="AX1043" s="4"/>
      <c r="AY1043" s="8"/>
      <c r="AZ1043" s="7"/>
      <c r="BA1043" s="7"/>
      <c r="BB1043" s="7"/>
      <c r="BC1043" s="4"/>
      <c r="BD1043" s="8"/>
      <c r="BE1043" s="4"/>
      <c r="BF1043" s="8"/>
      <c r="BG1043" s="7"/>
      <c r="BH1043" s="7"/>
      <c r="BI1043" s="7"/>
      <c r="BJ1043" s="4">
        <v>10</v>
      </c>
      <c r="BK1043" s="8">
        <v>643.28</v>
      </c>
      <c r="BL1043" s="2" t="s">
        <v>5283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5284</v>
      </c>
      <c r="BV1043" s="2" t="s">
        <v>233</v>
      </c>
      <c r="BW1043" s="2" t="s">
        <v>233</v>
      </c>
      <c r="BX1043" s="2" t="s">
        <v>241</v>
      </c>
      <c r="BY1043" s="2" t="s">
        <v>242</v>
      </c>
      <c r="BZ1043" s="2" t="s">
        <v>230</v>
      </c>
      <c r="CA1043" s="2" t="s">
        <v>1968</v>
      </c>
      <c r="CB1043" s="2" t="s">
        <v>1207</v>
      </c>
      <c r="CC1043" s="2" t="s">
        <v>245</v>
      </c>
      <c r="CD1043" s="2" t="s">
        <v>233</v>
      </c>
      <c r="CE1043" s="4"/>
      <c r="CF1043" s="4">
        <v>49</v>
      </c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>
        <v>50</v>
      </c>
      <c r="GD1043" s="4">
        <v>43</v>
      </c>
      <c r="GE1043" s="4">
        <v>40</v>
      </c>
      <c r="GF1043" s="4">
        <v>37</v>
      </c>
      <c r="GG1043" s="4">
        <v>33</v>
      </c>
      <c r="GH1043" s="4">
        <v>30</v>
      </c>
      <c r="GI1043" s="4">
        <v>26</v>
      </c>
      <c r="GJ1043" s="4">
        <v>23</v>
      </c>
      <c r="GK1043" s="4">
        <v>20</v>
      </c>
      <c r="GL1043" s="4">
        <v>17</v>
      </c>
      <c r="GM1043" s="4">
        <v>14</v>
      </c>
      <c r="GN1043" s="4">
        <v>11</v>
      </c>
      <c r="GO1043" s="4">
        <v>8</v>
      </c>
      <c r="GP1043" s="4">
        <v>5</v>
      </c>
      <c r="GQ1043" s="4">
        <v>2</v>
      </c>
      <c r="GR1043" s="4"/>
      <c r="GS1043" s="4"/>
      <c r="GT1043" s="4">
        <v>102</v>
      </c>
      <c r="GU1043" s="4">
        <v>96</v>
      </c>
      <c r="GV1043" s="4">
        <v>93</v>
      </c>
      <c r="GW1043" s="4">
        <v>90</v>
      </c>
      <c r="GX1043" s="4">
        <v>87</v>
      </c>
      <c r="GY1043" s="4">
        <v>84</v>
      </c>
      <c r="GZ1043" s="4">
        <v>81</v>
      </c>
      <c r="HA1043" s="4">
        <v>78</v>
      </c>
      <c r="HB1043" s="4">
        <v>75</v>
      </c>
      <c r="HC1043" s="19">
        <v>12.5</v>
      </c>
      <c r="HD1043" s="19">
        <v>14.3</v>
      </c>
      <c r="HE1043" s="19">
        <v>10</v>
      </c>
      <c r="HF1043" s="19">
        <v>9.3</v>
      </c>
      <c r="HG1043" s="19">
        <v>11</v>
      </c>
      <c r="HH1043" s="19">
        <v>10</v>
      </c>
      <c r="HI1043" s="19">
        <v>8.7</v>
      </c>
      <c r="HJ1043" s="19">
        <v>7.7</v>
      </c>
      <c r="HK1043" s="19">
        <v>6.7</v>
      </c>
      <c r="HL1043" s="19">
        <v>5.7</v>
      </c>
      <c r="HM1043" s="19">
        <v>4.7</v>
      </c>
      <c r="HN1043" s="19">
        <v>3.7</v>
      </c>
      <c r="HO1043" s="19">
        <v>4</v>
      </c>
      <c r="HP1043" s="19">
        <v>2.5</v>
      </c>
      <c r="HQ1043" s="19">
        <v>0.7</v>
      </c>
      <c r="HR1043" s="20">
        <v>0</v>
      </c>
      <c r="HS1043" s="20">
        <v>0</v>
      </c>
      <c r="HT1043" s="19">
        <v>25.5</v>
      </c>
      <c r="HU1043" s="19">
        <v>32</v>
      </c>
      <c r="HV1043" s="19">
        <v>31</v>
      </c>
      <c r="HW1043" s="19">
        <v>30</v>
      </c>
      <c r="HX1043" s="19">
        <v>29</v>
      </c>
      <c r="HY1043" s="19">
        <v>28</v>
      </c>
      <c r="HZ1043" s="19">
        <v>27</v>
      </c>
      <c r="IA1043" s="19">
        <v>26</v>
      </c>
      <c r="IB1043" s="19">
        <v>25</v>
      </c>
    </row>
    <row r="1044">
      <c r="A1044" s="2" t="s">
        <v>5285</v>
      </c>
      <c r="B1044" s="2" t="s">
        <v>847</v>
      </c>
      <c r="C1044" s="2" t="s">
        <v>848</v>
      </c>
      <c r="D1044" s="2" t="s">
        <v>849</v>
      </c>
      <c r="E1044" s="2" t="s">
        <v>850</v>
      </c>
      <c r="F1044" s="2" t="s">
        <v>5286</v>
      </c>
      <c r="G1044" s="2" t="s">
        <v>5286</v>
      </c>
      <c r="H1044" s="2" t="s">
        <v>5286</v>
      </c>
      <c r="I1044" s="2" t="s">
        <v>5287</v>
      </c>
      <c r="J1044" s="2" t="s">
        <v>5288</v>
      </c>
      <c r="K1044" s="2" t="s">
        <v>300</v>
      </c>
      <c r="L1044" s="3">
        <v>18.75</v>
      </c>
      <c r="M1044" s="3">
        <v>19.69</v>
      </c>
      <c r="N1044" s="3">
        <v>39.99</v>
      </c>
      <c r="O1044" s="2" t="s">
        <v>230</v>
      </c>
      <c r="P1044" s="2" t="s">
        <v>721</v>
      </c>
      <c r="Q1044" s="2" t="s">
        <v>232</v>
      </c>
      <c r="R1044" s="2" t="s">
        <v>233</v>
      </c>
      <c r="S1044" s="2" t="s">
        <v>233</v>
      </c>
      <c r="T1044" s="2" t="s">
        <v>233</v>
      </c>
      <c r="U1044" s="2" t="s">
        <v>329</v>
      </c>
      <c r="V1044" s="2" t="s">
        <v>609</v>
      </c>
      <c r="W1044" s="2" t="s">
        <v>233</v>
      </c>
      <c r="X1044" s="2" t="s">
        <v>233</v>
      </c>
      <c r="Y1044" s="2" t="s">
        <v>3976</v>
      </c>
      <c r="Z1044" s="4">
        <v>1046</v>
      </c>
      <c r="AA1044" s="4">
        <f>=ROUNDDOWN(180.344827586207,0)</f>
      </c>
      <c r="AB1044" s="5">
        <v>5.8</v>
      </c>
      <c r="AC1044" s="2" t="s">
        <v>233</v>
      </c>
      <c r="AD1044" s="4"/>
      <c r="AE1044" s="4"/>
      <c r="AF1044" s="6">
        <v>64</v>
      </c>
      <c r="AG1044" s="6"/>
      <c r="AH1044" s="7">
        <v>1</v>
      </c>
      <c r="AI1044" s="4"/>
      <c r="AJ1044" s="4">
        <f>=ROUNDDOWN({0},0)</f>
      </c>
      <c r="AK1044" s="5"/>
      <c r="AL1044" s="2" t="s">
        <v>233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233</v>
      </c>
      <c r="AW1044" s="8" t="s">
        <v>233</v>
      </c>
      <c r="AX1044" s="4" t="s">
        <v>233</v>
      </c>
      <c r="AY1044" s="8" t="s">
        <v>233</v>
      </c>
      <c r="AZ1044" s="7" t="s">
        <v>233</v>
      </c>
      <c r="BA1044" s="7" t="s">
        <v>233</v>
      </c>
      <c r="BB1044" s="7"/>
      <c r="BC1044" s="4" t="s">
        <v>233</v>
      </c>
      <c r="BD1044" s="8" t="s">
        <v>233</v>
      </c>
      <c r="BE1044" s="4" t="s">
        <v>233</v>
      </c>
      <c r="BF1044" s="8" t="s">
        <v>233</v>
      </c>
      <c r="BG1044" s="7" t="s">
        <v>233</v>
      </c>
      <c r="BH1044" s="7" t="s">
        <v>233</v>
      </c>
      <c r="BI1044" s="7"/>
      <c r="BJ1044" s="4">
        <v>78</v>
      </c>
      <c r="BK1044" s="8">
        <v>1576.06</v>
      </c>
      <c r="BL1044" s="2" t="s">
        <v>3195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5289</v>
      </c>
      <c r="BV1044" s="2" t="s">
        <v>233</v>
      </c>
      <c r="BW1044" s="2" t="s">
        <v>233</v>
      </c>
      <c r="BX1044" s="2" t="s">
        <v>241</v>
      </c>
      <c r="BY1044" s="2" t="s">
        <v>242</v>
      </c>
      <c r="BZ1044" s="2" t="s">
        <v>230</v>
      </c>
      <c r="CA1044" s="2" t="s">
        <v>3197</v>
      </c>
      <c r="CB1044" s="2" t="s">
        <v>4078</v>
      </c>
      <c r="CC1044" s="2" t="s">
        <v>245</v>
      </c>
      <c r="CD1044" s="2" t="s">
        <v>233</v>
      </c>
      <c r="CE1044" s="4"/>
      <c r="CF1044" s="4">
        <v>1046</v>
      </c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>
        <v>1213</v>
      </c>
      <c r="GD1044" s="4">
        <v>1209</v>
      </c>
      <c r="GE1044" s="4">
        <v>1205</v>
      </c>
      <c r="GF1044" s="4">
        <v>1201</v>
      </c>
      <c r="GG1044" s="4">
        <v>1196</v>
      </c>
      <c r="GH1044" s="4">
        <v>1191</v>
      </c>
      <c r="GI1044" s="4">
        <v>1185</v>
      </c>
      <c r="GJ1044" s="4">
        <v>1158</v>
      </c>
      <c r="GK1044" s="4">
        <v>1155</v>
      </c>
      <c r="GL1044" s="4">
        <v>1152</v>
      </c>
      <c r="GM1044" s="4">
        <v>1148</v>
      </c>
      <c r="GN1044" s="4">
        <v>1144</v>
      </c>
      <c r="GO1044" s="4">
        <v>1140</v>
      </c>
      <c r="GP1044" s="4">
        <v>1136</v>
      </c>
      <c r="GQ1044" s="4">
        <v>1132</v>
      </c>
      <c r="GR1044" s="4">
        <v>1129</v>
      </c>
      <c r="GS1044" s="4">
        <v>1126</v>
      </c>
      <c r="GT1044" s="4">
        <v>1123</v>
      </c>
      <c r="GU1044" s="4">
        <v>1120</v>
      </c>
      <c r="GV1044" s="4">
        <v>1117</v>
      </c>
      <c r="GW1044" s="4">
        <v>1114</v>
      </c>
      <c r="GX1044" s="4">
        <v>1111</v>
      </c>
      <c r="GY1044" s="4">
        <v>1106</v>
      </c>
      <c r="GZ1044" s="4">
        <v>1100</v>
      </c>
      <c r="HA1044" s="4">
        <v>1094</v>
      </c>
      <c r="HB1044" s="4">
        <v>1088</v>
      </c>
      <c r="HC1044" s="19">
        <v>303.3</v>
      </c>
      <c r="HD1044" s="19">
        <v>302.3</v>
      </c>
      <c r="HE1044" s="19">
        <v>241</v>
      </c>
      <c r="HF1044" s="19">
        <v>109.2</v>
      </c>
      <c r="HG1044" s="19">
        <v>119.6</v>
      </c>
      <c r="HH1044" s="19">
        <v>119.1</v>
      </c>
      <c r="HI1044" s="19">
        <v>131.7</v>
      </c>
      <c r="HJ1044" s="19">
        <v>289.5</v>
      </c>
      <c r="HK1044" s="19">
        <v>288.8</v>
      </c>
      <c r="HL1044" s="19">
        <v>288</v>
      </c>
      <c r="HM1044" s="19">
        <v>287</v>
      </c>
      <c r="HN1044" s="19">
        <v>286</v>
      </c>
      <c r="HO1044" s="19">
        <v>285</v>
      </c>
      <c r="HP1044" s="19">
        <v>378.7</v>
      </c>
      <c r="HQ1044" s="19">
        <v>377.3</v>
      </c>
      <c r="HR1044" s="19">
        <v>376.3</v>
      </c>
      <c r="HS1044" s="19">
        <v>375.3</v>
      </c>
      <c r="HT1044" s="19">
        <v>374.3</v>
      </c>
      <c r="HU1044" s="19">
        <v>280</v>
      </c>
      <c r="HV1044" s="19">
        <v>279.3</v>
      </c>
      <c r="HW1044" s="19">
        <v>222.8</v>
      </c>
      <c r="HX1044" s="19">
        <v>185.2</v>
      </c>
      <c r="HY1044" s="19">
        <v>184.3</v>
      </c>
      <c r="HZ1044" s="19">
        <v>183.3</v>
      </c>
      <c r="IA1044" s="19">
        <v>182.3</v>
      </c>
      <c r="IB1044" s="19">
        <v>181.3</v>
      </c>
    </row>
    <row r="1045">
      <c r="A1045" s="2" t="s">
        <v>5290</v>
      </c>
      <c r="B1045" s="2" t="s">
        <v>847</v>
      </c>
      <c r="C1045" s="2" t="s">
        <v>848</v>
      </c>
      <c r="D1045" s="2" t="s">
        <v>849</v>
      </c>
      <c r="E1045" s="2" t="s">
        <v>850</v>
      </c>
      <c r="F1045" s="2" t="s">
        <v>5286</v>
      </c>
      <c r="G1045" s="2" t="s">
        <v>5286</v>
      </c>
      <c r="H1045" s="2" t="s">
        <v>5286</v>
      </c>
      <c r="I1045" s="2" t="s">
        <v>5287</v>
      </c>
      <c r="J1045" s="2" t="s">
        <v>5291</v>
      </c>
      <c r="K1045" s="2" t="s">
        <v>300</v>
      </c>
      <c r="L1045" s="3">
        <v>24.25</v>
      </c>
      <c r="M1045" s="3">
        <v>25.46</v>
      </c>
      <c r="N1045" s="3">
        <v>49.99</v>
      </c>
      <c r="O1045" s="2" t="s">
        <v>230</v>
      </c>
      <c r="P1045" s="2" t="s">
        <v>721</v>
      </c>
      <c r="Q1045" s="2" t="s">
        <v>232</v>
      </c>
      <c r="R1045" s="2" t="s">
        <v>233</v>
      </c>
      <c r="S1045" s="2" t="s">
        <v>233</v>
      </c>
      <c r="T1045" s="2" t="s">
        <v>233</v>
      </c>
      <c r="U1045" s="2" t="s">
        <v>329</v>
      </c>
      <c r="V1045" s="2" t="s">
        <v>609</v>
      </c>
      <c r="W1045" s="2" t="s">
        <v>233</v>
      </c>
      <c r="X1045" s="2" t="s">
        <v>233</v>
      </c>
      <c r="Y1045" s="2" t="s">
        <v>3980</v>
      </c>
      <c r="Z1045" s="4">
        <v>1780</v>
      </c>
      <c r="AA1045" s="4">
        <f>=ROUNDDOWN(1483.33333333333,0)</f>
      </c>
      <c r="AB1045" s="5">
        <v>1.2</v>
      </c>
      <c r="AC1045" s="2" t="s">
        <v>233</v>
      </c>
      <c r="AD1045" s="4"/>
      <c r="AE1045" s="4"/>
      <c r="AF1045" s="6">
        <v>64</v>
      </c>
      <c r="AG1045" s="6"/>
      <c r="AH1045" s="7">
        <v>1</v>
      </c>
      <c r="AI1045" s="4"/>
      <c r="AJ1045" s="4">
        <f>=ROUNDDOWN({0},0)</f>
      </c>
      <c r="AK1045" s="5"/>
      <c r="AL1045" s="2" t="s">
        <v>233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233</v>
      </c>
      <c r="AW1045" s="8" t="s">
        <v>233</v>
      </c>
      <c r="AX1045" s="4" t="s">
        <v>233</v>
      </c>
      <c r="AY1045" s="8" t="s">
        <v>233</v>
      </c>
      <c r="AZ1045" s="7" t="s">
        <v>233</v>
      </c>
      <c r="BA1045" s="7" t="s">
        <v>233</v>
      </c>
      <c r="BB1045" s="7"/>
      <c r="BC1045" s="4" t="s">
        <v>233</v>
      </c>
      <c r="BD1045" s="8" t="s">
        <v>233</v>
      </c>
      <c r="BE1045" s="4" t="s">
        <v>233</v>
      </c>
      <c r="BF1045" s="8" t="s">
        <v>233</v>
      </c>
      <c r="BG1045" s="7" t="s">
        <v>233</v>
      </c>
      <c r="BH1045" s="7" t="s">
        <v>233</v>
      </c>
      <c r="BI1045" s="7"/>
      <c r="BJ1045" s="4">
        <v>6</v>
      </c>
      <c r="BK1045" s="8">
        <v>154.04</v>
      </c>
      <c r="BL1045" s="2" t="s">
        <v>3201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5289</v>
      </c>
      <c r="BV1045" s="2" t="s">
        <v>233</v>
      </c>
      <c r="BW1045" s="2" t="s">
        <v>233</v>
      </c>
      <c r="BX1045" s="2" t="s">
        <v>241</v>
      </c>
      <c r="BY1045" s="2" t="s">
        <v>242</v>
      </c>
      <c r="BZ1045" s="2" t="s">
        <v>230</v>
      </c>
      <c r="CA1045" s="2" t="s">
        <v>3197</v>
      </c>
      <c r="CB1045" s="2" t="s">
        <v>5292</v>
      </c>
      <c r="CC1045" s="2" t="s">
        <v>245</v>
      </c>
      <c r="CD1045" s="2" t="s">
        <v>233</v>
      </c>
      <c r="CE1045" s="4"/>
      <c r="CF1045" s="4">
        <v>1780</v>
      </c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>
        <v>1780</v>
      </c>
      <c r="GD1045" s="4">
        <v>1768</v>
      </c>
      <c r="GE1045" s="4">
        <v>1766</v>
      </c>
      <c r="GF1045" s="4">
        <v>1764</v>
      </c>
      <c r="GG1045" s="4">
        <v>1761</v>
      </c>
      <c r="GH1045" s="4">
        <v>1758</v>
      </c>
      <c r="GI1045" s="4">
        <v>1755</v>
      </c>
      <c r="GJ1045" s="4">
        <v>1752</v>
      </c>
      <c r="GK1045" s="4">
        <v>1750</v>
      </c>
      <c r="GL1045" s="4">
        <v>1748</v>
      </c>
      <c r="GM1045" s="4">
        <v>1746</v>
      </c>
      <c r="GN1045" s="4">
        <v>1744</v>
      </c>
      <c r="GO1045" s="4">
        <v>1742</v>
      </c>
      <c r="GP1045" s="4">
        <v>1740</v>
      </c>
      <c r="GQ1045" s="4">
        <v>1738</v>
      </c>
      <c r="GR1045" s="4">
        <v>1736</v>
      </c>
      <c r="GS1045" s="4">
        <v>1734</v>
      </c>
      <c r="GT1045" s="4">
        <v>1732</v>
      </c>
      <c r="GU1045" s="4">
        <v>1730</v>
      </c>
      <c r="GV1045" s="4">
        <v>1728</v>
      </c>
      <c r="GW1045" s="4">
        <v>1726</v>
      </c>
      <c r="GX1045" s="4">
        <v>1724</v>
      </c>
      <c r="GY1045" s="4">
        <v>1722</v>
      </c>
      <c r="GZ1045" s="4">
        <v>1720</v>
      </c>
      <c r="HA1045" s="4">
        <v>1718</v>
      </c>
      <c r="HB1045" s="4">
        <v>1716</v>
      </c>
      <c r="HC1045" s="19">
        <v>356</v>
      </c>
      <c r="HD1045" s="19">
        <v>884</v>
      </c>
      <c r="HE1045" s="19">
        <v>588.7</v>
      </c>
      <c r="HF1045" s="19">
        <v>588</v>
      </c>
      <c r="HG1045" s="19">
        <v>587</v>
      </c>
      <c r="HH1045" s="19">
        <v>879</v>
      </c>
      <c r="HI1045" s="19">
        <v>877.5</v>
      </c>
      <c r="HJ1045" s="19">
        <v>876</v>
      </c>
      <c r="HK1045" s="19">
        <v>875</v>
      </c>
      <c r="HL1045" s="19">
        <v>874</v>
      </c>
      <c r="HM1045" s="19">
        <v>873</v>
      </c>
      <c r="HN1045" s="19">
        <v>872</v>
      </c>
      <c r="HO1045" s="19">
        <v>871</v>
      </c>
      <c r="HP1045" s="19">
        <v>870</v>
      </c>
      <c r="HQ1045" s="19">
        <v>869</v>
      </c>
      <c r="HR1045" s="19">
        <v>868</v>
      </c>
      <c r="HS1045" s="19">
        <v>867</v>
      </c>
      <c r="HT1045" s="19">
        <v>866</v>
      </c>
      <c r="HU1045" s="19">
        <v>865</v>
      </c>
      <c r="HV1045" s="19">
        <v>864</v>
      </c>
      <c r="HW1045" s="19">
        <v>863</v>
      </c>
      <c r="HX1045" s="19">
        <v>862</v>
      </c>
      <c r="HY1045" s="19">
        <v>861</v>
      </c>
      <c r="HZ1045" s="19">
        <v>860</v>
      </c>
      <c r="IA1045" s="19">
        <v>859</v>
      </c>
      <c r="IB1045" s="19">
        <v>858</v>
      </c>
    </row>
    <row r="1046">
      <c r="A1046" s="2" t="s">
        <v>5293</v>
      </c>
      <c r="B1046" s="2" t="s">
        <v>847</v>
      </c>
      <c r="C1046" s="2" t="s">
        <v>848</v>
      </c>
      <c r="D1046" s="2" t="s">
        <v>849</v>
      </c>
      <c r="E1046" s="2" t="s">
        <v>850</v>
      </c>
      <c r="F1046" s="2" t="s">
        <v>5286</v>
      </c>
      <c r="G1046" s="2" t="s">
        <v>5286</v>
      </c>
      <c r="H1046" s="2" t="s">
        <v>5286</v>
      </c>
      <c r="I1046" s="2" t="s">
        <v>5287</v>
      </c>
      <c r="J1046" s="2" t="s">
        <v>5294</v>
      </c>
      <c r="K1046" s="2" t="s">
        <v>300</v>
      </c>
      <c r="L1046" s="3">
        <v>33.5</v>
      </c>
      <c r="M1046" s="3">
        <v>35.18</v>
      </c>
      <c r="N1046" s="3">
        <v>69.99</v>
      </c>
      <c r="O1046" s="2" t="s">
        <v>230</v>
      </c>
      <c r="P1046" s="2" t="s">
        <v>721</v>
      </c>
      <c r="Q1046" s="2" t="s">
        <v>232</v>
      </c>
      <c r="R1046" s="2" t="s">
        <v>233</v>
      </c>
      <c r="S1046" s="2" t="s">
        <v>233</v>
      </c>
      <c r="T1046" s="2" t="s">
        <v>233</v>
      </c>
      <c r="U1046" s="2" t="s">
        <v>329</v>
      </c>
      <c r="V1046" s="2" t="s">
        <v>609</v>
      </c>
      <c r="W1046" s="2" t="s">
        <v>233</v>
      </c>
      <c r="X1046" s="2" t="s">
        <v>233</v>
      </c>
      <c r="Y1046" s="2" t="s">
        <v>3976</v>
      </c>
      <c r="Z1046" s="4">
        <v>1867</v>
      </c>
      <c r="AA1046" s="4">
        <f>=ROUNDDOWN(811.739130434783,0)</f>
      </c>
      <c r="AB1046" s="5">
        <v>2.3</v>
      </c>
      <c r="AC1046" s="2" t="s">
        <v>233</v>
      </c>
      <c r="AD1046" s="4"/>
      <c r="AE1046" s="4"/>
      <c r="AF1046" s="6">
        <v>64</v>
      </c>
      <c r="AG1046" s="6"/>
      <c r="AH1046" s="7">
        <v>1</v>
      </c>
      <c r="AI1046" s="4"/>
      <c r="AJ1046" s="4">
        <f>=ROUNDDOWN({0},0)</f>
      </c>
      <c r="AK1046" s="5"/>
      <c r="AL1046" s="2" t="s">
        <v>233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233</v>
      </c>
      <c r="AW1046" s="8" t="s">
        <v>233</v>
      </c>
      <c r="AX1046" s="4" t="s">
        <v>233</v>
      </c>
      <c r="AY1046" s="8" t="s">
        <v>233</v>
      </c>
      <c r="AZ1046" s="7" t="s">
        <v>233</v>
      </c>
      <c r="BA1046" s="7" t="s">
        <v>233</v>
      </c>
      <c r="BB1046" s="7"/>
      <c r="BC1046" s="4" t="s">
        <v>233</v>
      </c>
      <c r="BD1046" s="8" t="s">
        <v>233</v>
      </c>
      <c r="BE1046" s="4" t="s">
        <v>233</v>
      </c>
      <c r="BF1046" s="8" t="s">
        <v>233</v>
      </c>
      <c r="BG1046" s="7" t="s">
        <v>233</v>
      </c>
      <c r="BH1046" s="7" t="s">
        <v>233</v>
      </c>
      <c r="BI1046" s="7"/>
      <c r="BJ1046" s="4">
        <v>12</v>
      </c>
      <c r="BK1046" s="8">
        <v>425.9</v>
      </c>
      <c r="BL1046" s="2" t="s">
        <v>3201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5289</v>
      </c>
      <c r="BV1046" s="2" t="s">
        <v>233</v>
      </c>
      <c r="BW1046" s="2" t="s">
        <v>233</v>
      </c>
      <c r="BX1046" s="2" t="s">
        <v>241</v>
      </c>
      <c r="BY1046" s="2" t="s">
        <v>242</v>
      </c>
      <c r="BZ1046" s="2" t="s">
        <v>230</v>
      </c>
      <c r="CA1046" s="2" t="s">
        <v>3197</v>
      </c>
      <c r="CB1046" s="2" t="s">
        <v>5295</v>
      </c>
      <c r="CC1046" s="2" t="s">
        <v>245</v>
      </c>
      <c r="CD1046" s="2" t="s">
        <v>233</v>
      </c>
      <c r="CE1046" s="4"/>
      <c r="CF1046" s="4">
        <v>1867</v>
      </c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>
        <v>1868</v>
      </c>
      <c r="GD1046" s="4">
        <v>1843</v>
      </c>
      <c r="GE1046" s="4">
        <v>1840</v>
      </c>
      <c r="GF1046" s="4">
        <v>1837</v>
      </c>
      <c r="GG1046" s="4">
        <v>1833</v>
      </c>
      <c r="GH1046" s="4">
        <v>1829</v>
      </c>
      <c r="GI1046" s="4">
        <v>1825</v>
      </c>
      <c r="GJ1046" s="4">
        <v>1821</v>
      </c>
      <c r="GK1046" s="4">
        <v>1818</v>
      </c>
      <c r="GL1046" s="4">
        <v>1815</v>
      </c>
      <c r="GM1046" s="4">
        <v>1812</v>
      </c>
      <c r="GN1046" s="4">
        <v>1809</v>
      </c>
      <c r="GO1046" s="4">
        <v>1806</v>
      </c>
      <c r="GP1046" s="4">
        <v>1803</v>
      </c>
      <c r="GQ1046" s="4">
        <v>1800</v>
      </c>
      <c r="GR1046" s="4">
        <v>1797</v>
      </c>
      <c r="GS1046" s="4">
        <v>1794</v>
      </c>
      <c r="GT1046" s="4">
        <v>1791</v>
      </c>
      <c r="GU1046" s="4">
        <v>1788</v>
      </c>
      <c r="GV1046" s="4">
        <v>1785</v>
      </c>
      <c r="GW1046" s="4">
        <v>1782</v>
      </c>
      <c r="GX1046" s="4">
        <v>1779</v>
      </c>
      <c r="GY1046" s="4">
        <v>1776</v>
      </c>
      <c r="GZ1046" s="4">
        <v>1773</v>
      </c>
      <c r="HA1046" s="4">
        <v>1770</v>
      </c>
      <c r="HB1046" s="4">
        <v>1767</v>
      </c>
      <c r="HC1046" s="19">
        <v>207.6</v>
      </c>
      <c r="HD1046" s="19">
        <v>460.8</v>
      </c>
      <c r="HE1046" s="19">
        <v>460</v>
      </c>
      <c r="HF1046" s="19">
        <v>459.3</v>
      </c>
      <c r="HG1046" s="19">
        <v>458.3</v>
      </c>
      <c r="HH1046" s="19">
        <v>457.3</v>
      </c>
      <c r="HI1046" s="19">
        <v>608.3</v>
      </c>
      <c r="HJ1046" s="19">
        <v>607</v>
      </c>
      <c r="HK1046" s="19">
        <v>606</v>
      </c>
      <c r="HL1046" s="19">
        <v>605</v>
      </c>
      <c r="HM1046" s="19">
        <v>604</v>
      </c>
      <c r="HN1046" s="19">
        <v>603</v>
      </c>
      <c r="HO1046" s="19">
        <v>602</v>
      </c>
      <c r="HP1046" s="19">
        <v>601</v>
      </c>
      <c r="HQ1046" s="19">
        <v>600</v>
      </c>
      <c r="HR1046" s="19">
        <v>599</v>
      </c>
      <c r="HS1046" s="19">
        <v>598</v>
      </c>
      <c r="HT1046" s="19">
        <v>597</v>
      </c>
      <c r="HU1046" s="19">
        <v>596</v>
      </c>
      <c r="HV1046" s="19">
        <v>595</v>
      </c>
      <c r="HW1046" s="19">
        <v>594</v>
      </c>
      <c r="HX1046" s="19">
        <v>593</v>
      </c>
      <c r="HY1046" s="19">
        <v>592</v>
      </c>
      <c r="HZ1046" s="19">
        <v>591</v>
      </c>
      <c r="IA1046" s="19">
        <v>590</v>
      </c>
      <c r="IB1046" s="19">
        <v>589</v>
      </c>
    </row>
    <row r="1047">
      <c r="A1047" s="2" t="s">
        <v>5296</v>
      </c>
      <c r="B1047" s="2" t="s">
        <v>847</v>
      </c>
      <c r="C1047" s="2" t="s">
        <v>848</v>
      </c>
      <c r="D1047" s="2" t="s">
        <v>849</v>
      </c>
      <c r="E1047" s="2" t="s">
        <v>850</v>
      </c>
      <c r="F1047" s="2" t="s">
        <v>5286</v>
      </c>
      <c r="G1047" s="2" t="s">
        <v>5286</v>
      </c>
      <c r="H1047" s="2" t="s">
        <v>5286</v>
      </c>
      <c r="I1047" s="2" t="s">
        <v>5287</v>
      </c>
      <c r="J1047" s="2" t="s">
        <v>5288</v>
      </c>
      <c r="K1047" s="2" t="s">
        <v>1014</v>
      </c>
      <c r="L1047" s="3">
        <v>18.75</v>
      </c>
      <c r="M1047" s="3">
        <v>19.69</v>
      </c>
      <c r="N1047" s="3">
        <v>39.99</v>
      </c>
      <c r="O1047" s="2" t="s">
        <v>230</v>
      </c>
      <c r="P1047" s="2" t="s">
        <v>721</v>
      </c>
      <c r="Q1047" s="2" t="s">
        <v>232</v>
      </c>
      <c r="R1047" s="2" t="s">
        <v>233</v>
      </c>
      <c r="S1047" s="2" t="s">
        <v>233</v>
      </c>
      <c r="T1047" s="2" t="s">
        <v>233</v>
      </c>
      <c r="U1047" s="2" t="s">
        <v>329</v>
      </c>
      <c r="V1047" s="2" t="s">
        <v>609</v>
      </c>
      <c r="W1047" s="2" t="s">
        <v>233</v>
      </c>
      <c r="X1047" s="2" t="s">
        <v>233</v>
      </c>
      <c r="Y1047" s="2" t="s">
        <v>3976</v>
      </c>
      <c r="Z1047" s="4">
        <v>713</v>
      </c>
      <c r="AA1047" s="4">
        <f>=ROUNDDOWN(245.862068965517,0)</f>
      </c>
      <c r="AB1047" s="5">
        <v>2.9</v>
      </c>
      <c r="AC1047" s="2" t="s">
        <v>233</v>
      </c>
      <c r="AD1047" s="4"/>
      <c r="AE1047" s="4"/>
      <c r="AF1047" s="6">
        <v>64</v>
      </c>
      <c r="AG1047" s="6"/>
      <c r="AH1047" s="7">
        <v>1</v>
      </c>
      <c r="AI1047" s="4"/>
      <c r="AJ1047" s="4">
        <f>=ROUNDDOWN({0},0)</f>
      </c>
      <c r="AK1047" s="5"/>
      <c r="AL1047" s="2" t="s">
        <v>233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233</v>
      </c>
      <c r="AW1047" s="8" t="s">
        <v>233</v>
      </c>
      <c r="AX1047" s="4" t="s">
        <v>233</v>
      </c>
      <c r="AY1047" s="8" t="s">
        <v>233</v>
      </c>
      <c r="AZ1047" s="7" t="s">
        <v>233</v>
      </c>
      <c r="BA1047" s="7" t="s">
        <v>233</v>
      </c>
      <c r="BB1047" s="7"/>
      <c r="BC1047" s="4" t="s">
        <v>233</v>
      </c>
      <c r="BD1047" s="8" t="s">
        <v>233</v>
      </c>
      <c r="BE1047" s="4" t="s">
        <v>233</v>
      </c>
      <c r="BF1047" s="8" t="s">
        <v>233</v>
      </c>
      <c r="BG1047" s="7" t="s">
        <v>233</v>
      </c>
      <c r="BH1047" s="7" t="s">
        <v>233</v>
      </c>
      <c r="BI1047" s="7"/>
      <c r="BJ1047" s="4">
        <v>23</v>
      </c>
      <c r="BK1047" s="8">
        <v>474.26</v>
      </c>
      <c r="BL1047" s="2" t="s">
        <v>1996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5289</v>
      </c>
      <c r="BV1047" s="2" t="s">
        <v>233</v>
      </c>
      <c r="BW1047" s="2" t="s">
        <v>233</v>
      </c>
      <c r="BX1047" s="2" t="s">
        <v>241</v>
      </c>
      <c r="BY1047" s="2" t="s">
        <v>242</v>
      </c>
      <c r="BZ1047" s="2" t="s">
        <v>230</v>
      </c>
      <c r="CA1047" s="2" t="s">
        <v>3197</v>
      </c>
      <c r="CB1047" s="2" t="s">
        <v>4983</v>
      </c>
      <c r="CC1047" s="2" t="s">
        <v>245</v>
      </c>
      <c r="CD1047" s="2" t="s">
        <v>233</v>
      </c>
      <c r="CE1047" s="4"/>
      <c r="CF1047" s="4">
        <v>713</v>
      </c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>
        <v>713</v>
      </c>
      <c r="GD1047" s="4">
        <v>679</v>
      </c>
      <c r="GE1047" s="4">
        <v>676</v>
      </c>
      <c r="GF1047" s="4">
        <v>672</v>
      </c>
      <c r="GG1047" s="4">
        <v>668</v>
      </c>
      <c r="GH1047" s="4">
        <v>664</v>
      </c>
      <c r="GI1047" s="4">
        <v>660</v>
      </c>
      <c r="GJ1047" s="4">
        <v>656</v>
      </c>
      <c r="GK1047" s="4">
        <v>653</v>
      </c>
      <c r="GL1047" s="4">
        <v>650</v>
      </c>
      <c r="GM1047" s="4">
        <v>647</v>
      </c>
      <c r="GN1047" s="4">
        <v>644</v>
      </c>
      <c r="GO1047" s="4">
        <v>641</v>
      </c>
      <c r="GP1047" s="4">
        <v>638</v>
      </c>
      <c r="GQ1047" s="4">
        <v>635</v>
      </c>
      <c r="GR1047" s="4">
        <v>632</v>
      </c>
      <c r="GS1047" s="4">
        <v>629</v>
      </c>
      <c r="GT1047" s="4">
        <v>626</v>
      </c>
      <c r="GU1047" s="4">
        <v>623</v>
      </c>
      <c r="GV1047" s="4">
        <v>620</v>
      </c>
      <c r="GW1047" s="4">
        <v>617</v>
      </c>
      <c r="GX1047" s="4">
        <v>614</v>
      </c>
      <c r="GY1047" s="4">
        <v>611</v>
      </c>
      <c r="GZ1047" s="4">
        <v>608</v>
      </c>
      <c r="HA1047" s="4">
        <v>605</v>
      </c>
      <c r="HB1047" s="4">
        <v>602</v>
      </c>
      <c r="HC1047" s="19">
        <v>64.8</v>
      </c>
      <c r="HD1047" s="19">
        <v>169.8</v>
      </c>
      <c r="HE1047" s="19">
        <v>169</v>
      </c>
      <c r="HF1047" s="19">
        <v>168</v>
      </c>
      <c r="HG1047" s="19">
        <v>167</v>
      </c>
      <c r="HH1047" s="19">
        <v>166</v>
      </c>
      <c r="HI1047" s="19">
        <v>220</v>
      </c>
      <c r="HJ1047" s="19">
        <v>218.7</v>
      </c>
      <c r="HK1047" s="19">
        <v>217.7</v>
      </c>
      <c r="HL1047" s="19">
        <v>216.7</v>
      </c>
      <c r="HM1047" s="19">
        <v>215.7</v>
      </c>
      <c r="HN1047" s="19">
        <v>214.7</v>
      </c>
      <c r="HO1047" s="19">
        <v>213.7</v>
      </c>
      <c r="HP1047" s="19">
        <v>212.7</v>
      </c>
      <c r="HQ1047" s="19">
        <v>211.7</v>
      </c>
      <c r="HR1047" s="19">
        <v>210.7</v>
      </c>
      <c r="HS1047" s="19">
        <v>209.7</v>
      </c>
      <c r="HT1047" s="19">
        <v>208.7</v>
      </c>
      <c r="HU1047" s="19">
        <v>207.7</v>
      </c>
      <c r="HV1047" s="19">
        <v>206.7</v>
      </c>
      <c r="HW1047" s="19">
        <v>205.7</v>
      </c>
      <c r="HX1047" s="19">
        <v>204.7</v>
      </c>
      <c r="HY1047" s="19">
        <v>203.7</v>
      </c>
      <c r="HZ1047" s="19">
        <v>202.7</v>
      </c>
      <c r="IA1047" s="19">
        <v>201.7</v>
      </c>
      <c r="IB1047" s="19">
        <v>200.7</v>
      </c>
    </row>
    <row r="1048">
      <c r="A1048" s="2" t="s">
        <v>5297</v>
      </c>
      <c r="B1048" s="2" t="s">
        <v>847</v>
      </c>
      <c r="C1048" s="2" t="s">
        <v>848</v>
      </c>
      <c r="D1048" s="2" t="s">
        <v>849</v>
      </c>
      <c r="E1048" s="2" t="s">
        <v>850</v>
      </c>
      <c r="F1048" s="2" t="s">
        <v>5286</v>
      </c>
      <c r="G1048" s="2" t="s">
        <v>5286</v>
      </c>
      <c r="H1048" s="2" t="s">
        <v>5286</v>
      </c>
      <c r="I1048" s="2" t="s">
        <v>5287</v>
      </c>
      <c r="J1048" s="2" t="s">
        <v>5291</v>
      </c>
      <c r="K1048" s="2" t="s">
        <v>1014</v>
      </c>
      <c r="L1048" s="3">
        <v>24.25</v>
      </c>
      <c r="M1048" s="3">
        <v>25.46</v>
      </c>
      <c r="N1048" s="3">
        <v>49.99</v>
      </c>
      <c r="O1048" s="2" t="s">
        <v>230</v>
      </c>
      <c r="P1048" s="2" t="s">
        <v>721</v>
      </c>
      <c r="Q1048" s="2" t="s">
        <v>232</v>
      </c>
      <c r="R1048" s="2" t="s">
        <v>233</v>
      </c>
      <c r="S1048" s="2" t="s">
        <v>233</v>
      </c>
      <c r="T1048" s="2" t="s">
        <v>233</v>
      </c>
      <c r="U1048" s="2" t="s">
        <v>329</v>
      </c>
      <c r="V1048" s="2" t="s">
        <v>609</v>
      </c>
      <c r="W1048" s="2" t="s">
        <v>233</v>
      </c>
      <c r="X1048" s="2" t="s">
        <v>233</v>
      </c>
      <c r="Y1048" s="2" t="s">
        <v>3976</v>
      </c>
      <c r="Z1048" s="4">
        <v>666</v>
      </c>
      <c r="AA1048" s="4">
        <f>=ROUNDDOWN(41.8867924528302,0)</f>
      </c>
      <c r="AB1048" s="5">
        <v>15.9</v>
      </c>
      <c r="AC1048" s="2" t="s">
        <v>233</v>
      </c>
      <c r="AD1048" s="4"/>
      <c r="AE1048" s="4"/>
      <c r="AF1048" s="6">
        <v>64</v>
      </c>
      <c r="AG1048" s="6"/>
      <c r="AH1048" s="7">
        <v>1</v>
      </c>
      <c r="AI1048" s="4"/>
      <c r="AJ1048" s="4">
        <f>=ROUNDDOWN({0},0)</f>
      </c>
      <c r="AK1048" s="5"/>
      <c r="AL1048" s="2" t="s">
        <v>233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233</v>
      </c>
      <c r="AW1048" s="8" t="s">
        <v>233</v>
      </c>
      <c r="AX1048" s="4" t="s">
        <v>233</v>
      </c>
      <c r="AY1048" s="8" t="s">
        <v>233</v>
      </c>
      <c r="AZ1048" s="7" t="s">
        <v>233</v>
      </c>
      <c r="BA1048" s="7" t="s">
        <v>233</v>
      </c>
      <c r="BB1048" s="7"/>
      <c r="BC1048" s="4" t="s">
        <v>233</v>
      </c>
      <c r="BD1048" s="8" t="s">
        <v>233</v>
      </c>
      <c r="BE1048" s="4" t="s">
        <v>233</v>
      </c>
      <c r="BF1048" s="8" t="s">
        <v>233</v>
      </c>
      <c r="BG1048" s="7" t="s">
        <v>233</v>
      </c>
      <c r="BH1048" s="7" t="s">
        <v>233</v>
      </c>
      <c r="BI1048" s="7"/>
      <c r="BJ1048" s="4">
        <v>121</v>
      </c>
      <c r="BK1048" s="8">
        <v>3182.98</v>
      </c>
      <c r="BL1048" s="2" t="s">
        <v>3981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5289</v>
      </c>
      <c r="BV1048" s="2" t="s">
        <v>233</v>
      </c>
      <c r="BW1048" s="2" t="s">
        <v>233</v>
      </c>
      <c r="BX1048" s="2" t="s">
        <v>241</v>
      </c>
      <c r="BY1048" s="2" t="s">
        <v>242</v>
      </c>
      <c r="BZ1048" s="2" t="s">
        <v>230</v>
      </c>
      <c r="CA1048" s="2" t="s">
        <v>3197</v>
      </c>
      <c r="CB1048" s="2" t="s">
        <v>5298</v>
      </c>
      <c r="CC1048" s="2" t="s">
        <v>245</v>
      </c>
      <c r="CD1048" s="2" t="s">
        <v>233</v>
      </c>
      <c r="CE1048" s="4"/>
      <c r="CF1048" s="4">
        <v>666</v>
      </c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>
        <v>696</v>
      </c>
      <c r="GD1048" s="4">
        <v>618</v>
      </c>
      <c r="GE1048" s="4">
        <v>600</v>
      </c>
      <c r="GF1048" s="4">
        <v>580</v>
      </c>
      <c r="GG1048" s="4">
        <v>559</v>
      </c>
      <c r="GH1048" s="4">
        <v>538</v>
      </c>
      <c r="GI1048" s="4">
        <v>516</v>
      </c>
      <c r="GJ1048" s="4">
        <v>495</v>
      </c>
      <c r="GK1048" s="4">
        <v>478</v>
      </c>
      <c r="GL1048" s="4">
        <v>461</v>
      </c>
      <c r="GM1048" s="4">
        <v>443</v>
      </c>
      <c r="GN1048" s="4">
        <v>425</v>
      </c>
      <c r="GO1048" s="4">
        <v>408</v>
      </c>
      <c r="GP1048" s="4">
        <v>391</v>
      </c>
      <c r="GQ1048" s="4">
        <v>374</v>
      </c>
      <c r="GR1048" s="4">
        <v>358</v>
      </c>
      <c r="GS1048" s="4">
        <v>342</v>
      </c>
      <c r="GT1048" s="4">
        <v>326</v>
      </c>
      <c r="GU1048" s="4">
        <v>310</v>
      </c>
      <c r="GV1048" s="4">
        <v>294</v>
      </c>
      <c r="GW1048" s="4">
        <v>278</v>
      </c>
      <c r="GX1048" s="4">
        <v>262</v>
      </c>
      <c r="GY1048" s="4">
        <v>246</v>
      </c>
      <c r="GZ1048" s="4">
        <v>230</v>
      </c>
      <c r="HA1048" s="4">
        <v>213</v>
      </c>
      <c r="HB1048" s="4">
        <v>197</v>
      </c>
      <c r="HC1048" s="19">
        <v>20.5</v>
      </c>
      <c r="HD1048" s="19">
        <v>30.9</v>
      </c>
      <c r="HE1048" s="19">
        <v>28.6</v>
      </c>
      <c r="HF1048" s="19">
        <v>27.6</v>
      </c>
      <c r="HG1048" s="19">
        <v>28</v>
      </c>
      <c r="HH1048" s="19">
        <v>28.3</v>
      </c>
      <c r="HI1048" s="19">
        <v>28.7</v>
      </c>
      <c r="HJ1048" s="19">
        <v>27.5</v>
      </c>
      <c r="HK1048" s="19">
        <v>26.6</v>
      </c>
      <c r="HL1048" s="19">
        <v>25.6</v>
      </c>
      <c r="HM1048" s="19">
        <v>26.1</v>
      </c>
      <c r="HN1048" s="19">
        <v>25</v>
      </c>
      <c r="HO1048" s="19">
        <v>25.5</v>
      </c>
      <c r="HP1048" s="19">
        <v>24.4</v>
      </c>
      <c r="HQ1048" s="19">
        <v>23.4</v>
      </c>
      <c r="HR1048" s="19">
        <v>22.4</v>
      </c>
      <c r="HS1048" s="19">
        <v>21.4</v>
      </c>
      <c r="HT1048" s="19">
        <v>20.4</v>
      </c>
      <c r="HU1048" s="19">
        <v>19.4</v>
      </c>
      <c r="HV1048" s="19">
        <v>18.4</v>
      </c>
      <c r="HW1048" s="19">
        <v>17.4</v>
      </c>
      <c r="HX1048" s="19">
        <v>16.4</v>
      </c>
      <c r="HY1048" s="19">
        <v>15.4</v>
      </c>
      <c r="HZ1048" s="19">
        <v>14.4</v>
      </c>
      <c r="IA1048" s="19">
        <v>13.3</v>
      </c>
      <c r="IB1048" s="19">
        <v>12.3</v>
      </c>
    </row>
    <row r="1049">
      <c r="A1049" s="2" t="s">
        <v>5299</v>
      </c>
      <c r="B1049" s="2" t="s">
        <v>847</v>
      </c>
      <c r="C1049" s="2" t="s">
        <v>848</v>
      </c>
      <c r="D1049" s="2" t="s">
        <v>849</v>
      </c>
      <c r="E1049" s="2" t="s">
        <v>850</v>
      </c>
      <c r="F1049" s="2" t="s">
        <v>5286</v>
      </c>
      <c r="G1049" s="2" t="s">
        <v>5286</v>
      </c>
      <c r="H1049" s="2" t="s">
        <v>5286</v>
      </c>
      <c r="I1049" s="2" t="s">
        <v>5287</v>
      </c>
      <c r="J1049" s="2" t="s">
        <v>5294</v>
      </c>
      <c r="K1049" s="2" t="s">
        <v>1014</v>
      </c>
      <c r="L1049" s="3">
        <v>33.5</v>
      </c>
      <c r="M1049" s="3">
        <v>35.18</v>
      </c>
      <c r="N1049" s="3">
        <v>69.99</v>
      </c>
      <c r="O1049" s="2" t="s">
        <v>230</v>
      </c>
      <c r="P1049" s="2" t="s">
        <v>721</v>
      </c>
      <c r="Q1049" s="2" t="s">
        <v>232</v>
      </c>
      <c r="R1049" s="2" t="s">
        <v>233</v>
      </c>
      <c r="S1049" s="2" t="s">
        <v>233</v>
      </c>
      <c r="T1049" s="2" t="s">
        <v>233</v>
      </c>
      <c r="U1049" s="2" t="s">
        <v>329</v>
      </c>
      <c r="V1049" s="2" t="s">
        <v>609</v>
      </c>
      <c r="W1049" s="2" t="s">
        <v>233</v>
      </c>
      <c r="X1049" s="2" t="s">
        <v>233</v>
      </c>
      <c r="Y1049" s="2" t="s">
        <v>3976</v>
      </c>
      <c r="Z1049" s="4">
        <v>385</v>
      </c>
      <c r="AA1049" s="4">
        <f>=ROUNDDOWN(175,0)</f>
      </c>
      <c r="AB1049" s="5">
        <v>2.2</v>
      </c>
      <c r="AC1049" s="2" t="s">
        <v>233</v>
      </c>
      <c r="AD1049" s="4"/>
      <c r="AE1049" s="4"/>
      <c r="AF1049" s="6">
        <v>64</v>
      </c>
      <c r="AG1049" s="6"/>
      <c r="AH1049" s="7">
        <v>1</v>
      </c>
      <c r="AI1049" s="4"/>
      <c r="AJ1049" s="4">
        <f>=ROUNDDOWN({0},0)</f>
      </c>
      <c r="AK1049" s="5"/>
      <c r="AL1049" s="2" t="s">
        <v>233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233</v>
      </c>
      <c r="AW1049" s="8" t="s">
        <v>233</v>
      </c>
      <c r="AX1049" s="4" t="s">
        <v>233</v>
      </c>
      <c r="AY1049" s="8" t="s">
        <v>233</v>
      </c>
      <c r="AZ1049" s="7" t="s">
        <v>233</v>
      </c>
      <c r="BA1049" s="7" t="s">
        <v>233</v>
      </c>
      <c r="BB1049" s="7"/>
      <c r="BC1049" s="4" t="s">
        <v>233</v>
      </c>
      <c r="BD1049" s="8" t="s">
        <v>233</v>
      </c>
      <c r="BE1049" s="4" t="s">
        <v>233</v>
      </c>
      <c r="BF1049" s="8" t="s">
        <v>233</v>
      </c>
      <c r="BG1049" s="7" t="s">
        <v>233</v>
      </c>
      <c r="BH1049" s="7" t="s">
        <v>233</v>
      </c>
      <c r="BI1049" s="7"/>
      <c r="BJ1049" s="4">
        <v>17</v>
      </c>
      <c r="BK1049" s="8">
        <v>618.3</v>
      </c>
      <c r="BL1049" s="2" t="s">
        <v>3195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5289</v>
      </c>
      <c r="BV1049" s="2" t="s">
        <v>233</v>
      </c>
      <c r="BW1049" s="2" t="s">
        <v>233</v>
      </c>
      <c r="BX1049" s="2" t="s">
        <v>241</v>
      </c>
      <c r="BY1049" s="2" t="s">
        <v>242</v>
      </c>
      <c r="BZ1049" s="2" t="s">
        <v>230</v>
      </c>
      <c r="CA1049" s="2" t="s">
        <v>3197</v>
      </c>
      <c r="CB1049" s="2" t="s">
        <v>5300</v>
      </c>
      <c r="CC1049" s="2" t="s">
        <v>245</v>
      </c>
      <c r="CD1049" s="2" t="s">
        <v>233</v>
      </c>
      <c r="CE1049" s="4"/>
      <c r="CF1049" s="4">
        <v>385</v>
      </c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>
        <v>388</v>
      </c>
      <c r="GD1049" s="4">
        <v>388</v>
      </c>
      <c r="GE1049" s="4">
        <v>388</v>
      </c>
      <c r="GF1049" s="4">
        <v>388</v>
      </c>
      <c r="GG1049" s="4">
        <v>388</v>
      </c>
      <c r="GH1049" s="4">
        <v>386</v>
      </c>
      <c r="GI1049" s="4">
        <v>384</v>
      </c>
      <c r="GJ1049" s="4">
        <v>370</v>
      </c>
      <c r="GK1049" s="4">
        <v>370</v>
      </c>
      <c r="GL1049" s="4">
        <v>370</v>
      </c>
      <c r="GM1049" s="4">
        <v>370</v>
      </c>
      <c r="GN1049" s="4">
        <v>370</v>
      </c>
      <c r="GO1049" s="4">
        <v>370</v>
      </c>
      <c r="GP1049" s="4">
        <v>370</v>
      </c>
      <c r="GQ1049" s="4">
        <v>368</v>
      </c>
      <c r="GR1049" s="4">
        <v>366</v>
      </c>
      <c r="GS1049" s="4">
        <v>364</v>
      </c>
      <c r="GT1049" s="4">
        <v>362</v>
      </c>
      <c r="GU1049" s="4">
        <v>360</v>
      </c>
      <c r="GV1049" s="4">
        <v>358</v>
      </c>
      <c r="GW1049" s="4">
        <v>356</v>
      </c>
      <c r="GX1049" s="4">
        <v>354</v>
      </c>
      <c r="GY1049" s="4">
        <v>352</v>
      </c>
      <c r="GZ1049" s="4">
        <v>350</v>
      </c>
      <c r="HA1049" s="4">
        <v>348</v>
      </c>
      <c r="HB1049" s="4">
        <v>346</v>
      </c>
      <c r="HC1049" s="9"/>
      <c r="HD1049" s="9"/>
      <c r="HE1049" s="19">
        <v>388</v>
      </c>
      <c r="HF1049" s="19">
        <v>97</v>
      </c>
      <c r="HG1049" s="19">
        <v>97</v>
      </c>
      <c r="HH1049" s="19">
        <v>96.5</v>
      </c>
      <c r="HI1049" s="19">
        <v>96</v>
      </c>
      <c r="HJ1049" s="9"/>
      <c r="HK1049" s="9"/>
      <c r="HL1049" s="9"/>
      <c r="HM1049" s="9"/>
      <c r="HN1049" s="19">
        <v>370</v>
      </c>
      <c r="HO1049" s="19">
        <v>185</v>
      </c>
      <c r="HP1049" s="19">
        <v>185</v>
      </c>
      <c r="HQ1049" s="19">
        <v>184</v>
      </c>
      <c r="HR1049" s="19">
        <v>183</v>
      </c>
      <c r="HS1049" s="19">
        <v>182</v>
      </c>
      <c r="HT1049" s="19">
        <v>181</v>
      </c>
      <c r="HU1049" s="19">
        <v>180</v>
      </c>
      <c r="HV1049" s="19">
        <v>179</v>
      </c>
      <c r="HW1049" s="19">
        <v>178</v>
      </c>
      <c r="HX1049" s="19">
        <v>177</v>
      </c>
      <c r="HY1049" s="19">
        <v>176</v>
      </c>
      <c r="HZ1049" s="19">
        <v>175</v>
      </c>
      <c r="IA1049" s="19">
        <v>174</v>
      </c>
      <c r="IB1049" s="19">
        <v>173</v>
      </c>
    </row>
    <row r="1050">
      <c r="A1050" s="2" t="s">
        <v>5301</v>
      </c>
      <c r="B1050" s="2" t="s">
        <v>923</v>
      </c>
      <c r="C1050" s="2" t="s">
        <v>280</v>
      </c>
      <c r="D1050" s="2" t="s">
        <v>951</v>
      </c>
      <c r="E1050" s="2" t="s">
        <v>952</v>
      </c>
      <c r="F1050" s="2" t="s">
        <v>5302</v>
      </c>
      <c r="G1050" s="2" t="s">
        <v>5303</v>
      </c>
      <c r="H1050" s="2" t="s">
        <v>5304</v>
      </c>
      <c r="I1050" s="2" t="s">
        <v>5305</v>
      </c>
      <c r="J1050" s="2" t="s">
        <v>954</v>
      </c>
      <c r="K1050" s="2" t="s">
        <v>1500</v>
      </c>
      <c r="L1050" s="3">
        <v>15.84</v>
      </c>
      <c r="M1050" s="3">
        <v>16.63</v>
      </c>
      <c r="N1050" s="3">
        <v>34.99</v>
      </c>
      <c r="O1050" s="2" t="s">
        <v>230</v>
      </c>
      <c r="P1050" s="2" t="s">
        <v>597</v>
      </c>
      <c r="Q1050" s="2" t="s">
        <v>232</v>
      </c>
      <c r="R1050" s="2" t="s">
        <v>233</v>
      </c>
      <c r="S1050" s="2" t="s">
        <v>5306</v>
      </c>
      <c r="T1050" s="2" t="s">
        <v>233</v>
      </c>
      <c r="U1050" s="2" t="s">
        <v>233</v>
      </c>
      <c r="V1050" s="2" t="s">
        <v>945</v>
      </c>
      <c r="W1050" s="2" t="s">
        <v>712</v>
      </c>
      <c r="X1050" s="2" t="s">
        <v>233</v>
      </c>
      <c r="Y1050" s="2" t="s">
        <v>238</v>
      </c>
      <c r="Z1050" s="4">
        <v>467</v>
      </c>
      <c r="AA1050" s="4">
        <f>=ROUNDDOWN(17.2962962962963,0)</f>
      </c>
      <c r="AB1050" s="5">
        <v>27</v>
      </c>
      <c r="AC1050" s="2" t="s">
        <v>4047</v>
      </c>
      <c r="AD1050" s="4">
        <v>500</v>
      </c>
      <c r="AE1050" s="4">
        <v>800</v>
      </c>
      <c r="AF1050" s="6">
        <v>64</v>
      </c>
      <c r="AG1050" s="6"/>
      <c r="AH1050" s="7">
        <v>1</v>
      </c>
      <c r="AI1050" s="4"/>
      <c r="AJ1050" s="4">
        <f>=ROUNDDOWN({0},0)</f>
      </c>
      <c r="AK1050" s="5"/>
      <c r="AL1050" s="2" t="s">
        <v>233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 t="s">
        <v>233</v>
      </c>
      <c r="BD1050" s="8" t="s">
        <v>233</v>
      </c>
      <c r="BE1050" s="4" t="s">
        <v>233</v>
      </c>
      <c r="BF1050" s="8" t="s">
        <v>233</v>
      </c>
      <c r="BG1050" s="7" t="s">
        <v>233</v>
      </c>
      <c r="BH1050" s="7" t="s">
        <v>233</v>
      </c>
      <c r="BI1050" s="7"/>
      <c r="BJ1050" s="4">
        <v>134</v>
      </c>
      <c r="BK1050" s="8">
        <v>2620.43</v>
      </c>
      <c r="BL1050" s="2" t="s">
        <v>2477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5307</v>
      </c>
      <c r="BV1050" s="2" t="s">
        <v>233</v>
      </c>
      <c r="BW1050" s="2" t="s">
        <v>233</v>
      </c>
      <c r="BX1050" s="2" t="s">
        <v>293</v>
      </c>
      <c r="BY1050" s="2" t="s">
        <v>242</v>
      </c>
      <c r="BZ1050" s="2" t="s">
        <v>230</v>
      </c>
      <c r="CA1050" s="2" t="s">
        <v>243</v>
      </c>
      <c r="CB1050" s="2" t="s">
        <v>5308</v>
      </c>
      <c r="CC1050" s="2" t="s">
        <v>245</v>
      </c>
      <c r="CD1050" s="2" t="s">
        <v>233</v>
      </c>
      <c r="CE1050" s="4">
        <v>467</v>
      </c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>
        <v>500</v>
      </c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>
        <v>300</v>
      </c>
      <c r="FZ1050" s="4"/>
      <c r="GA1050" s="4"/>
      <c r="GB1050" s="4"/>
      <c r="GC1050" s="4">
        <v>491</v>
      </c>
      <c r="GD1050" s="4">
        <v>456</v>
      </c>
      <c r="GE1050" s="4">
        <v>404</v>
      </c>
      <c r="GF1050" s="4">
        <v>369</v>
      </c>
      <c r="GG1050" s="4">
        <v>318</v>
      </c>
      <c r="GH1050" s="4">
        <v>277</v>
      </c>
      <c r="GI1050" s="4">
        <v>236</v>
      </c>
      <c r="GJ1050" s="4">
        <v>130</v>
      </c>
      <c r="GK1050" s="4">
        <v>122</v>
      </c>
      <c r="GL1050" s="4">
        <v>105</v>
      </c>
      <c r="GM1050" s="4">
        <v>590</v>
      </c>
      <c r="GN1050" s="4">
        <v>575</v>
      </c>
      <c r="GO1050" s="4">
        <v>560</v>
      </c>
      <c r="GP1050" s="4">
        <v>545</v>
      </c>
      <c r="GQ1050" s="4">
        <v>525</v>
      </c>
      <c r="GR1050" s="4">
        <v>498</v>
      </c>
      <c r="GS1050" s="4">
        <v>471</v>
      </c>
      <c r="GT1050" s="4">
        <v>442</v>
      </c>
      <c r="GU1050" s="4">
        <v>415</v>
      </c>
      <c r="GV1050" s="4">
        <v>688</v>
      </c>
      <c r="GW1050" s="4">
        <v>661</v>
      </c>
      <c r="GX1050" s="4">
        <v>634</v>
      </c>
      <c r="GY1050" s="4">
        <v>607</v>
      </c>
      <c r="GZ1050" s="4">
        <v>580</v>
      </c>
      <c r="HA1050" s="4">
        <v>552</v>
      </c>
      <c r="HB1050" s="4">
        <v>525</v>
      </c>
      <c r="HC1050" s="19">
        <v>11.4</v>
      </c>
      <c r="HD1050" s="19">
        <v>10.1</v>
      </c>
      <c r="HE1050" s="19">
        <v>9.6</v>
      </c>
      <c r="HF1050" s="19">
        <v>6.2</v>
      </c>
      <c r="HG1050" s="19">
        <v>6.5</v>
      </c>
      <c r="HH1050" s="19">
        <v>6.4</v>
      </c>
      <c r="HI1050" s="19">
        <v>6.6</v>
      </c>
      <c r="HJ1050" s="19">
        <v>9.3</v>
      </c>
      <c r="HK1050" s="19">
        <v>7.6</v>
      </c>
      <c r="HL1050" s="19">
        <v>7</v>
      </c>
      <c r="HM1050" s="19">
        <v>36.9</v>
      </c>
      <c r="HN1050" s="19">
        <v>30.3</v>
      </c>
      <c r="HO1050" s="19">
        <v>25.5</v>
      </c>
      <c r="HP1050" s="19">
        <v>21</v>
      </c>
      <c r="HQ1050" s="19">
        <v>18.8</v>
      </c>
      <c r="HR1050" s="19">
        <v>17.8</v>
      </c>
      <c r="HS1050" s="19">
        <v>16.8</v>
      </c>
      <c r="HT1050" s="19">
        <v>16.4</v>
      </c>
      <c r="HU1050" s="19">
        <v>15.4</v>
      </c>
      <c r="HV1050" s="19">
        <v>25.5</v>
      </c>
      <c r="HW1050" s="19">
        <v>24.5</v>
      </c>
      <c r="HX1050" s="19">
        <v>23.5</v>
      </c>
      <c r="HY1050" s="19">
        <v>22.5</v>
      </c>
      <c r="HZ1050" s="19">
        <v>21.5</v>
      </c>
      <c r="IA1050" s="19">
        <v>20.4</v>
      </c>
      <c r="IB1050" s="19">
        <v>19.4</v>
      </c>
    </row>
    <row r="1051">
      <c r="A1051" s="2" t="s">
        <v>5309</v>
      </c>
      <c r="B1051" s="2" t="s">
        <v>872</v>
      </c>
      <c r="C1051" s="2" t="s">
        <v>280</v>
      </c>
      <c r="D1051" s="2" t="s">
        <v>261</v>
      </c>
      <c r="E1051" s="2" t="s">
        <v>603</v>
      </c>
      <c r="F1051" s="2" t="s">
        <v>5302</v>
      </c>
      <c r="G1051" s="2" t="s">
        <v>5303</v>
      </c>
      <c r="H1051" s="2" t="s">
        <v>5304</v>
      </c>
      <c r="I1051" s="2" t="s">
        <v>5310</v>
      </c>
      <c r="J1051" s="2" t="s">
        <v>336</v>
      </c>
      <c r="K1051" s="2" t="s">
        <v>870</v>
      </c>
      <c r="L1051" s="3">
        <v>66.29</v>
      </c>
      <c r="M1051" s="3">
        <v>69.61</v>
      </c>
      <c r="N1051" s="3">
        <v>139.99</v>
      </c>
      <c r="O1051" s="2" t="s">
        <v>230</v>
      </c>
      <c r="P1051" s="2" t="s">
        <v>231</v>
      </c>
      <c r="Q1051" s="2" t="s">
        <v>232</v>
      </c>
      <c r="R1051" s="2" t="s">
        <v>233</v>
      </c>
      <c r="S1051" s="2" t="s">
        <v>5311</v>
      </c>
      <c r="T1051" s="2" t="s">
        <v>233</v>
      </c>
      <c r="U1051" s="2" t="s">
        <v>635</v>
      </c>
      <c r="V1051" s="2" t="s">
        <v>945</v>
      </c>
      <c r="W1051" s="2" t="s">
        <v>712</v>
      </c>
      <c r="X1051" s="2" t="s">
        <v>2033</v>
      </c>
      <c r="Y1051" s="2" t="s">
        <v>238</v>
      </c>
      <c r="Z1051" s="4">
        <v>396</v>
      </c>
      <c r="AA1051" s="4">
        <f>=ROUNDDOWN(39.6,0)</f>
      </c>
      <c r="AB1051" s="5">
        <v>10</v>
      </c>
      <c r="AC1051" s="2" t="s">
        <v>233</v>
      </c>
      <c r="AD1051" s="4"/>
      <c r="AE1051" s="4"/>
      <c r="AF1051" s="6">
        <v>64</v>
      </c>
      <c r="AG1051" s="6">
        <v>47</v>
      </c>
      <c r="AH1051" s="7">
        <v>1</v>
      </c>
      <c r="AI1051" s="4"/>
      <c r="AJ1051" s="4">
        <f>=ROUNDDOWN({0},0)</f>
      </c>
      <c r="AK1051" s="5"/>
      <c r="AL1051" s="2" t="s">
        <v>233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233</v>
      </c>
      <c r="AW1051" s="8" t="s">
        <v>233</v>
      </c>
      <c r="AX1051" s="4" t="s">
        <v>233</v>
      </c>
      <c r="AY1051" s="8" t="s">
        <v>233</v>
      </c>
      <c r="AZ1051" s="7" t="s">
        <v>233</v>
      </c>
      <c r="BA1051" s="7" t="s">
        <v>233</v>
      </c>
      <c r="BB1051" s="7"/>
      <c r="BC1051" s="4" t="s">
        <v>233</v>
      </c>
      <c r="BD1051" s="8" t="s">
        <v>233</v>
      </c>
      <c r="BE1051" s="4" t="s">
        <v>233</v>
      </c>
      <c r="BF1051" s="8" t="s">
        <v>233</v>
      </c>
      <c r="BG1051" s="7" t="s">
        <v>233</v>
      </c>
      <c r="BH1051" s="7" t="s">
        <v>233</v>
      </c>
      <c r="BI1051" s="7"/>
      <c r="BJ1051" s="4">
        <v>52</v>
      </c>
      <c r="BK1051" s="8">
        <v>3224.19</v>
      </c>
      <c r="BL1051" s="2" t="s">
        <v>1392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5312</v>
      </c>
      <c r="BV1051" s="2" t="s">
        <v>233</v>
      </c>
      <c r="BW1051" s="2" t="s">
        <v>233</v>
      </c>
      <c r="BX1051" s="2" t="s">
        <v>293</v>
      </c>
      <c r="BY1051" s="2" t="s">
        <v>242</v>
      </c>
      <c r="BZ1051" s="2" t="s">
        <v>230</v>
      </c>
      <c r="CA1051" s="2" t="s">
        <v>3677</v>
      </c>
      <c r="CB1051" s="2" t="s">
        <v>516</v>
      </c>
      <c r="CC1051" s="2" t="s">
        <v>245</v>
      </c>
      <c r="CD1051" s="2" t="s">
        <v>233</v>
      </c>
      <c r="CE1051" s="4">
        <v>327</v>
      </c>
      <c r="CF1051" s="4"/>
      <c r="CG1051" s="4"/>
      <c r="CH1051" s="4">
        <v>69</v>
      </c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>
        <v>399</v>
      </c>
      <c r="GD1051" s="4">
        <v>360</v>
      </c>
      <c r="GE1051" s="4">
        <v>345</v>
      </c>
      <c r="GF1051" s="4">
        <v>328</v>
      </c>
      <c r="GG1051" s="4">
        <v>297</v>
      </c>
      <c r="GH1051" s="4">
        <v>280</v>
      </c>
      <c r="GI1051" s="4">
        <v>265</v>
      </c>
      <c r="GJ1051" s="4">
        <v>256</v>
      </c>
      <c r="GK1051" s="4">
        <v>249</v>
      </c>
      <c r="GL1051" s="4">
        <v>238</v>
      </c>
      <c r="GM1051" s="4">
        <v>228</v>
      </c>
      <c r="GN1051" s="4">
        <v>218</v>
      </c>
      <c r="GO1051" s="4">
        <v>208</v>
      </c>
      <c r="GP1051" s="4">
        <v>198</v>
      </c>
      <c r="GQ1051" s="4">
        <v>188</v>
      </c>
      <c r="GR1051" s="4">
        <v>178</v>
      </c>
      <c r="GS1051" s="4">
        <v>168</v>
      </c>
      <c r="GT1051" s="4">
        <v>157</v>
      </c>
      <c r="GU1051" s="4">
        <v>147</v>
      </c>
      <c r="GV1051" s="4">
        <v>137</v>
      </c>
      <c r="GW1051" s="4">
        <v>127</v>
      </c>
      <c r="GX1051" s="4">
        <v>117</v>
      </c>
      <c r="GY1051" s="4">
        <v>107</v>
      </c>
      <c r="GZ1051" s="4">
        <v>97</v>
      </c>
      <c r="HA1051" s="4">
        <v>87</v>
      </c>
      <c r="HB1051" s="4">
        <v>77</v>
      </c>
      <c r="HC1051" s="19">
        <v>14</v>
      </c>
      <c r="HD1051" s="19">
        <v>17</v>
      </c>
      <c r="HE1051" s="19">
        <v>16.2</v>
      </c>
      <c r="HF1051" s="19">
        <v>16.6</v>
      </c>
      <c r="HG1051" s="19">
        <v>24.3</v>
      </c>
      <c r="HH1051" s="19">
        <v>25.6</v>
      </c>
      <c r="HI1051" s="19">
        <v>24.1</v>
      </c>
      <c r="HJ1051" s="19">
        <v>23.2</v>
      </c>
      <c r="HK1051" s="19">
        <v>22.5</v>
      </c>
      <c r="HL1051" s="19">
        <v>21.5</v>
      </c>
      <c r="HM1051" s="19">
        <v>20.5</v>
      </c>
      <c r="HN1051" s="19">
        <v>19.5</v>
      </c>
      <c r="HO1051" s="19">
        <v>18.5</v>
      </c>
      <c r="HP1051" s="19">
        <v>17.5</v>
      </c>
      <c r="HQ1051" s="19">
        <v>16.5</v>
      </c>
      <c r="HR1051" s="19">
        <v>15.5</v>
      </c>
      <c r="HS1051" s="19">
        <v>14.5</v>
      </c>
      <c r="HT1051" s="19">
        <v>13.4</v>
      </c>
      <c r="HU1051" s="19">
        <v>12.4</v>
      </c>
      <c r="HV1051" s="19">
        <v>11.4</v>
      </c>
      <c r="HW1051" s="19">
        <v>10.4</v>
      </c>
      <c r="HX1051" s="19">
        <v>9.4</v>
      </c>
      <c r="HY1051" s="19">
        <v>8.4</v>
      </c>
      <c r="HZ1051" s="19">
        <v>7.4</v>
      </c>
      <c r="IA1051" s="19">
        <v>6.4</v>
      </c>
      <c r="IB1051" s="19">
        <v>5.4</v>
      </c>
    </row>
    <row r="1052">
      <c r="A1052" s="2" t="s">
        <v>5313</v>
      </c>
      <c r="B1052" s="2" t="s">
        <v>938</v>
      </c>
      <c r="C1052" s="2" t="s">
        <v>280</v>
      </c>
      <c r="D1052" s="2" t="s">
        <v>972</v>
      </c>
      <c r="E1052" s="2" t="s">
        <v>973</v>
      </c>
      <c r="F1052" s="2" t="s">
        <v>5302</v>
      </c>
      <c r="G1052" s="2" t="s">
        <v>5303</v>
      </c>
      <c r="H1052" s="2" t="s">
        <v>5304</v>
      </c>
      <c r="I1052" s="2" t="s">
        <v>5314</v>
      </c>
      <c r="J1052" s="2" t="s">
        <v>978</v>
      </c>
      <c r="K1052" s="2" t="s">
        <v>870</v>
      </c>
      <c r="L1052" s="3">
        <v>16.45</v>
      </c>
      <c r="M1052" s="3">
        <v>17.27</v>
      </c>
      <c r="N1052" s="3">
        <v>34.99</v>
      </c>
      <c r="O1052" s="2" t="s">
        <v>230</v>
      </c>
      <c r="P1052" s="2" t="s">
        <v>721</v>
      </c>
      <c r="Q1052" s="2" t="s">
        <v>232</v>
      </c>
      <c r="R1052" s="2" t="s">
        <v>233</v>
      </c>
      <c r="S1052" s="2" t="s">
        <v>5311</v>
      </c>
      <c r="T1052" s="2" t="s">
        <v>233</v>
      </c>
      <c r="U1052" s="2" t="s">
        <v>233</v>
      </c>
      <c r="V1052" s="2" t="s">
        <v>945</v>
      </c>
      <c r="W1052" s="2" t="s">
        <v>818</v>
      </c>
      <c r="X1052" s="2" t="s">
        <v>980</v>
      </c>
      <c r="Y1052" s="2" t="s">
        <v>487</v>
      </c>
      <c r="Z1052" s="4">
        <v>341</v>
      </c>
      <c r="AA1052" s="4">
        <f>=ROUNDDOWN(37.8888888888889,0)</f>
      </c>
      <c r="AB1052" s="5">
        <v>9</v>
      </c>
      <c r="AC1052" s="2" t="s">
        <v>233</v>
      </c>
      <c r="AD1052" s="4"/>
      <c r="AE1052" s="4"/>
      <c r="AF1052" s="6">
        <v>64</v>
      </c>
      <c r="AG1052" s="6"/>
      <c r="AH1052" s="7">
        <v>1</v>
      </c>
      <c r="AI1052" s="4"/>
      <c r="AJ1052" s="4">
        <f>=ROUNDDOWN({0},0)</f>
      </c>
      <c r="AK1052" s="5"/>
      <c r="AL1052" s="2" t="s">
        <v>233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233</v>
      </c>
      <c r="AW1052" s="8" t="s">
        <v>233</v>
      </c>
      <c r="AX1052" s="4" t="s">
        <v>233</v>
      </c>
      <c r="AY1052" s="8" t="s">
        <v>233</v>
      </c>
      <c r="AZ1052" s="7" t="s">
        <v>233</v>
      </c>
      <c r="BA1052" s="7" t="s">
        <v>233</v>
      </c>
      <c r="BB1052" s="7"/>
      <c r="BC1052" s="4" t="s">
        <v>233</v>
      </c>
      <c r="BD1052" s="8" t="s">
        <v>233</v>
      </c>
      <c r="BE1052" s="4" t="s">
        <v>233</v>
      </c>
      <c r="BF1052" s="8" t="s">
        <v>233</v>
      </c>
      <c r="BG1052" s="7" t="s">
        <v>233</v>
      </c>
      <c r="BH1052" s="7" t="s">
        <v>233</v>
      </c>
      <c r="BI1052" s="7"/>
      <c r="BJ1052" s="4">
        <v>31</v>
      </c>
      <c r="BK1052" s="8">
        <v>546.39</v>
      </c>
      <c r="BL1052" s="2" t="s">
        <v>5315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5316</v>
      </c>
      <c r="BV1052" s="2" t="s">
        <v>233</v>
      </c>
      <c r="BW1052" s="2" t="s">
        <v>233</v>
      </c>
      <c r="BX1052" s="2" t="s">
        <v>241</v>
      </c>
      <c r="BY1052" s="2" t="s">
        <v>242</v>
      </c>
      <c r="BZ1052" s="2" t="s">
        <v>230</v>
      </c>
      <c r="CA1052" s="2" t="s">
        <v>487</v>
      </c>
      <c r="CB1052" s="2" t="s">
        <v>5317</v>
      </c>
      <c r="CC1052" s="2" t="s">
        <v>245</v>
      </c>
      <c r="CD1052" s="2" t="s">
        <v>233</v>
      </c>
      <c r="CE1052" s="4">
        <v>341</v>
      </c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>
        <v>344</v>
      </c>
      <c r="GD1052" s="4">
        <v>329</v>
      </c>
      <c r="GE1052" s="4">
        <v>318</v>
      </c>
      <c r="GF1052" s="4">
        <v>308</v>
      </c>
      <c r="GG1052" s="4">
        <v>297</v>
      </c>
      <c r="GH1052" s="4">
        <v>287</v>
      </c>
      <c r="GI1052" s="4">
        <v>276</v>
      </c>
      <c r="GJ1052" s="4">
        <v>267</v>
      </c>
      <c r="GK1052" s="4">
        <v>257</v>
      </c>
      <c r="GL1052" s="4">
        <v>248</v>
      </c>
      <c r="GM1052" s="4">
        <v>238</v>
      </c>
      <c r="GN1052" s="4">
        <v>229</v>
      </c>
      <c r="GO1052" s="4">
        <v>220</v>
      </c>
      <c r="GP1052" s="4">
        <v>211</v>
      </c>
      <c r="GQ1052" s="4">
        <v>202</v>
      </c>
      <c r="GR1052" s="4">
        <v>193</v>
      </c>
      <c r="GS1052" s="4">
        <v>184</v>
      </c>
      <c r="GT1052" s="4">
        <v>174</v>
      </c>
      <c r="GU1052" s="4">
        <v>165</v>
      </c>
      <c r="GV1052" s="4">
        <v>156</v>
      </c>
      <c r="GW1052" s="4">
        <v>147</v>
      </c>
      <c r="GX1052" s="4">
        <v>138</v>
      </c>
      <c r="GY1052" s="4">
        <v>129</v>
      </c>
      <c r="GZ1052" s="4">
        <v>120</v>
      </c>
      <c r="HA1052" s="4">
        <v>137</v>
      </c>
      <c r="HB1052" s="4">
        <v>128</v>
      </c>
      <c r="HC1052" s="19">
        <v>28.7</v>
      </c>
      <c r="HD1052" s="19">
        <v>32.9</v>
      </c>
      <c r="HE1052" s="19">
        <v>31.8</v>
      </c>
      <c r="HF1052" s="19">
        <v>30.8</v>
      </c>
      <c r="HG1052" s="19">
        <v>29.7</v>
      </c>
      <c r="HH1052" s="19">
        <v>28.7</v>
      </c>
      <c r="HI1052" s="19">
        <v>27.6</v>
      </c>
      <c r="HJ1052" s="19">
        <v>26.7</v>
      </c>
      <c r="HK1052" s="19">
        <v>28.6</v>
      </c>
      <c r="HL1052" s="19">
        <v>27.6</v>
      </c>
      <c r="HM1052" s="19">
        <v>26.4</v>
      </c>
      <c r="HN1052" s="19">
        <v>25.4</v>
      </c>
      <c r="HO1052" s="19">
        <v>24.4</v>
      </c>
      <c r="HP1052" s="19">
        <v>23.4</v>
      </c>
      <c r="HQ1052" s="19">
        <v>22.4</v>
      </c>
      <c r="HR1052" s="19">
        <v>21.4</v>
      </c>
      <c r="HS1052" s="19">
        <v>20.4</v>
      </c>
      <c r="HT1052" s="19">
        <v>19.3</v>
      </c>
      <c r="HU1052" s="19">
        <v>18.3</v>
      </c>
      <c r="HV1052" s="19">
        <v>17.3</v>
      </c>
      <c r="HW1052" s="19">
        <v>16.3</v>
      </c>
      <c r="HX1052" s="19">
        <v>15.3</v>
      </c>
      <c r="HY1052" s="19">
        <v>14.3</v>
      </c>
      <c r="HZ1052" s="19">
        <v>13.3</v>
      </c>
      <c r="IA1052" s="19">
        <v>15.2</v>
      </c>
      <c r="IB1052" s="19">
        <v>14.2</v>
      </c>
    </row>
    <row r="1053">
      <c r="A1053" s="2" t="s">
        <v>5318</v>
      </c>
      <c r="B1053" s="2" t="s">
        <v>938</v>
      </c>
      <c r="C1053" s="2" t="s">
        <v>280</v>
      </c>
      <c r="D1053" s="2" t="s">
        <v>939</v>
      </c>
      <c r="E1053" s="2" t="s">
        <v>940</v>
      </c>
      <c r="F1053" s="2" t="s">
        <v>5302</v>
      </c>
      <c r="G1053" s="2" t="s">
        <v>5303</v>
      </c>
      <c r="H1053" s="2" t="s">
        <v>5304</v>
      </c>
      <c r="I1053" s="2" t="s">
        <v>5319</v>
      </c>
      <c r="J1053" s="2" t="s">
        <v>942</v>
      </c>
      <c r="K1053" s="2" t="s">
        <v>870</v>
      </c>
      <c r="L1053" s="3">
        <v>11.25</v>
      </c>
      <c r="M1053" s="3">
        <v>11.81</v>
      </c>
      <c r="N1053" s="3">
        <v>24.99</v>
      </c>
      <c r="O1053" s="2" t="s">
        <v>230</v>
      </c>
      <c r="P1053" s="2" t="s">
        <v>721</v>
      </c>
      <c r="Q1053" s="2" t="s">
        <v>232</v>
      </c>
      <c r="R1053" s="2" t="s">
        <v>233</v>
      </c>
      <c r="S1053" s="2" t="s">
        <v>5311</v>
      </c>
      <c r="T1053" s="2" t="s">
        <v>233</v>
      </c>
      <c r="U1053" s="2" t="s">
        <v>233</v>
      </c>
      <c r="V1053" s="2" t="s">
        <v>945</v>
      </c>
      <c r="W1053" s="2" t="s">
        <v>818</v>
      </c>
      <c r="X1053" s="2" t="s">
        <v>233</v>
      </c>
      <c r="Y1053" s="2" t="s">
        <v>487</v>
      </c>
      <c r="Z1053" s="4">
        <v>234</v>
      </c>
      <c r="AA1053" s="4">
        <f>=ROUNDDOWN(26,0)</f>
      </c>
      <c r="AB1053" s="5">
        <v>9</v>
      </c>
      <c r="AC1053" s="2" t="s">
        <v>233</v>
      </c>
      <c r="AD1053" s="4"/>
      <c r="AE1053" s="4"/>
      <c r="AF1053" s="6">
        <v>64</v>
      </c>
      <c r="AG1053" s="6"/>
      <c r="AH1053" s="7">
        <v>0.6452</v>
      </c>
      <c r="AI1053" s="4"/>
      <c r="AJ1053" s="4">
        <f>=ROUNDDOWN({0},0)</f>
      </c>
      <c r="AK1053" s="5"/>
      <c r="AL1053" s="2" t="s">
        <v>233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233</v>
      </c>
      <c r="AW1053" s="8" t="s">
        <v>233</v>
      </c>
      <c r="AX1053" s="4" t="s">
        <v>233</v>
      </c>
      <c r="AY1053" s="8" t="s">
        <v>233</v>
      </c>
      <c r="AZ1053" s="7" t="s">
        <v>233</v>
      </c>
      <c r="BA1053" s="7" t="s">
        <v>233</v>
      </c>
      <c r="BB1053" s="7"/>
      <c r="BC1053" s="4" t="s">
        <v>233</v>
      </c>
      <c r="BD1053" s="8" t="s">
        <v>233</v>
      </c>
      <c r="BE1053" s="4" t="s">
        <v>233</v>
      </c>
      <c r="BF1053" s="8" t="s">
        <v>233</v>
      </c>
      <c r="BG1053" s="7" t="s">
        <v>233</v>
      </c>
      <c r="BH1053" s="7" t="s">
        <v>233</v>
      </c>
      <c r="BI1053" s="7"/>
      <c r="BJ1053" s="4">
        <v>30</v>
      </c>
      <c r="BK1053" s="8">
        <v>421.3</v>
      </c>
      <c r="BL1053" s="2" t="s">
        <v>1287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5320</v>
      </c>
      <c r="BV1053" s="2" t="s">
        <v>233</v>
      </c>
      <c r="BW1053" s="2" t="s">
        <v>233</v>
      </c>
      <c r="BX1053" s="2" t="s">
        <v>241</v>
      </c>
      <c r="BY1053" s="2" t="s">
        <v>242</v>
      </c>
      <c r="BZ1053" s="2" t="s">
        <v>230</v>
      </c>
      <c r="CA1053" s="2" t="s">
        <v>487</v>
      </c>
      <c r="CB1053" s="2" t="s">
        <v>5321</v>
      </c>
      <c r="CC1053" s="2" t="s">
        <v>245</v>
      </c>
      <c r="CD1053" s="2" t="s">
        <v>233</v>
      </c>
      <c r="CE1053" s="4">
        <v>234</v>
      </c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>
        <v>250</v>
      </c>
      <c r="GD1053" s="4">
        <v>241</v>
      </c>
      <c r="GE1053" s="4">
        <v>230</v>
      </c>
      <c r="GF1053" s="4">
        <v>220</v>
      </c>
      <c r="GG1053" s="4">
        <v>206</v>
      </c>
      <c r="GH1053" s="4">
        <v>194</v>
      </c>
      <c r="GI1053" s="4">
        <v>181</v>
      </c>
      <c r="GJ1053" s="4">
        <v>171</v>
      </c>
      <c r="GK1053" s="4">
        <v>162</v>
      </c>
      <c r="GL1053" s="4">
        <v>153</v>
      </c>
      <c r="GM1053" s="4">
        <v>143</v>
      </c>
      <c r="GN1053" s="4">
        <v>134</v>
      </c>
      <c r="GO1053" s="4">
        <v>125</v>
      </c>
      <c r="GP1053" s="4">
        <v>116</v>
      </c>
      <c r="GQ1053" s="4">
        <v>107</v>
      </c>
      <c r="GR1053" s="4">
        <v>98</v>
      </c>
      <c r="GS1053" s="4">
        <v>89</v>
      </c>
      <c r="GT1053" s="4">
        <v>79</v>
      </c>
      <c r="GU1053" s="4">
        <v>70</v>
      </c>
      <c r="GV1053" s="4">
        <v>61</v>
      </c>
      <c r="GW1053" s="4">
        <v>52</v>
      </c>
      <c r="GX1053" s="4">
        <v>43</v>
      </c>
      <c r="GY1053" s="4">
        <v>34</v>
      </c>
      <c r="GZ1053" s="4">
        <v>25</v>
      </c>
      <c r="HA1053" s="4">
        <v>137</v>
      </c>
      <c r="HB1053" s="4">
        <v>128</v>
      </c>
      <c r="HC1053" s="19">
        <v>22.7</v>
      </c>
      <c r="HD1053" s="19">
        <v>20.1</v>
      </c>
      <c r="HE1053" s="19">
        <v>19.2</v>
      </c>
      <c r="HF1053" s="19">
        <v>18.3</v>
      </c>
      <c r="HG1053" s="19">
        <v>18.7</v>
      </c>
      <c r="HH1053" s="19">
        <v>19.4</v>
      </c>
      <c r="HI1053" s="19">
        <v>18.1</v>
      </c>
      <c r="HJ1053" s="19">
        <v>19</v>
      </c>
      <c r="HK1053" s="19">
        <v>18</v>
      </c>
      <c r="HL1053" s="19">
        <v>17</v>
      </c>
      <c r="HM1053" s="19">
        <v>15.9</v>
      </c>
      <c r="HN1053" s="19">
        <v>14.9</v>
      </c>
      <c r="HO1053" s="19">
        <v>13.9</v>
      </c>
      <c r="HP1053" s="19">
        <v>12.9</v>
      </c>
      <c r="HQ1053" s="19">
        <v>11.9</v>
      </c>
      <c r="HR1053" s="19">
        <v>10.9</v>
      </c>
      <c r="HS1053" s="19">
        <v>9.9</v>
      </c>
      <c r="HT1053" s="19">
        <v>8.8</v>
      </c>
      <c r="HU1053" s="19">
        <v>7.8</v>
      </c>
      <c r="HV1053" s="19">
        <v>6.8</v>
      </c>
      <c r="HW1053" s="19">
        <v>5.8</v>
      </c>
      <c r="HX1053" s="19">
        <v>4.8</v>
      </c>
      <c r="HY1053" s="19">
        <v>3.8</v>
      </c>
      <c r="HZ1053" s="19">
        <v>2.8</v>
      </c>
      <c r="IA1053" s="19">
        <v>15.2</v>
      </c>
      <c r="IB1053" s="19">
        <v>14.2</v>
      </c>
    </row>
    <row r="1054">
      <c r="A1054" s="2" t="s">
        <v>5322</v>
      </c>
      <c r="B1054" s="2" t="s">
        <v>872</v>
      </c>
      <c r="C1054" s="2" t="s">
        <v>280</v>
      </c>
      <c r="D1054" s="2" t="s">
        <v>261</v>
      </c>
      <c r="E1054" s="2" t="s">
        <v>603</v>
      </c>
      <c r="F1054" s="2" t="s">
        <v>5302</v>
      </c>
      <c r="G1054" s="2" t="s">
        <v>5303</v>
      </c>
      <c r="H1054" s="2" t="s">
        <v>5304</v>
      </c>
      <c r="I1054" s="2" t="s">
        <v>5310</v>
      </c>
      <c r="J1054" s="2" t="s">
        <v>285</v>
      </c>
      <c r="K1054" s="2" t="s">
        <v>1121</v>
      </c>
      <c r="L1054" s="3">
        <v>76.49</v>
      </c>
      <c r="M1054" s="3">
        <v>80.32</v>
      </c>
      <c r="N1054" s="3">
        <v>159.99</v>
      </c>
      <c r="O1054" s="2" t="s">
        <v>230</v>
      </c>
      <c r="P1054" s="2" t="s">
        <v>231</v>
      </c>
      <c r="Q1054" s="2" t="s">
        <v>232</v>
      </c>
      <c r="R1054" s="2" t="s">
        <v>233</v>
      </c>
      <c r="S1054" s="2" t="s">
        <v>5323</v>
      </c>
      <c r="T1054" s="2" t="s">
        <v>233</v>
      </c>
      <c r="U1054" s="2" t="s">
        <v>635</v>
      </c>
      <c r="V1054" s="2" t="s">
        <v>945</v>
      </c>
      <c r="W1054" s="2" t="s">
        <v>712</v>
      </c>
      <c r="X1054" s="2" t="s">
        <v>2033</v>
      </c>
      <c r="Y1054" s="2" t="s">
        <v>238</v>
      </c>
      <c r="Z1054" s="4">
        <v>204</v>
      </c>
      <c r="AA1054" s="4">
        <f>=ROUNDDOWN(68,0)</f>
      </c>
      <c r="AB1054" s="5">
        <v>3</v>
      </c>
      <c r="AC1054" s="2" t="s">
        <v>233</v>
      </c>
      <c r="AD1054" s="4"/>
      <c r="AE1054" s="4"/>
      <c r="AF1054" s="6">
        <v>64</v>
      </c>
      <c r="AG1054" s="6">
        <v>47</v>
      </c>
      <c r="AH1054" s="7">
        <v>1</v>
      </c>
      <c r="AI1054" s="4"/>
      <c r="AJ1054" s="4">
        <f>=ROUNDDOWN({0},0)</f>
      </c>
      <c r="AK1054" s="5"/>
      <c r="AL1054" s="2" t="s">
        <v>233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233</v>
      </c>
      <c r="AW1054" s="8" t="s">
        <v>233</v>
      </c>
      <c r="AX1054" s="4" t="s">
        <v>233</v>
      </c>
      <c r="AY1054" s="8" t="s">
        <v>233</v>
      </c>
      <c r="AZ1054" s="7" t="s">
        <v>233</v>
      </c>
      <c r="BA1054" s="7" t="s">
        <v>233</v>
      </c>
      <c r="BB1054" s="7"/>
      <c r="BC1054" s="4" t="s">
        <v>233</v>
      </c>
      <c r="BD1054" s="8" t="s">
        <v>233</v>
      </c>
      <c r="BE1054" s="4" t="s">
        <v>233</v>
      </c>
      <c r="BF1054" s="8" t="s">
        <v>233</v>
      </c>
      <c r="BG1054" s="7" t="s">
        <v>233</v>
      </c>
      <c r="BH1054" s="7" t="s">
        <v>233</v>
      </c>
      <c r="BI1054" s="7"/>
      <c r="BJ1054" s="4">
        <v>11</v>
      </c>
      <c r="BK1054" s="8">
        <v>801.35</v>
      </c>
      <c r="BL1054" s="2" t="s">
        <v>691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5312</v>
      </c>
      <c r="BV1054" s="2" t="s">
        <v>233</v>
      </c>
      <c r="BW1054" s="2" t="s">
        <v>233</v>
      </c>
      <c r="BX1054" s="2" t="s">
        <v>293</v>
      </c>
      <c r="BY1054" s="2" t="s">
        <v>242</v>
      </c>
      <c r="BZ1054" s="2" t="s">
        <v>230</v>
      </c>
      <c r="CA1054" s="2" t="s">
        <v>243</v>
      </c>
      <c r="CB1054" s="2" t="s">
        <v>3698</v>
      </c>
      <c r="CC1054" s="2" t="s">
        <v>245</v>
      </c>
      <c r="CD1054" s="2" t="s">
        <v>233</v>
      </c>
      <c r="CE1054" s="4">
        <v>113</v>
      </c>
      <c r="CF1054" s="4"/>
      <c r="CG1054" s="4"/>
      <c r="CH1054" s="4">
        <v>91</v>
      </c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>
        <v>204</v>
      </c>
      <c r="GD1054" s="4">
        <v>193</v>
      </c>
      <c r="GE1054" s="4">
        <v>188</v>
      </c>
      <c r="GF1054" s="4">
        <v>183</v>
      </c>
      <c r="GG1054" s="4">
        <v>176</v>
      </c>
      <c r="GH1054" s="4">
        <v>171</v>
      </c>
      <c r="GI1054" s="4">
        <v>166</v>
      </c>
      <c r="GJ1054" s="4">
        <v>163</v>
      </c>
      <c r="GK1054" s="4">
        <v>160</v>
      </c>
      <c r="GL1054" s="4">
        <v>157</v>
      </c>
      <c r="GM1054" s="4">
        <v>154</v>
      </c>
      <c r="GN1054" s="4">
        <v>151</v>
      </c>
      <c r="GO1054" s="4">
        <v>148</v>
      </c>
      <c r="GP1054" s="4">
        <v>145</v>
      </c>
      <c r="GQ1054" s="4">
        <v>142</v>
      </c>
      <c r="GR1054" s="4">
        <v>139</v>
      </c>
      <c r="GS1054" s="4">
        <v>136</v>
      </c>
      <c r="GT1054" s="4">
        <v>133</v>
      </c>
      <c r="GU1054" s="4">
        <v>130</v>
      </c>
      <c r="GV1054" s="4">
        <v>127</v>
      </c>
      <c r="GW1054" s="4">
        <v>124</v>
      </c>
      <c r="GX1054" s="4">
        <v>121</v>
      </c>
      <c r="GY1054" s="4">
        <v>118</v>
      </c>
      <c r="GZ1054" s="4">
        <v>115</v>
      </c>
      <c r="HA1054" s="4">
        <v>112</v>
      </c>
      <c r="HB1054" s="4">
        <v>109</v>
      </c>
      <c r="HC1054" s="19">
        <v>36.9</v>
      </c>
      <c r="HD1054" s="19">
        <v>39.5</v>
      </c>
      <c r="HE1054" s="19">
        <v>38.5</v>
      </c>
      <c r="HF1054" s="19">
        <v>37.5</v>
      </c>
      <c r="HG1054" s="19">
        <v>44</v>
      </c>
      <c r="HH1054" s="19">
        <v>62.5</v>
      </c>
      <c r="HI1054" s="19">
        <v>60.8</v>
      </c>
      <c r="HJ1054" s="19">
        <v>59.8</v>
      </c>
      <c r="HK1054" s="19">
        <v>58.8</v>
      </c>
      <c r="HL1054" s="19">
        <v>57.8</v>
      </c>
      <c r="HM1054" s="19">
        <v>56.8</v>
      </c>
      <c r="HN1054" s="19">
        <v>55.8</v>
      </c>
      <c r="HO1054" s="19">
        <v>54.8</v>
      </c>
      <c r="HP1054" s="19">
        <v>53.8</v>
      </c>
      <c r="HQ1054" s="19">
        <v>52.8</v>
      </c>
      <c r="HR1054" s="19">
        <v>51.8</v>
      </c>
      <c r="HS1054" s="19">
        <v>50.8</v>
      </c>
      <c r="HT1054" s="19">
        <v>49.8</v>
      </c>
      <c r="HU1054" s="19">
        <v>48.8</v>
      </c>
      <c r="HV1054" s="19">
        <v>47.8</v>
      </c>
      <c r="HW1054" s="19">
        <v>46.8</v>
      </c>
      <c r="HX1054" s="19">
        <v>45.8</v>
      </c>
      <c r="HY1054" s="19">
        <v>44.8</v>
      </c>
      <c r="HZ1054" s="19">
        <v>43.8</v>
      </c>
      <c r="IA1054" s="19">
        <v>42.8</v>
      </c>
      <c r="IB1054" s="19">
        <v>41.8</v>
      </c>
    </row>
    <row r="1055">
      <c r="A1055" s="2" t="s">
        <v>5324</v>
      </c>
      <c r="B1055" s="2" t="s">
        <v>938</v>
      </c>
      <c r="C1055" s="2" t="s">
        <v>280</v>
      </c>
      <c r="D1055" s="2" t="s">
        <v>972</v>
      </c>
      <c r="E1055" s="2" t="s">
        <v>973</v>
      </c>
      <c r="F1055" s="2" t="s">
        <v>5302</v>
      </c>
      <c r="G1055" s="2" t="s">
        <v>5303</v>
      </c>
      <c r="H1055" s="2" t="s">
        <v>5304</v>
      </c>
      <c r="I1055" s="2" t="s">
        <v>5314</v>
      </c>
      <c r="J1055" s="2" t="s">
        <v>978</v>
      </c>
      <c r="K1055" s="2" t="s">
        <v>1121</v>
      </c>
      <c r="L1055" s="3">
        <v>16.45</v>
      </c>
      <c r="M1055" s="3">
        <v>17.27</v>
      </c>
      <c r="N1055" s="3">
        <v>34.99</v>
      </c>
      <c r="O1055" s="2" t="s">
        <v>230</v>
      </c>
      <c r="P1055" s="2" t="s">
        <v>231</v>
      </c>
      <c r="Q1055" s="2" t="s">
        <v>232</v>
      </c>
      <c r="R1055" s="2" t="s">
        <v>233</v>
      </c>
      <c r="S1055" s="2" t="s">
        <v>5323</v>
      </c>
      <c r="T1055" s="2" t="s">
        <v>233</v>
      </c>
      <c r="U1055" s="2" t="s">
        <v>233</v>
      </c>
      <c r="V1055" s="2" t="s">
        <v>945</v>
      </c>
      <c r="W1055" s="2" t="s">
        <v>818</v>
      </c>
      <c r="X1055" s="2" t="s">
        <v>980</v>
      </c>
      <c r="Y1055" s="2" t="s">
        <v>238</v>
      </c>
      <c r="Z1055" s="4">
        <v>447</v>
      </c>
      <c r="AA1055" s="4">
        <f>=ROUNDDOWN(19.4347826086957,0)</f>
      </c>
      <c r="AB1055" s="5">
        <v>23</v>
      </c>
      <c r="AC1055" s="2" t="s">
        <v>145</v>
      </c>
      <c r="AD1055" s="4">
        <v>520</v>
      </c>
      <c r="AE1055" s="4">
        <v>520</v>
      </c>
      <c r="AF1055" s="6">
        <v>64</v>
      </c>
      <c r="AG1055" s="6"/>
      <c r="AH1055" s="7">
        <v>1</v>
      </c>
      <c r="AI1055" s="4"/>
      <c r="AJ1055" s="4">
        <f>=ROUNDDOWN({0},0)</f>
      </c>
      <c r="AK1055" s="5"/>
      <c r="AL1055" s="2" t="s">
        <v>233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233</v>
      </c>
      <c r="AW1055" s="8" t="s">
        <v>233</v>
      </c>
      <c r="AX1055" s="4" t="s">
        <v>233</v>
      </c>
      <c r="AY1055" s="8" t="s">
        <v>233</v>
      </c>
      <c r="AZ1055" s="7" t="s">
        <v>233</v>
      </c>
      <c r="BA1055" s="7" t="s">
        <v>233</v>
      </c>
      <c r="BB1055" s="7"/>
      <c r="BC1055" s="4" t="s">
        <v>233</v>
      </c>
      <c r="BD1055" s="8" t="s">
        <v>233</v>
      </c>
      <c r="BE1055" s="4" t="s">
        <v>233</v>
      </c>
      <c r="BF1055" s="8" t="s">
        <v>233</v>
      </c>
      <c r="BG1055" s="7" t="s">
        <v>233</v>
      </c>
      <c r="BH1055" s="7" t="s">
        <v>233</v>
      </c>
      <c r="BI1055" s="7"/>
      <c r="BJ1055" s="4">
        <v>89</v>
      </c>
      <c r="BK1055" s="8">
        <v>1580.12</v>
      </c>
      <c r="BL1055" s="2" t="s">
        <v>5325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5316</v>
      </c>
      <c r="BV1055" s="2" t="s">
        <v>233</v>
      </c>
      <c r="BW1055" s="2" t="s">
        <v>233</v>
      </c>
      <c r="BX1055" s="2" t="s">
        <v>241</v>
      </c>
      <c r="BY1055" s="2" t="s">
        <v>242</v>
      </c>
      <c r="BZ1055" s="2" t="s">
        <v>230</v>
      </c>
      <c r="CA1055" s="2" t="s">
        <v>243</v>
      </c>
      <c r="CB1055" s="2" t="s">
        <v>5326</v>
      </c>
      <c r="CC1055" s="2" t="s">
        <v>245</v>
      </c>
      <c r="CD1055" s="2" t="s">
        <v>233</v>
      </c>
      <c r="CE1055" s="4">
        <v>447</v>
      </c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>
        <v>520</v>
      </c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>
        <v>463</v>
      </c>
      <c r="GD1055" s="4">
        <v>427</v>
      </c>
      <c r="GE1055" s="4">
        <v>399</v>
      </c>
      <c r="GF1055" s="4">
        <v>893</v>
      </c>
      <c r="GG1055" s="4">
        <v>864</v>
      </c>
      <c r="GH1055" s="4">
        <v>838</v>
      </c>
      <c r="GI1055" s="4">
        <v>809</v>
      </c>
      <c r="GJ1055" s="4">
        <v>786</v>
      </c>
      <c r="GK1055" s="4">
        <v>761</v>
      </c>
      <c r="GL1055" s="4">
        <v>738</v>
      </c>
      <c r="GM1055" s="4">
        <v>712</v>
      </c>
      <c r="GN1055" s="4">
        <v>689</v>
      </c>
      <c r="GO1055" s="4">
        <v>666</v>
      </c>
      <c r="GP1055" s="4">
        <v>643</v>
      </c>
      <c r="GQ1055" s="4">
        <v>620</v>
      </c>
      <c r="GR1055" s="4">
        <v>597</v>
      </c>
      <c r="GS1055" s="4">
        <v>574</v>
      </c>
      <c r="GT1055" s="4">
        <v>549</v>
      </c>
      <c r="GU1055" s="4">
        <v>526</v>
      </c>
      <c r="GV1055" s="4">
        <v>503</v>
      </c>
      <c r="GW1055" s="4">
        <v>480</v>
      </c>
      <c r="GX1055" s="4">
        <v>457</v>
      </c>
      <c r="GY1055" s="4">
        <v>434</v>
      </c>
      <c r="GZ1055" s="4">
        <v>411</v>
      </c>
      <c r="HA1055" s="4">
        <v>385</v>
      </c>
      <c r="HB1055" s="4">
        <v>362</v>
      </c>
      <c r="HC1055" s="19">
        <v>15.4</v>
      </c>
      <c r="HD1055" s="19">
        <v>15.8</v>
      </c>
      <c r="HE1055" s="19">
        <v>14.3</v>
      </c>
      <c r="HF1055" s="19">
        <v>33.1</v>
      </c>
      <c r="HG1055" s="19">
        <v>33.2</v>
      </c>
      <c r="HH1055" s="19">
        <v>33.5</v>
      </c>
      <c r="HI1055" s="19">
        <v>33.7</v>
      </c>
      <c r="HJ1055" s="19">
        <v>32.8</v>
      </c>
      <c r="HK1055" s="19">
        <v>31.7</v>
      </c>
      <c r="HL1055" s="19">
        <v>30.8</v>
      </c>
      <c r="HM1055" s="19">
        <v>31</v>
      </c>
      <c r="HN1055" s="19">
        <v>30</v>
      </c>
      <c r="HO1055" s="19">
        <v>29</v>
      </c>
      <c r="HP1055" s="19">
        <v>26.8</v>
      </c>
      <c r="HQ1055" s="19">
        <v>25.8</v>
      </c>
      <c r="HR1055" s="19">
        <v>24.9</v>
      </c>
      <c r="HS1055" s="19">
        <v>23.9</v>
      </c>
      <c r="HT1055" s="19">
        <v>23.9</v>
      </c>
      <c r="HU1055" s="19">
        <v>22.9</v>
      </c>
      <c r="HV1055" s="19">
        <v>21.9</v>
      </c>
      <c r="HW1055" s="19">
        <v>20</v>
      </c>
      <c r="HX1055" s="19">
        <v>19</v>
      </c>
      <c r="HY1055" s="19">
        <v>18.1</v>
      </c>
      <c r="HZ1055" s="19">
        <v>17.1</v>
      </c>
      <c r="IA1055" s="19">
        <v>16.7</v>
      </c>
      <c r="IB1055" s="19">
        <v>15.1</v>
      </c>
    </row>
    <row r="1056">
      <c r="A1056" s="2" t="s">
        <v>5327</v>
      </c>
      <c r="B1056" s="2" t="s">
        <v>938</v>
      </c>
      <c r="C1056" s="2" t="s">
        <v>280</v>
      </c>
      <c r="D1056" s="2" t="s">
        <v>939</v>
      </c>
      <c r="E1056" s="2" t="s">
        <v>940</v>
      </c>
      <c r="F1056" s="2" t="s">
        <v>5302</v>
      </c>
      <c r="G1056" s="2" t="s">
        <v>5303</v>
      </c>
      <c r="H1056" s="2" t="s">
        <v>5304</v>
      </c>
      <c r="I1056" s="2" t="s">
        <v>5319</v>
      </c>
      <c r="J1056" s="2" t="s">
        <v>942</v>
      </c>
      <c r="K1056" s="2" t="s">
        <v>1121</v>
      </c>
      <c r="L1056" s="3">
        <v>11.25</v>
      </c>
      <c r="M1056" s="3">
        <v>11.81</v>
      </c>
      <c r="N1056" s="3">
        <v>24.99</v>
      </c>
      <c r="O1056" s="2" t="s">
        <v>230</v>
      </c>
      <c r="P1056" s="2" t="s">
        <v>231</v>
      </c>
      <c r="Q1056" s="2" t="s">
        <v>232</v>
      </c>
      <c r="R1056" s="2" t="s">
        <v>233</v>
      </c>
      <c r="S1056" s="2" t="s">
        <v>5323</v>
      </c>
      <c r="T1056" s="2" t="s">
        <v>233</v>
      </c>
      <c r="U1056" s="2" t="s">
        <v>233</v>
      </c>
      <c r="V1056" s="2" t="s">
        <v>945</v>
      </c>
      <c r="W1056" s="2" t="s">
        <v>818</v>
      </c>
      <c r="X1056" s="2" t="s">
        <v>233</v>
      </c>
      <c r="Y1056" s="2" t="s">
        <v>238</v>
      </c>
      <c r="Z1056" s="4">
        <v>449</v>
      </c>
      <c r="AA1056" s="4">
        <f>=ROUNDDOWN(29.9333333333333,0)</f>
      </c>
      <c r="AB1056" s="5">
        <v>15</v>
      </c>
      <c r="AC1056" s="2" t="s">
        <v>233</v>
      </c>
      <c r="AD1056" s="4"/>
      <c r="AE1056" s="4"/>
      <c r="AF1056" s="6">
        <v>64</v>
      </c>
      <c r="AG1056" s="6"/>
      <c r="AH1056" s="7">
        <v>1</v>
      </c>
      <c r="AI1056" s="4"/>
      <c r="AJ1056" s="4">
        <f>=ROUNDDOWN({0},0)</f>
      </c>
      <c r="AK1056" s="5"/>
      <c r="AL1056" s="2" t="s">
        <v>233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233</v>
      </c>
      <c r="AW1056" s="8" t="s">
        <v>233</v>
      </c>
      <c r="AX1056" s="4" t="s">
        <v>233</v>
      </c>
      <c r="AY1056" s="8" t="s">
        <v>233</v>
      </c>
      <c r="AZ1056" s="7" t="s">
        <v>233</v>
      </c>
      <c r="BA1056" s="7" t="s">
        <v>233</v>
      </c>
      <c r="BB1056" s="7"/>
      <c r="BC1056" s="4" t="s">
        <v>233</v>
      </c>
      <c r="BD1056" s="8" t="s">
        <v>233</v>
      </c>
      <c r="BE1056" s="4" t="s">
        <v>233</v>
      </c>
      <c r="BF1056" s="8" t="s">
        <v>233</v>
      </c>
      <c r="BG1056" s="7" t="s">
        <v>233</v>
      </c>
      <c r="BH1056" s="7" t="s">
        <v>233</v>
      </c>
      <c r="BI1056" s="7"/>
      <c r="BJ1056" s="4">
        <v>84</v>
      </c>
      <c r="BK1056" s="8">
        <v>1017.27</v>
      </c>
      <c r="BL1056" s="2" t="s">
        <v>5328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5320</v>
      </c>
      <c r="BV1056" s="2" t="s">
        <v>233</v>
      </c>
      <c r="BW1056" s="2" t="s">
        <v>233</v>
      </c>
      <c r="BX1056" s="2" t="s">
        <v>241</v>
      </c>
      <c r="BY1056" s="2" t="s">
        <v>242</v>
      </c>
      <c r="BZ1056" s="2" t="s">
        <v>230</v>
      </c>
      <c r="CA1056" s="2" t="s">
        <v>243</v>
      </c>
      <c r="CB1056" s="2" t="s">
        <v>5329</v>
      </c>
      <c r="CC1056" s="2" t="s">
        <v>245</v>
      </c>
      <c r="CD1056" s="2" t="s">
        <v>233</v>
      </c>
      <c r="CE1056" s="4">
        <v>449</v>
      </c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>
        <v>466</v>
      </c>
      <c r="GD1056" s="4">
        <v>450</v>
      </c>
      <c r="GE1056" s="4">
        <v>442</v>
      </c>
      <c r="GF1056" s="4">
        <v>435</v>
      </c>
      <c r="GG1056" s="4">
        <v>420</v>
      </c>
      <c r="GH1056" s="4">
        <v>402</v>
      </c>
      <c r="GI1056" s="4">
        <v>383</v>
      </c>
      <c r="GJ1056" s="4">
        <v>367</v>
      </c>
      <c r="GK1056" s="4">
        <v>352</v>
      </c>
      <c r="GL1056" s="4">
        <v>337</v>
      </c>
      <c r="GM1056" s="4">
        <v>320</v>
      </c>
      <c r="GN1056" s="4">
        <v>305</v>
      </c>
      <c r="GO1056" s="4">
        <v>290</v>
      </c>
      <c r="GP1056" s="4">
        <v>275</v>
      </c>
      <c r="GQ1056" s="4">
        <v>260</v>
      </c>
      <c r="GR1056" s="4">
        <v>245</v>
      </c>
      <c r="GS1056" s="4">
        <v>230</v>
      </c>
      <c r="GT1056" s="4">
        <v>214</v>
      </c>
      <c r="GU1056" s="4">
        <v>199</v>
      </c>
      <c r="GV1056" s="4">
        <v>184</v>
      </c>
      <c r="GW1056" s="4">
        <v>169</v>
      </c>
      <c r="GX1056" s="4">
        <v>154</v>
      </c>
      <c r="GY1056" s="4">
        <v>139</v>
      </c>
      <c r="GZ1056" s="4">
        <v>124</v>
      </c>
      <c r="HA1056" s="4">
        <v>107</v>
      </c>
      <c r="HB1056" s="4">
        <v>92</v>
      </c>
      <c r="HC1056" s="19">
        <v>38.8</v>
      </c>
      <c r="HD1056" s="19">
        <v>37.5</v>
      </c>
      <c r="HE1056" s="19">
        <v>29.5</v>
      </c>
      <c r="HF1056" s="19">
        <v>25.6</v>
      </c>
      <c r="HG1056" s="19">
        <v>24.7</v>
      </c>
      <c r="HH1056" s="19">
        <v>25.1</v>
      </c>
      <c r="HI1056" s="19">
        <v>23.9</v>
      </c>
      <c r="HJ1056" s="19">
        <v>22.9</v>
      </c>
      <c r="HK1056" s="19">
        <v>22</v>
      </c>
      <c r="HL1056" s="19">
        <v>21.1</v>
      </c>
      <c r="HM1056" s="19">
        <v>21.3</v>
      </c>
      <c r="HN1056" s="19">
        <v>20.3</v>
      </c>
      <c r="HO1056" s="19">
        <v>19.3</v>
      </c>
      <c r="HP1056" s="19">
        <v>18.3</v>
      </c>
      <c r="HQ1056" s="19">
        <v>17.3</v>
      </c>
      <c r="HR1056" s="19">
        <v>16.3</v>
      </c>
      <c r="HS1056" s="19">
        <v>15.3</v>
      </c>
      <c r="HT1056" s="19">
        <v>14.3</v>
      </c>
      <c r="HU1056" s="19">
        <v>13.3</v>
      </c>
      <c r="HV1056" s="19">
        <v>12.3</v>
      </c>
      <c r="HW1056" s="19">
        <v>10.6</v>
      </c>
      <c r="HX1056" s="19">
        <v>9.6</v>
      </c>
      <c r="HY1056" s="19">
        <v>8.7</v>
      </c>
      <c r="HZ1056" s="19">
        <v>7.8</v>
      </c>
      <c r="IA1056" s="19">
        <v>7.1</v>
      </c>
      <c r="IB1056" s="19">
        <v>5.8</v>
      </c>
    </row>
    <row r="1057">
      <c r="A1057" s="2" t="s">
        <v>5330</v>
      </c>
      <c r="B1057" s="2" t="s">
        <v>923</v>
      </c>
      <c r="C1057" s="2" t="s">
        <v>280</v>
      </c>
      <c r="D1057" s="2" t="s">
        <v>951</v>
      </c>
      <c r="E1057" s="2" t="s">
        <v>952</v>
      </c>
      <c r="F1057" s="2" t="s">
        <v>5302</v>
      </c>
      <c r="G1057" s="2" t="s">
        <v>5303</v>
      </c>
      <c r="H1057" s="2" t="s">
        <v>5304</v>
      </c>
      <c r="I1057" s="2" t="s">
        <v>5305</v>
      </c>
      <c r="J1057" s="2" t="s">
        <v>954</v>
      </c>
      <c r="K1057" s="2" t="s">
        <v>832</v>
      </c>
      <c r="L1057" s="3">
        <v>15.84</v>
      </c>
      <c r="M1057" s="3">
        <v>16.63</v>
      </c>
      <c r="N1057" s="3">
        <v>34.99</v>
      </c>
      <c r="O1057" s="2" t="s">
        <v>230</v>
      </c>
      <c r="P1057" s="2" t="s">
        <v>231</v>
      </c>
      <c r="Q1057" s="2" t="s">
        <v>232</v>
      </c>
      <c r="R1057" s="2" t="s">
        <v>233</v>
      </c>
      <c r="S1057" s="2" t="s">
        <v>5331</v>
      </c>
      <c r="T1057" s="2" t="s">
        <v>233</v>
      </c>
      <c r="U1057" s="2" t="s">
        <v>233</v>
      </c>
      <c r="V1057" s="2" t="s">
        <v>945</v>
      </c>
      <c r="W1057" s="2" t="s">
        <v>712</v>
      </c>
      <c r="X1057" s="2" t="s">
        <v>233</v>
      </c>
      <c r="Y1057" s="2" t="s">
        <v>5332</v>
      </c>
      <c r="Z1057" s="4">
        <v>370</v>
      </c>
      <c r="AA1057" s="4">
        <f>=ROUNDDOWN(26.4285714285714,0)</f>
      </c>
      <c r="AB1057" s="5">
        <v>14</v>
      </c>
      <c r="AC1057" s="2" t="s">
        <v>145</v>
      </c>
      <c r="AD1057" s="4">
        <v>120</v>
      </c>
      <c r="AE1057" s="4">
        <v>120</v>
      </c>
      <c r="AF1057" s="6">
        <v>64</v>
      </c>
      <c r="AG1057" s="6"/>
      <c r="AH1057" s="7">
        <v>1</v>
      </c>
      <c r="AI1057" s="4"/>
      <c r="AJ1057" s="4">
        <f>=ROUNDDOWN({0},0)</f>
      </c>
      <c r="AK1057" s="5"/>
      <c r="AL1057" s="2" t="s">
        <v>233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 t="s">
        <v>233</v>
      </c>
      <c r="BD1057" s="8" t="s">
        <v>233</v>
      </c>
      <c r="BE1057" s="4" t="s">
        <v>233</v>
      </c>
      <c r="BF1057" s="8" t="s">
        <v>233</v>
      </c>
      <c r="BG1057" s="7" t="s">
        <v>233</v>
      </c>
      <c r="BH1057" s="7" t="s">
        <v>233</v>
      </c>
      <c r="BI1057" s="7"/>
      <c r="BJ1057" s="4">
        <v>61</v>
      </c>
      <c r="BK1057" s="8">
        <v>1215.74</v>
      </c>
      <c r="BL1057" s="2" t="s">
        <v>2095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5307</v>
      </c>
      <c r="BV1057" s="2" t="s">
        <v>233</v>
      </c>
      <c r="BW1057" s="2" t="s">
        <v>233</v>
      </c>
      <c r="BX1057" s="2" t="s">
        <v>293</v>
      </c>
      <c r="BY1057" s="2" t="s">
        <v>242</v>
      </c>
      <c r="BZ1057" s="2" t="s">
        <v>230</v>
      </c>
      <c r="CA1057" s="2" t="s">
        <v>3805</v>
      </c>
      <c r="CB1057" s="2" t="s">
        <v>2493</v>
      </c>
      <c r="CC1057" s="2" t="s">
        <v>245</v>
      </c>
      <c r="CD1057" s="2" t="s">
        <v>233</v>
      </c>
      <c r="CE1057" s="4">
        <v>370</v>
      </c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>
        <v>120</v>
      </c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>
        <v>389</v>
      </c>
      <c r="GD1057" s="4">
        <v>357</v>
      </c>
      <c r="GE1057" s="4">
        <v>336</v>
      </c>
      <c r="GF1057" s="4">
        <v>438</v>
      </c>
      <c r="GG1057" s="4">
        <v>413</v>
      </c>
      <c r="GH1057" s="4">
        <v>393</v>
      </c>
      <c r="GI1057" s="4">
        <v>373</v>
      </c>
      <c r="GJ1057" s="4">
        <v>360</v>
      </c>
      <c r="GK1057" s="4">
        <v>349</v>
      </c>
      <c r="GL1057" s="4">
        <v>334</v>
      </c>
      <c r="GM1057" s="4">
        <v>319</v>
      </c>
      <c r="GN1057" s="4">
        <v>305</v>
      </c>
      <c r="GO1057" s="4">
        <v>291</v>
      </c>
      <c r="GP1057" s="4">
        <v>277</v>
      </c>
      <c r="GQ1057" s="4">
        <v>263</v>
      </c>
      <c r="GR1057" s="4">
        <v>249</v>
      </c>
      <c r="GS1057" s="4">
        <v>235</v>
      </c>
      <c r="GT1057" s="4">
        <v>220</v>
      </c>
      <c r="GU1057" s="4">
        <v>206</v>
      </c>
      <c r="GV1057" s="4">
        <v>192</v>
      </c>
      <c r="GW1057" s="4">
        <v>178</v>
      </c>
      <c r="GX1057" s="4">
        <v>164</v>
      </c>
      <c r="GY1057" s="4">
        <v>150</v>
      </c>
      <c r="GZ1057" s="4">
        <v>136</v>
      </c>
      <c r="HA1057" s="4">
        <v>121</v>
      </c>
      <c r="HB1057" s="4">
        <v>107</v>
      </c>
      <c r="HC1057" s="19">
        <v>16.2</v>
      </c>
      <c r="HD1057" s="19">
        <v>17</v>
      </c>
      <c r="HE1057" s="19">
        <v>16</v>
      </c>
      <c r="HF1057" s="19">
        <v>21.9</v>
      </c>
      <c r="HG1057" s="19">
        <v>25.8</v>
      </c>
      <c r="HH1057" s="19">
        <v>26.2</v>
      </c>
      <c r="HI1057" s="19">
        <v>26.6</v>
      </c>
      <c r="HJ1057" s="19">
        <v>25.7</v>
      </c>
      <c r="HK1057" s="19">
        <v>24.9</v>
      </c>
      <c r="HL1057" s="19">
        <v>23.9</v>
      </c>
      <c r="HM1057" s="19">
        <v>22.8</v>
      </c>
      <c r="HN1057" s="19">
        <v>21.8</v>
      </c>
      <c r="HO1057" s="19">
        <v>20.8</v>
      </c>
      <c r="HP1057" s="19">
        <v>19.8</v>
      </c>
      <c r="HQ1057" s="19">
        <v>18.8</v>
      </c>
      <c r="HR1057" s="19">
        <v>17.8</v>
      </c>
      <c r="HS1057" s="19">
        <v>16.8</v>
      </c>
      <c r="HT1057" s="19">
        <v>15.7</v>
      </c>
      <c r="HU1057" s="19">
        <v>14.7</v>
      </c>
      <c r="HV1057" s="19">
        <v>13.7</v>
      </c>
      <c r="HW1057" s="19">
        <v>12.7</v>
      </c>
      <c r="HX1057" s="19">
        <v>11.7</v>
      </c>
      <c r="HY1057" s="19">
        <v>10.7</v>
      </c>
      <c r="HZ1057" s="19">
        <v>9.7</v>
      </c>
      <c r="IA1057" s="19">
        <v>8.6</v>
      </c>
      <c r="IB1057" s="19">
        <v>7.6</v>
      </c>
    </row>
    <row r="1058">
      <c r="A1058" s="2" t="s">
        <v>5333</v>
      </c>
      <c r="B1058" s="2" t="s">
        <v>811</v>
      </c>
      <c r="C1058" s="2" t="s">
        <v>762</v>
      </c>
      <c r="D1058" s="2" t="s">
        <v>1763</v>
      </c>
      <c r="E1058" s="2" t="s">
        <v>1764</v>
      </c>
      <c r="F1058" s="2" t="s">
        <v>5334</v>
      </c>
      <c r="G1058" s="2" t="s">
        <v>5334</v>
      </c>
      <c r="H1058" s="2" t="s">
        <v>5334</v>
      </c>
      <c r="I1058" s="2" t="s">
        <v>5335</v>
      </c>
      <c r="J1058" s="2" t="s">
        <v>741</v>
      </c>
      <c r="K1058" s="2" t="s">
        <v>5336</v>
      </c>
      <c r="L1058" s="3">
        <v>132</v>
      </c>
      <c r="M1058" s="3">
        <v>138.6</v>
      </c>
      <c r="N1058" s="3">
        <v>279.99</v>
      </c>
      <c r="O1058" s="2" t="s">
        <v>230</v>
      </c>
      <c r="P1058" s="2" t="s">
        <v>721</v>
      </c>
      <c r="Q1058" s="2" t="s">
        <v>232</v>
      </c>
      <c r="R1058" s="2" t="s">
        <v>233</v>
      </c>
      <c r="S1058" s="2" t="s">
        <v>233</v>
      </c>
      <c r="T1058" s="2" t="s">
        <v>233</v>
      </c>
      <c r="U1058" s="2" t="s">
        <v>329</v>
      </c>
      <c r="V1058" s="2" t="s">
        <v>609</v>
      </c>
      <c r="W1058" s="2" t="s">
        <v>1141</v>
      </c>
      <c r="X1058" s="2" t="s">
        <v>237</v>
      </c>
      <c r="Y1058" s="2" t="s">
        <v>1937</v>
      </c>
      <c r="Z1058" s="4">
        <v>84</v>
      </c>
      <c r="AA1058" s="4">
        <f>=ROUNDDOWN(42,0)</f>
      </c>
      <c r="AB1058" s="5">
        <v>2</v>
      </c>
      <c r="AC1058" s="2" t="s">
        <v>233</v>
      </c>
      <c r="AD1058" s="4"/>
      <c r="AE1058" s="4"/>
      <c r="AF1058" s="6">
        <v>63</v>
      </c>
      <c r="AG1058" s="6"/>
      <c r="AH1058" s="7">
        <v>1</v>
      </c>
      <c r="AI1058" s="4"/>
      <c r="AJ1058" s="4">
        <f>=ROUNDDOWN({0},0)</f>
      </c>
      <c r="AK1058" s="5"/>
      <c r="AL1058" s="2" t="s">
        <v>233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/>
      <c r="AW1058" s="8"/>
      <c r="AX1058" s="4"/>
      <c r="AY1058" s="8"/>
      <c r="AZ1058" s="7"/>
      <c r="BA1058" s="7"/>
      <c r="BB1058" s="7"/>
      <c r="BC1058" s="4"/>
      <c r="BD1058" s="8"/>
      <c r="BE1058" s="4"/>
      <c r="BF1058" s="8"/>
      <c r="BG1058" s="7"/>
      <c r="BH1058" s="7"/>
      <c r="BI1058" s="7"/>
      <c r="BJ1058" s="4"/>
      <c r="BK1058" s="8"/>
      <c r="BL1058" s="2" t="s">
        <v>233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5337</v>
      </c>
      <c r="BV1058" s="2" t="s">
        <v>233</v>
      </c>
      <c r="BW1058" s="2" t="s">
        <v>233</v>
      </c>
      <c r="BX1058" s="2" t="s">
        <v>241</v>
      </c>
      <c r="BY1058" s="2" t="s">
        <v>242</v>
      </c>
      <c r="BZ1058" s="2" t="s">
        <v>230</v>
      </c>
      <c r="CA1058" s="2" t="s">
        <v>3382</v>
      </c>
      <c r="CB1058" s="2" t="s">
        <v>1770</v>
      </c>
      <c r="CC1058" s="2" t="s">
        <v>245</v>
      </c>
      <c r="CD1058" s="2" t="s">
        <v>233</v>
      </c>
      <c r="CE1058" s="4"/>
      <c r="CF1058" s="4">
        <v>84</v>
      </c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>
        <v>84</v>
      </c>
      <c r="GD1058" s="4">
        <v>82</v>
      </c>
      <c r="GE1058" s="4">
        <v>80</v>
      </c>
      <c r="GF1058" s="4">
        <v>77</v>
      </c>
      <c r="GG1058" s="4">
        <v>75</v>
      </c>
      <c r="GH1058" s="4">
        <v>73</v>
      </c>
      <c r="GI1058" s="4">
        <v>70</v>
      </c>
      <c r="GJ1058" s="4">
        <v>68</v>
      </c>
      <c r="GK1058" s="4">
        <v>66</v>
      </c>
      <c r="GL1058" s="4">
        <v>64</v>
      </c>
      <c r="GM1058" s="4">
        <v>62</v>
      </c>
      <c r="GN1058" s="4">
        <v>60</v>
      </c>
      <c r="GO1058" s="4">
        <v>58</v>
      </c>
      <c r="GP1058" s="4">
        <v>56</v>
      </c>
      <c r="GQ1058" s="4">
        <v>54</v>
      </c>
      <c r="GR1058" s="4">
        <v>52</v>
      </c>
      <c r="GS1058" s="4">
        <v>50</v>
      </c>
      <c r="GT1058" s="4">
        <v>48</v>
      </c>
      <c r="GU1058" s="4">
        <v>46</v>
      </c>
      <c r="GV1058" s="4">
        <v>44</v>
      </c>
      <c r="GW1058" s="4">
        <v>42</v>
      </c>
      <c r="GX1058" s="4">
        <v>40</v>
      </c>
      <c r="GY1058" s="4">
        <v>38</v>
      </c>
      <c r="GZ1058" s="4">
        <v>36</v>
      </c>
      <c r="HA1058" s="4">
        <v>34</v>
      </c>
      <c r="HB1058" s="4">
        <v>32</v>
      </c>
      <c r="HC1058" s="19">
        <v>42</v>
      </c>
      <c r="HD1058" s="19">
        <v>41</v>
      </c>
      <c r="HE1058" s="19">
        <v>40</v>
      </c>
      <c r="HF1058" s="19">
        <v>38.5</v>
      </c>
      <c r="HG1058" s="19">
        <v>37.5</v>
      </c>
      <c r="HH1058" s="19">
        <v>36.5</v>
      </c>
      <c r="HI1058" s="19">
        <v>35</v>
      </c>
      <c r="HJ1058" s="19">
        <v>34</v>
      </c>
      <c r="HK1058" s="19">
        <v>33</v>
      </c>
      <c r="HL1058" s="19">
        <v>32</v>
      </c>
      <c r="HM1058" s="19">
        <v>31</v>
      </c>
      <c r="HN1058" s="19">
        <v>30</v>
      </c>
      <c r="HO1058" s="19">
        <v>29</v>
      </c>
      <c r="HP1058" s="19">
        <v>28</v>
      </c>
      <c r="HQ1058" s="19">
        <v>27</v>
      </c>
      <c r="HR1058" s="19">
        <v>26</v>
      </c>
      <c r="HS1058" s="19">
        <v>25</v>
      </c>
      <c r="HT1058" s="19">
        <v>24</v>
      </c>
      <c r="HU1058" s="19">
        <v>23</v>
      </c>
      <c r="HV1058" s="19">
        <v>22</v>
      </c>
      <c r="HW1058" s="19">
        <v>21</v>
      </c>
      <c r="HX1058" s="19">
        <v>20</v>
      </c>
      <c r="HY1058" s="19">
        <v>19</v>
      </c>
      <c r="HZ1058" s="19">
        <v>18</v>
      </c>
      <c r="IA1058" s="19">
        <v>17</v>
      </c>
      <c r="IB1058" s="19">
        <v>16</v>
      </c>
    </row>
    <row r="1059">
      <c r="A1059" s="2" t="s">
        <v>5338</v>
      </c>
      <c r="B1059" s="2" t="s">
        <v>222</v>
      </c>
      <c r="C1059" s="2" t="s">
        <v>223</v>
      </c>
      <c r="D1059" s="2" t="s">
        <v>224</v>
      </c>
      <c r="E1059" s="2" t="s">
        <v>3009</v>
      </c>
      <c r="F1059" s="2" t="s">
        <v>5339</v>
      </c>
      <c r="G1059" s="2" t="s">
        <v>3174</v>
      </c>
      <c r="H1059" s="2" t="s">
        <v>3174</v>
      </c>
      <c r="I1059" s="2" t="s">
        <v>5340</v>
      </c>
      <c r="J1059" s="2" t="s">
        <v>247</v>
      </c>
      <c r="K1059" s="2" t="s">
        <v>266</v>
      </c>
      <c r="L1059" s="3">
        <v>13.16</v>
      </c>
      <c r="M1059" s="3">
        <v>13.82</v>
      </c>
      <c r="N1059" s="3">
        <v>29.99</v>
      </c>
      <c r="O1059" s="2" t="s">
        <v>230</v>
      </c>
      <c r="P1059" s="2" t="s">
        <v>231</v>
      </c>
      <c r="Q1059" s="2" t="s">
        <v>232</v>
      </c>
      <c r="R1059" s="2" t="s">
        <v>233</v>
      </c>
      <c r="S1059" s="2" t="s">
        <v>5341</v>
      </c>
      <c r="T1059" s="2" t="s">
        <v>469</v>
      </c>
      <c r="U1059" s="2" t="s">
        <v>233</v>
      </c>
      <c r="V1059" s="2" t="s">
        <v>236</v>
      </c>
      <c r="W1059" s="2" t="s">
        <v>237</v>
      </c>
      <c r="X1059" s="2" t="s">
        <v>233</v>
      </c>
      <c r="Y1059" s="2" t="s">
        <v>238</v>
      </c>
      <c r="Z1059" s="4">
        <v>2694</v>
      </c>
      <c r="AA1059" s="4">
        <f>=ROUNDDOWN(30.6136363636364,0)</f>
      </c>
      <c r="AB1059" s="5">
        <v>88</v>
      </c>
      <c r="AC1059" s="2" t="s">
        <v>233</v>
      </c>
      <c r="AD1059" s="4"/>
      <c r="AE1059" s="4"/>
      <c r="AF1059" s="6">
        <v>65</v>
      </c>
      <c r="AG1059" s="6">
        <v>48</v>
      </c>
      <c r="AH1059" s="7">
        <v>1</v>
      </c>
      <c r="AI1059" s="4"/>
      <c r="AJ1059" s="4">
        <f>=ROUNDDOWN({0},0)</f>
      </c>
      <c r="AK1059" s="5"/>
      <c r="AL1059" s="2" t="s">
        <v>233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233</v>
      </c>
      <c r="AW1059" s="8" t="s">
        <v>233</v>
      </c>
      <c r="AX1059" s="4" t="s">
        <v>233</v>
      </c>
      <c r="AY1059" s="8" t="s">
        <v>233</v>
      </c>
      <c r="AZ1059" s="7" t="s">
        <v>233</v>
      </c>
      <c r="BA1059" s="7" t="s">
        <v>233</v>
      </c>
      <c r="BB1059" s="7"/>
      <c r="BC1059" s="4" t="s">
        <v>233</v>
      </c>
      <c r="BD1059" s="8" t="s">
        <v>233</v>
      </c>
      <c r="BE1059" s="4" t="s">
        <v>233</v>
      </c>
      <c r="BF1059" s="8" t="s">
        <v>233</v>
      </c>
      <c r="BG1059" s="7" t="s">
        <v>233</v>
      </c>
      <c r="BH1059" s="7" t="s">
        <v>233</v>
      </c>
      <c r="BI1059" s="7"/>
      <c r="BJ1059" s="4">
        <v>234</v>
      </c>
      <c r="BK1059" s="8">
        <v>3351.94</v>
      </c>
      <c r="BL1059" s="2" t="s">
        <v>5342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5343</v>
      </c>
      <c r="BV1059" s="2" t="s">
        <v>233</v>
      </c>
      <c r="BW1059" s="2" t="s">
        <v>233</v>
      </c>
      <c r="BX1059" s="2" t="s">
        <v>241</v>
      </c>
      <c r="BY1059" s="2" t="s">
        <v>242</v>
      </c>
      <c r="BZ1059" s="2" t="s">
        <v>230</v>
      </c>
      <c r="CA1059" s="2" t="s">
        <v>243</v>
      </c>
      <c r="CB1059" s="2" t="s">
        <v>3822</v>
      </c>
      <c r="CC1059" s="2" t="s">
        <v>245</v>
      </c>
      <c r="CD1059" s="2" t="s">
        <v>233</v>
      </c>
      <c r="CE1059" s="4">
        <v>1208</v>
      </c>
      <c r="CF1059" s="4">
        <v>554</v>
      </c>
      <c r="CG1059" s="4"/>
      <c r="CH1059" s="4">
        <v>832</v>
      </c>
      <c r="CI1059" s="4"/>
      <c r="CJ1059" s="4"/>
      <c r="CK1059" s="4"/>
      <c r="CL1059" s="4"/>
      <c r="CM1059" s="4"/>
      <c r="CN1059" s="4"/>
      <c r="CO1059" s="4">
        <v>100</v>
      </c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>
        <v>2736</v>
      </c>
      <c r="GD1059" s="4">
        <v>2590</v>
      </c>
      <c r="GE1059" s="4">
        <v>2449</v>
      </c>
      <c r="GF1059" s="4">
        <v>2327</v>
      </c>
      <c r="GG1059" s="4">
        <v>2108</v>
      </c>
      <c r="GH1059" s="4">
        <v>2003</v>
      </c>
      <c r="GI1059" s="4">
        <v>1889</v>
      </c>
      <c r="GJ1059" s="4">
        <v>1827</v>
      </c>
      <c r="GK1059" s="4">
        <v>1782</v>
      </c>
      <c r="GL1059" s="4">
        <v>1720</v>
      </c>
      <c r="GM1059" s="4">
        <v>1666</v>
      </c>
      <c r="GN1059" s="4">
        <v>1604</v>
      </c>
      <c r="GO1059" s="4">
        <v>1542</v>
      </c>
      <c r="GP1059" s="4">
        <v>1471</v>
      </c>
      <c r="GQ1059" s="4">
        <v>1400</v>
      </c>
      <c r="GR1059" s="4">
        <v>1329</v>
      </c>
      <c r="GS1059" s="4">
        <v>1258</v>
      </c>
      <c r="GT1059" s="4">
        <v>1179</v>
      </c>
      <c r="GU1059" s="4">
        <v>1108</v>
      </c>
      <c r="GV1059" s="4">
        <v>1029</v>
      </c>
      <c r="GW1059" s="4">
        <v>950</v>
      </c>
      <c r="GX1059" s="4">
        <v>871</v>
      </c>
      <c r="GY1059" s="4">
        <v>792</v>
      </c>
      <c r="GZ1059" s="4">
        <v>1380</v>
      </c>
      <c r="HA1059" s="4">
        <v>1301</v>
      </c>
      <c r="HB1059" s="4">
        <v>1222</v>
      </c>
      <c r="HC1059" s="19">
        <v>20.4</v>
      </c>
      <c r="HD1059" s="19">
        <v>20.5</v>
      </c>
      <c r="HE1059" s="19">
        <v>20.3</v>
      </c>
      <c r="HF1059" s="19">
        <v>21.9</v>
      </c>
      <c r="HG1059" s="19">
        <v>30.4</v>
      </c>
      <c r="HH1059" s="19">
        <v>33.9</v>
      </c>
      <c r="HI1059" s="19">
        <v>40</v>
      </c>
      <c r="HJ1059" s="19">
        <v>39</v>
      </c>
      <c r="HK1059" s="19">
        <v>37.1</v>
      </c>
      <c r="HL1059" s="19">
        <v>34.1</v>
      </c>
      <c r="HM1059" s="19">
        <v>31.2</v>
      </c>
      <c r="HN1059" s="19">
        <v>29.9</v>
      </c>
      <c r="HO1059" s="19">
        <v>27.5</v>
      </c>
      <c r="HP1059" s="19">
        <v>25.1</v>
      </c>
      <c r="HQ1059" s="19">
        <v>24.2</v>
      </c>
      <c r="HR1059" s="19">
        <v>23.1</v>
      </c>
      <c r="HS1059" s="19">
        <v>22.1</v>
      </c>
      <c r="HT1059" s="19">
        <v>21</v>
      </c>
      <c r="HU1059" s="19">
        <v>19.1</v>
      </c>
      <c r="HV1059" s="19">
        <v>18.1</v>
      </c>
      <c r="HW1059" s="19">
        <v>17.1</v>
      </c>
      <c r="HX1059" s="19">
        <v>16.1</v>
      </c>
      <c r="HY1059" s="19">
        <v>15.1</v>
      </c>
      <c r="HZ1059" s="19">
        <v>19.7</v>
      </c>
      <c r="IA1059" s="19">
        <v>17.7</v>
      </c>
      <c r="IB1059" s="19">
        <v>15.9</v>
      </c>
    </row>
    <row r="1060">
      <c r="A1060" s="2" t="s">
        <v>5344</v>
      </c>
      <c r="B1060" s="2" t="s">
        <v>222</v>
      </c>
      <c r="C1060" s="2" t="s">
        <v>223</v>
      </c>
      <c r="D1060" s="2" t="s">
        <v>224</v>
      </c>
      <c r="E1060" s="2" t="s">
        <v>3009</v>
      </c>
      <c r="F1060" s="2" t="s">
        <v>5339</v>
      </c>
      <c r="G1060" s="2" t="s">
        <v>3174</v>
      </c>
      <c r="H1060" s="2" t="s">
        <v>3174</v>
      </c>
      <c r="I1060" s="2" t="s">
        <v>5340</v>
      </c>
      <c r="J1060" s="2" t="s">
        <v>285</v>
      </c>
      <c r="K1060" s="2" t="s">
        <v>266</v>
      </c>
      <c r="L1060" s="3">
        <v>21.75</v>
      </c>
      <c r="M1060" s="3">
        <v>22.84</v>
      </c>
      <c r="N1060" s="3">
        <v>43.99</v>
      </c>
      <c r="O1060" s="2" t="s">
        <v>230</v>
      </c>
      <c r="P1060" s="2" t="s">
        <v>231</v>
      </c>
      <c r="Q1060" s="2" t="s">
        <v>232</v>
      </c>
      <c r="R1060" s="2" t="s">
        <v>233</v>
      </c>
      <c r="S1060" s="2" t="s">
        <v>5341</v>
      </c>
      <c r="T1060" s="2" t="s">
        <v>469</v>
      </c>
      <c r="U1060" s="2" t="s">
        <v>233</v>
      </c>
      <c r="V1060" s="2" t="s">
        <v>236</v>
      </c>
      <c r="W1060" s="2" t="s">
        <v>237</v>
      </c>
      <c r="X1060" s="2" t="s">
        <v>233</v>
      </c>
      <c r="Y1060" s="2" t="s">
        <v>238</v>
      </c>
      <c r="Z1060" s="4">
        <v>751</v>
      </c>
      <c r="AA1060" s="4">
        <f>=ROUNDDOWN(30.04,0)</f>
      </c>
      <c r="AB1060" s="5">
        <v>25</v>
      </c>
      <c r="AC1060" s="2" t="s">
        <v>2230</v>
      </c>
      <c r="AD1060" s="4">
        <v>50</v>
      </c>
      <c r="AE1060" s="4">
        <v>50</v>
      </c>
      <c r="AF1060" s="6">
        <v>65</v>
      </c>
      <c r="AG1060" s="6">
        <v>48</v>
      </c>
      <c r="AH1060" s="7">
        <v>1</v>
      </c>
      <c r="AI1060" s="4"/>
      <c r="AJ1060" s="4">
        <f>=ROUNDDOWN({0},0)</f>
      </c>
      <c r="AK1060" s="5"/>
      <c r="AL1060" s="2" t="s">
        <v>233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233</v>
      </c>
      <c r="AW1060" s="8" t="s">
        <v>233</v>
      </c>
      <c r="AX1060" s="4" t="s">
        <v>233</v>
      </c>
      <c r="AY1060" s="8" t="s">
        <v>233</v>
      </c>
      <c r="AZ1060" s="7" t="s">
        <v>233</v>
      </c>
      <c r="BA1060" s="7" t="s">
        <v>233</v>
      </c>
      <c r="BB1060" s="7"/>
      <c r="BC1060" s="4" t="s">
        <v>233</v>
      </c>
      <c r="BD1060" s="8" t="s">
        <v>233</v>
      </c>
      <c r="BE1060" s="4" t="s">
        <v>233</v>
      </c>
      <c r="BF1060" s="8" t="s">
        <v>233</v>
      </c>
      <c r="BG1060" s="7" t="s">
        <v>233</v>
      </c>
      <c r="BH1060" s="7" t="s">
        <v>233</v>
      </c>
      <c r="BI1060" s="7"/>
      <c r="BJ1060" s="4">
        <v>96</v>
      </c>
      <c r="BK1060" s="8">
        <v>2287.16</v>
      </c>
      <c r="BL1060" s="2" t="s">
        <v>5345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5343</v>
      </c>
      <c r="BV1060" s="2" t="s">
        <v>233</v>
      </c>
      <c r="BW1060" s="2" t="s">
        <v>233</v>
      </c>
      <c r="BX1060" s="2" t="s">
        <v>241</v>
      </c>
      <c r="BY1060" s="2" t="s">
        <v>242</v>
      </c>
      <c r="BZ1060" s="2" t="s">
        <v>230</v>
      </c>
      <c r="CA1060" s="2" t="s">
        <v>243</v>
      </c>
      <c r="CB1060" s="2" t="s">
        <v>3769</v>
      </c>
      <c r="CC1060" s="2" t="s">
        <v>245</v>
      </c>
      <c r="CD1060" s="2" t="s">
        <v>233</v>
      </c>
      <c r="CE1060" s="4">
        <v>198</v>
      </c>
      <c r="CF1060" s="4">
        <v>76</v>
      </c>
      <c r="CG1060" s="4"/>
      <c r="CH1060" s="4">
        <v>377</v>
      </c>
      <c r="CI1060" s="4"/>
      <c r="CJ1060" s="4"/>
      <c r="CK1060" s="4"/>
      <c r="CL1060" s="4"/>
      <c r="CM1060" s="4"/>
      <c r="CN1060" s="4"/>
      <c r="CO1060" s="4">
        <v>100</v>
      </c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>
        <v>50</v>
      </c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>
        <v>776</v>
      </c>
      <c r="GD1060" s="4">
        <v>721</v>
      </c>
      <c r="GE1060" s="4">
        <v>676</v>
      </c>
      <c r="GF1060" s="4">
        <v>638</v>
      </c>
      <c r="GG1060" s="4">
        <v>570</v>
      </c>
      <c r="GH1060" s="4">
        <v>522</v>
      </c>
      <c r="GI1060" s="4">
        <v>469</v>
      </c>
      <c r="GJ1060" s="4">
        <v>441</v>
      </c>
      <c r="GK1060" s="4">
        <v>423</v>
      </c>
      <c r="GL1060" s="4">
        <v>398</v>
      </c>
      <c r="GM1060" s="4">
        <v>373</v>
      </c>
      <c r="GN1060" s="4">
        <v>348</v>
      </c>
      <c r="GO1060" s="4">
        <v>323</v>
      </c>
      <c r="GP1060" s="4">
        <v>298</v>
      </c>
      <c r="GQ1060" s="4">
        <v>273</v>
      </c>
      <c r="GR1060" s="4">
        <v>298</v>
      </c>
      <c r="GS1060" s="4">
        <v>273</v>
      </c>
      <c r="GT1060" s="4">
        <v>245</v>
      </c>
      <c r="GU1060" s="4">
        <v>220</v>
      </c>
      <c r="GV1060" s="4">
        <v>195</v>
      </c>
      <c r="GW1060" s="4">
        <v>264</v>
      </c>
      <c r="GX1060" s="4">
        <v>239</v>
      </c>
      <c r="GY1060" s="4">
        <v>214</v>
      </c>
      <c r="GZ1060" s="4">
        <v>271</v>
      </c>
      <c r="HA1060" s="4">
        <v>246</v>
      </c>
      <c r="HB1060" s="4">
        <v>221</v>
      </c>
      <c r="HC1060" s="19">
        <v>15</v>
      </c>
      <c r="HD1060" s="19">
        <v>14.2</v>
      </c>
      <c r="HE1060" s="19">
        <v>13.1</v>
      </c>
      <c r="HF1060" s="19">
        <v>12.6</v>
      </c>
      <c r="HG1060" s="19">
        <v>15.6</v>
      </c>
      <c r="HH1060" s="19">
        <v>16.6</v>
      </c>
      <c r="HI1060" s="19">
        <v>19.1</v>
      </c>
      <c r="HJ1060" s="19">
        <v>18.8</v>
      </c>
      <c r="HK1060" s="19">
        <v>16.6</v>
      </c>
      <c r="HL1060" s="19">
        <v>15.6</v>
      </c>
      <c r="HM1060" s="19">
        <v>14.6</v>
      </c>
      <c r="HN1060" s="19">
        <v>13.6</v>
      </c>
      <c r="HO1060" s="19">
        <v>12.6</v>
      </c>
      <c r="HP1060" s="19">
        <v>11.1</v>
      </c>
      <c r="HQ1060" s="19">
        <v>10.2</v>
      </c>
      <c r="HR1060" s="19">
        <v>11.7</v>
      </c>
      <c r="HS1060" s="19">
        <v>10.7</v>
      </c>
      <c r="HT1060" s="19">
        <v>9.9</v>
      </c>
      <c r="HU1060" s="19">
        <v>8.9</v>
      </c>
      <c r="HV1060" s="19">
        <v>7.9</v>
      </c>
      <c r="HW1060" s="19">
        <v>10.1</v>
      </c>
      <c r="HX1060" s="19">
        <v>9.1</v>
      </c>
      <c r="HY1060" s="19">
        <v>8.1</v>
      </c>
      <c r="HZ1060" s="19">
        <v>11.2</v>
      </c>
      <c r="IA1060" s="19">
        <v>10.2</v>
      </c>
      <c r="IB1060" s="19">
        <v>9.4</v>
      </c>
    </row>
    <row r="1061">
      <c r="A1061" s="2" t="s">
        <v>5346</v>
      </c>
      <c r="B1061" s="2" t="s">
        <v>923</v>
      </c>
      <c r="C1061" s="2" t="s">
        <v>3991</v>
      </c>
      <c r="D1061" s="2" t="s">
        <v>5347</v>
      </c>
      <c r="E1061" s="2" t="s">
        <v>5348</v>
      </c>
      <c r="F1061" s="2" t="s">
        <v>5349</v>
      </c>
      <c r="G1061" s="2" t="s">
        <v>5349</v>
      </c>
      <c r="H1061" s="2" t="s">
        <v>5349</v>
      </c>
      <c r="I1061" s="2" t="s">
        <v>5350</v>
      </c>
      <c r="J1061" s="2" t="s">
        <v>5351</v>
      </c>
      <c r="K1061" s="2" t="s">
        <v>1177</v>
      </c>
      <c r="L1061" s="3">
        <v>9.28</v>
      </c>
      <c r="M1061" s="3">
        <v>9.74</v>
      </c>
      <c r="N1061" s="3">
        <v>29.99</v>
      </c>
      <c r="O1061" s="2" t="s">
        <v>230</v>
      </c>
      <c r="P1061" s="2" t="s">
        <v>231</v>
      </c>
      <c r="Q1061" s="2" t="s">
        <v>232</v>
      </c>
      <c r="R1061" s="2" t="s">
        <v>233</v>
      </c>
      <c r="S1061" s="2" t="s">
        <v>233</v>
      </c>
      <c r="T1061" s="2" t="s">
        <v>233</v>
      </c>
      <c r="U1061" s="2" t="s">
        <v>329</v>
      </c>
      <c r="V1061" s="2" t="s">
        <v>782</v>
      </c>
      <c r="W1061" s="2" t="s">
        <v>288</v>
      </c>
      <c r="X1061" s="2" t="s">
        <v>233</v>
      </c>
      <c r="Y1061" s="2" t="s">
        <v>5352</v>
      </c>
      <c r="Z1061" s="4">
        <v>359</v>
      </c>
      <c r="AA1061" s="4">
        <f>=ROUNDDOWN(39.8888888888889,0)</f>
      </c>
      <c r="AB1061" s="5">
        <v>9</v>
      </c>
      <c r="AC1061" s="2" t="s">
        <v>233</v>
      </c>
      <c r="AD1061" s="4"/>
      <c r="AE1061" s="4"/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233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/>
      <c r="AW1061" s="8"/>
      <c r="AX1061" s="4"/>
      <c r="AY1061" s="8"/>
      <c r="AZ1061" s="7"/>
      <c r="BA1061" s="7"/>
      <c r="BB1061" s="7"/>
      <c r="BC1061" s="4"/>
      <c r="BD1061" s="8"/>
      <c r="BE1061" s="4"/>
      <c r="BF1061" s="8"/>
      <c r="BG1061" s="7"/>
      <c r="BH1061" s="7"/>
      <c r="BI1061" s="7"/>
      <c r="BJ1061" s="4">
        <v>39</v>
      </c>
      <c r="BK1061" s="8">
        <v>412.92</v>
      </c>
      <c r="BL1061" s="2" t="s">
        <v>5353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5354</v>
      </c>
      <c r="BV1061" s="2" t="s">
        <v>233</v>
      </c>
      <c r="BW1061" s="2" t="s">
        <v>233</v>
      </c>
      <c r="BX1061" s="2" t="s">
        <v>241</v>
      </c>
      <c r="BY1061" s="2" t="s">
        <v>242</v>
      </c>
      <c r="BZ1061" s="2" t="s">
        <v>230</v>
      </c>
      <c r="CA1061" s="2" t="s">
        <v>3995</v>
      </c>
      <c r="CB1061" s="2" t="s">
        <v>3637</v>
      </c>
      <c r="CC1061" s="2" t="s">
        <v>245</v>
      </c>
      <c r="CD1061" s="2" t="s">
        <v>233</v>
      </c>
      <c r="CE1061" s="4">
        <v>359</v>
      </c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>
        <v>362</v>
      </c>
      <c r="GD1061" s="4">
        <v>349</v>
      </c>
      <c r="GE1061" s="4">
        <v>341</v>
      </c>
      <c r="GF1061" s="4">
        <v>326</v>
      </c>
      <c r="GG1061" s="4">
        <v>301</v>
      </c>
      <c r="GH1061" s="4">
        <v>287</v>
      </c>
      <c r="GI1061" s="4">
        <v>270</v>
      </c>
      <c r="GJ1061" s="4">
        <v>258</v>
      </c>
      <c r="GK1061" s="4">
        <v>252</v>
      </c>
      <c r="GL1061" s="4">
        <v>242</v>
      </c>
      <c r="GM1061" s="4">
        <v>233</v>
      </c>
      <c r="GN1061" s="4">
        <v>224</v>
      </c>
      <c r="GO1061" s="4">
        <v>215</v>
      </c>
      <c r="GP1061" s="4">
        <v>206</v>
      </c>
      <c r="GQ1061" s="4">
        <v>197</v>
      </c>
      <c r="GR1061" s="4">
        <v>188</v>
      </c>
      <c r="GS1061" s="4">
        <v>179</v>
      </c>
      <c r="GT1061" s="4">
        <v>169</v>
      </c>
      <c r="GU1061" s="4">
        <v>160</v>
      </c>
      <c r="GV1061" s="4">
        <v>151</v>
      </c>
      <c r="GW1061" s="4">
        <v>142</v>
      </c>
      <c r="GX1061" s="4">
        <v>133</v>
      </c>
      <c r="GY1061" s="4">
        <v>124</v>
      </c>
      <c r="GZ1061" s="4">
        <v>115</v>
      </c>
      <c r="HA1061" s="4">
        <v>106</v>
      </c>
      <c r="HB1061" s="4">
        <v>97</v>
      </c>
      <c r="HC1061" s="19">
        <v>24.1</v>
      </c>
      <c r="HD1061" s="19">
        <v>21.8</v>
      </c>
      <c r="HE1061" s="19">
        <v>18.9</v>
      </c>
      <c r="HF1061" s="19">
        <v>19.2</v>
      </c>
      <c r="HG1061" s="19">
        <v>25.1</v>
      </c>
      <c r="HH1061" s="19">
        <v>26.1</v>
      </c>
      <c r="HI1061" s="19">
        <v>30</v>
      </c>
      <c r="HJ1061" s="19">
        <v>32.3</v>
      </c>
      <c r="HK1061" s="19">
        <v>28</v>
      </c>
      <c r="HL1061" s="19">
        <v>26.9</v>
      </c>
      <c r="HM1061" s="19">
        <v>25.9</v>
      </c>
      <c r="HN1061" s="19">
        <v>24.9</v>
      </c>
      <c r="HO1061" s="19">
        <v>23.9</v>
      </c>
      <c r="HP1061" s="19">
        <v>22.9</v>
      </c>
      <c r="HQ1061" s="19">
        <v>21.9</v>
      </c>
      <c r="HR1061" s="19">
        <v>20.9</v>
      </c>
      <c r="HS1061" s="19">
        <v>19.9</v>
      </c>
      <c r="HT1061" s="19">
        <v>18.8</v>
      </c>
      <c r="HU1061" s="19">
        <v>17.8</v>
      </c>
      <c r="HV1061" s="19">
        <v>16.8</v>
      </c>
      <c r="HW1061" s="19">
        <v>15.8</v>
      </c>
      <c r="HX1061" s="19">
        <v>14.8</v>
      </c>
      <c r="HY1061" s="19">
        <v>13.8</v>
      </c>
      <c r="HZ1061" s="19">
        <v>12.8</v>
      </c>
      <c r="IA1061" s="19">
        <v>11.8</v>
      </c>
      <c r="IB1061" s="19">
        <v>10.8</v>
      </c>
    </row>
    <row r="1062">
      <c r="A1062" s="2" t="s">
        <v>5355</v>
      </c>
      <c r="B1062" s="2" t="s">
        <v>761</v>
      </c>
      <c r="C1062" s="2" t="s">
        <v>280</v>
      </c>
      <c r="D1062" s="2" t="s">
        <v>5356</v>
      </c>
      <c r="E1062" s="2" t="s">
        <v>5357</v>
      </c>
      <c r="F1062" s="2" t="s">
        <v>5358</v>
      </c>
      <c r="G1062" s="2" t="s">
        <v>5359</v>
      </c>
      <c r="H1062" s="2" t="s">
        <v>5360</v>
      </c>
      <c r="I1062" s="2" t="s">
        <v>5361</v>
      </c>
      <c r="J1062" s="2" t="s">
        <v>741</v>
      </c>
      <c r="K1062" s="2" t="s">
        <v>642</v>
      </c>
      <c r="L1062" s="3">
        <v>85.5</v>
      </c>
      <c r="M1062" s="3">
        <v>89.78</v>
      </c>
      <c r="N1062" s="3">
        <v>179</v>
      </c>
      <c r="O1062" s="2" t="s">
        <v>230</v>
      </c>
      <c r="P1062" s="2" t="s">
        <v>231</v>
      </c>
      <c r="Q1062" s="2" t="s">
        <v>232</v>
      </c>
      <c r="R1062" s="2" t="s">
        <v>233</v>
      </c>
      <c r="S1062" s="2" t="s">
        <v>5362</v>
      </c>
      <c r="T1062" s="2" t="s">
        <v>233</v>
      </c>
      <c r="U1062" s="2" t="s">
        <v>233</v>
      </c>
      <c r="V1062" s="2" t="s">
        <v>236</v>
      </c>
      <c r="W1062" s="2" t="s">
        <v>712</v>
      </c>
      <c r="X1062" s="2" t="s">
        <v>233</v>
      </c>
      <c r="Y1062" s="2" t="s">
        <v>5363</v>
      </c>
      <c r="Z1062" s="4">
        <v>286</v>
      </c>
      <c r="AA1062" s="4">
        <f>=ROUNDDOWN(31.7777777777778,0)</f>
      </c>
      <c r="AB1062" s="5">
        <v>9</v>
      </c>
      <c r="AC1062" s="2" t="s">
        <v>5364</v>
      </c>
      <c r="AD1062" s="4">
        <v>87</v>
      </c>
      <c r="AE1062" s="4">
        <v>87</v>
      </c>
      <c r="AF1062" s="6">
        <v>76</v>
      </c>
      <c r="AG1062" s="6">
        <v>67</v>
      </c>
      <c r="AH1062" s="7">
        <v>1</v>
      </c>
      <c r="AI1062" s="4"/>
      <c r="AJ1062" s="4">
        <f>=ROUNDDOWN({0},0)</f>
      </c>
      <c r="AK1062" s="5"/>
      <c r="AL1062" s="2" t="s">
        <v>233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/>
      <c r="BD1062" s="8"/>
      <c r="BE1062" s="4"/>
      <c r="BF1062" s="8"/>
      <c r="BG1062" s="7"/>
      <c r="BH1062" s="7"/>
      <c r="BI1062" s="7"/>
      <c r="BJ1062" s="4">
        <v>36</v>
      </c>
      <c r="BK1062" s="8">
        <v>3119.91</v>
      </c>
      <c r="BL1062" s="2" t="s">
        <v>5365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5366</v>
      </c>
      <c r="BV1062" s="2" t="s">
        <v>233</v>
      </c>
      <c r="BW1062" s="2" t="s">
        <v>233</v>
      </c>
      <c r="BX1062" s="2" t="s">
        <v>293</v>
      </c>
      <c r="BY1062" s="2" t="s">
        <v>242</v>
      </c>
      <c r="BZ1062" s="2" t="s">
        <v>230</v>
      </c>
      <c r="CA1062" s="2" t="s">
        <v>5367</v>
      </c>
      <c r="CB1062" s="2" t="s">
        <v>3288</v>
      </c>
      <c r="CC1062" s="2" t="s">
        <v>245</v>
      </c>
      <c r="CD1062" s="2" t="s">
        <v>233</v>
      </c>
      <c r="CE1062" s="4"/>
      <c r="CF1062" s="4">
        <v>286</v>
      </c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>
        <v>87</v>
      </c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>
        <v>290</v>
      </c>
      <c r="GD1062" s="4">
        <v>273</v>
      </c>
      <c r="GE1062" s="4">
        <v>253</v>
      </c>
      <c r="GF1062" s="4">
        <v>236</v>
      </c>
      <c r="GG1062" s="4">
        <v>200</v>
      </c>
      <c r="GH1062" s="4">
        <v>182</v>
      </c>
      <c r="GI1062" s="4">
        <v>164</v>
      </c>
      <c r="GJ1062" s="4">
        <v>159</v>
      </c>
      <c r="GK1062" s="4">
        <v>151</v>
      </c>
      <c r="GL1062" s="4">
        <v>142</v>
      </c>
      <c r="GM1062" s="4">
        <v>135</v>
      </c>
      <c r="GN1062" s="4">
        <v>126</v>
      </c>
      <c r="GO1062" s="4">
        <v>119</v>
      </c>
      <c r="GP1062" s="4">
        <v>112</v>
      </c>
      <c r="GQ1062" s="4">
        <v>101</v>
      </c>
      <c r="GR1062" s="4">
        <v>177</v>
      </c>
      <c r="GS1062" s="4">
        <v>166</v>
      </c>
      <c r="GT1062" s="4">
        <v>154</v>
      </c>
      <c r="GU1062" s="4">
        <v>144</v>
      </c>
      <c r="GV1062" s="4">
        <v>133</v>
      </c>
      <c r="GW1062" s="4">
        <v>122</v>
      </c>
      <c r="GX1062" s="4">
        <v>111</v>
      </c>
      <c r="GY1062" s="4">
        <v>100</v>
      </c>
      <c r="GZ1062" s="4">
        <v>90</v>
      </c>
      <c r="HA1062" s="4">
        <v>80</v>
      </c>
      <c r="HB1062" s="4">
        <v>70</v>
      </c>
      <c r="HC1062" s="19">
        <v>6.6</v>
      </c>
      <c r="HD1062" s="19">
        <v>6</v>
      </c>
      <c r="HE1062" s="19">
        <v>5.8</v>
      </c>
      <c r="HF1062" s="19">
        <v>6.2</v>
      </c>
      <c r="HG1062" s="19">
        <v>8.4</v>
      </c>
      <c r="HH1062" s="19">
        <v>9.1</v>
      </c>
      <c r="HI1062" s="19">
        <v>11.7</v>
      </c>
      <c r="HJ1062" s="19">
        <v>10</v>
      </c>
      <c r="HK1062" s="19">
        <v>9.5</v>
      </c>
      <c r="HL1062" s="19">
        <v>8.9</v>
      </c>
      <c r="HM1062" s="19">
        <v>8.5</v>
      </c>
      <c r="HN1062" s="19">
        <v>7</v>
      </c>
      <c r="HO1062" s="19">
        <v>6</v>
      </c>
      <c r="HP1062" s="19">
        <v>5.1</v>
      </c>
      <c r="HQ1062" s="19">
        <v>4.6</v>
      </c>
      <c r="HR1062" s="19">
        <v>8.1</v>
      </c>
      <c r="HS1062" s="19">
        <v>7.6</v>
      </c>
      <c r="HT1062" s="19">
        <v>7</v>
      </c>
      <c r="HU1062" s="19">
        <v>6.6</v>
      </c>
      <c r="HV1062" s="19">
        <v>6.1</v>
      </c>
      <c r="HW1062" s="19">
        <v>6.1</v>
      </c>
      <c r="HX1062" s="19">
        <v>5.6</v>
      </c>
      <c r="HY1062" s="19">
        <v>5</v>
      </c>
      <c r="HZ1062" s="19">
        <v>5</v>
      </c>
      <c r="IA1062" s="19">
        <v>5</v>
      </c>
      <c r="IB1062" s="19">
        <v>4.4</v>
      </c>
    </row>
    <row r="1063">
      <c r="A1063" s="2" t="s">
        <v>5368</v>
      </c>
      <c r="B1063" s="2" t="s">
        <v>872</v>
      </c>
      <c r="C1063" s="2" t="s">
        <v>762</v>
      </c>
      <c r="D1063" s="2" t="s">
        <v>261</v>
      </c>
      <c r="E1063" s="2" t="s">
        <v>895</v>
      </c>
      <c r="F1063" s="2" t="s">
        <v>5369</v>
      </c>
      <c r="G1063" s="2" t="s">
        <v>5369</v>
      </c>
      <c r="H1063" s="2" t="s">
        <v>5369</v>
      </c>
      <c r="I1063" s="2" t="s">
        <v>5370</v>
      </c>
      <c r="J1063" s="2" t="s">
        <v>265</v>
      </c>
      <c r="K1063" s="2" t="s">
        <v>4909</v>
      </c>
      <c r="L1063" s="3">
        <v>54.85</v>
      </c>
      <c r="M1063" s="3">
        <v>57.59</v>
      </c>
      <c r="N1063" s="3">
        <v>119.99</v>
      </c>
      <c r="O1063" s="2" t="s">
        <v>230</v>
      </c>
      <c r="P1063" s="2" t="s">
        <v>231</v>
      </c>
      <c r="Q1063" s="2" t="s">
        <v>232</v>
      </c>
      <c r="R1063" s="2" t="s">
        <v>233</v>
      </c>
      <c r="S1063" s="2" t="s">
        <v>5371</v>
      </c>
      <c r="T1063" s="2" t="s">
        <v>348</v>
      </c>
      <c r="U1063" s="2" t="s">
        <v>781</v>
      </c>
      <c r="V1063" s="2" t="s">
        <v>349</v>
      </c>
      <c r="W1063" s="2" t="s">
        <v>1034</v>
      </c>
      <c r="X1063" s="2" t="s">
        <v>237</v>
      </c>
      <c r="Y1063" s="2" t="s">
        <v>4892</v>
      </c>
      <c r="Z1063" s="4">
        <v>106</v>
      </c>
      <c r="AA1063" s="4">
        <f>=ROUNDDOWN(13.25,0)</f>
      </c>
      <c r="AB1063" s="5">
        <v>8</v>
      </c>
      <c r="AC1063" s="2" t="s">
        <v>168</v>
      </c>
      <c r="AD1063" s="4">
        <v>70</v>
      </c>
      <c r="AE1063" s="4">
        <v>300</v>
      </c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233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233</v>
      </c>
      <c r="AW1063" s="8" t="s">
        <v>233</v>
      </c>
      <c r="AX1063" s="4" t="s">
        <v>233</v>
      </c>
      <c r="AY1063" s="8" t="s">
        <v>233</v>
      </c>
      <c r="AZ1063" s="7" t="s">
        <v>233</v>
      </c>
      <c r="BA1063" s="7" t="s">
        <v>233</v>
      </c>
      <c r="BB1063" s="7" t="s">
        <v>233</v>
      </c>
      <c r="BC1063" s="4" t="s">
        <v>233</v>
      </c>
      <c r="BD1063" s="8" t="s">
        <v>233</v>
      </c>
      <c r="BE1063" s="4" t="s">
        <v>233</v>
      </c>
      <c r="BF1063" s="8" t="s">
        <v>233</v>
      </c>
      <c r="BG1063" s="7" t="s">
        <v>233</v>
      </c>
      <c r="BH1063" s="7" t="s">
        <v>233</v>
      </c>
      <c r="BI1063" s="7"/>
      <c r="BJ1063" s="4">
        <v>32</v>
      </c>
      <c r="BK1063" s="8">
        <v>2044.14</v>
      </c>
      <c r="BL1063" s="2" t="s">
        <v>2259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5372</v>
      </c>
      <c r="BV1063" s="2" t="s">
        <v>233</v>
      </c>
      <c r="BW1063" s="2" t="s">
        <v>233</v>
      </c>
      <c r="BX1063" s="2" t="s">
        <v>241</v>
      </c>
      <c r="BY1063" s="2" t="s">
        <v>242</v>
      </c>
      <c r="BZ1063" s="2" t="s">
        <v>230</v>
      </c>
      <c r="CA1063" s="2" t="s">
        <v>1877</v>
      </c>
      <c r="CB1063" s="2" t="s">
        <v>5373</v>
      </c>
      <c r="CC1063" s="2" t="s">
        <v>245</v>
      </c>
      <c r="CD1063" s="2" t="s">
        <v>233</v>
      </c>
      <c r="CE1063" s="4">
        <v>18</v>
      </c>
      <c r="CF1063" s="4"/>
      <c r="CG1063" s="4"/>
      <c r="CH1063" s="4">
        <v>88</v>
      </c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>
        <v>70</v>
      </c>
      <c r="EE1063" s="4"/>
      <c r="EF1063" s="4"/>
      <c r="EG1063" s="4"/>
      <c r="EH1063" s="4"/>
      <c r="EI1063" s="4"/>
      <c r="EJ1063" s="4">
        <v>110</v>
      </c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>
        <v>120</v>
      </c>
      <c r="FX1063" s="4"/>
      <c r="FY1063" s="4"/>
      <c r="FZ1063" s="4"/>
      <c r="GA1063" s="4"/>
      <c r="GB1063" s="4"/>
      <c r="GC1063" s="4">
        <v>112</v>
      </c>
      <c r="GD1063" s="4">
        <v>99</v>
      </c>
      <c r="GE1063" s="4">
        <v>85</v>
      </c>
      <c r="GF1063" s="4">
        <v>71</v>
      </c>
      <c r="GG1063" s="4">
        <v>43</v>
      </c>
      <c r="GH1063" s="4">
        <v>33</v>
      </c>
      <c r="GI1063" s="4">
        <v>22</v>
      </c>
      <c r="GJ1063" s="4">
        <v>85</v>
      </c>
      <c r="GK1063" s="4">
        <v>190</v>
      </c>
      <c r="GL1063" s="4">
        <v>181</v>
      </c>
      <c r="GM1063" s="4">
        <v>173</v>
      </c>
      <c r="GN1063" s="4">
        <v>165</v>
      </c>
      <c r="GO1063" s="4">
        <v>157</v>
      </c>
      <c r="GP1063" s="4">
        <v>149</v>
      </c>
      <c r="GQ1063" s="4">
        <v>141</v>
      </c>
      <c r="GR1063" s="4">
        <v>133</v>
      </c>
      <c r="GS1063" s="4">
        <v>125</v>
      </c>
      <c r="GT1063" s="4">
        <v>116</v>
      </c>
      <c r="GU1063" s="4">
        <v>228</v>
      </c>
      <c r="GV1063" s="4">
        <v>220</v>
      </c>
      <c r="GW1063" s="4">
        <v>212</v>
      </c>
      <c r="GX1063" s="4">
        <v>204</v>
      </c>
      <c r="GY1063" s="4">
        <v>196</v>
      </c>
      <c r="GZ1063" s="4">
        <v>188</v>
      </c>
      <c r="HA1063" s="4">
        <v>180</v>
      </c>
      <c r="HB1063" s="4">
        <v>172</v>
      </c>
      <c r="HC1063" s="19">
        <v>6.6</v>
      </c>
      <c r="HD1063" s="19">
        <v>6.2</v>
      </c>
      <c r="HE1063" s="19">
        <v>5.3</v>
      </c>
      <c r="HF1063" s="19">
        <v>5.1</v>
      </c>
      <c r="HG1063" s="19">
        <v>5.4</v>
      </c>
      <c r="HH1063" s="19">
        <v>4.1</v>
      </c>
      <c r="HI1063" s="19">
        <v>3.1</v>
      </c>
      <c r="HJ1063" s="19">
        <v>10.6</v>
      </c>
      <c r="HK1063" s="19">
        <v>23.8</v>
      </c>
      <c r="HL1063" s="19">
        <v>22.6</v>
      </c>
      <c r="HM1063" s="19">
        <v>21.6</v>
      </c>
      <c r="HN1063" s="19">
        <v>20.6</v>
      </c>
      <c r="HO1063" s="19">
        <v>19.6</v>
      </c>
      <c r="HP1063" s="19">
        <v>18.6</v>
      </c>
      <c r="HQ1063" s="19">
        <v>17.6</v>
      </c>
      <c r="HR1063" s="19">
        <v>16.6</v>
      </c>
      <c r="HS1063" s="19">
        <v>15.6</v>
      </c>
      <c r="HT1063" s="19">
        <v>14.5</v>
      </c>
      <c r="HU1063" s="19">
        <v>28.5</v>
      </c>
      <c r="HV1063" s="19">
        <v>27.5</v>
      </c>
      <c r="HW1063" s="19">
        <v>26.5</v>
      </c>
      <c r="HX1063" s="19">
        <v>25.5</v>
      </c>
      <c r="HY1063" s="19">
        <v>24.5</v>
      </c>
      <c r="HZ1063" s="19">
        <v>23.5</v>
      </c>
      <c r="IA1063" s="19">
        <v>22.5</v>
      </c>
      <c r="IB1063" s="19">
        <v>21.5</v>
      </c>
    </row>
    <row r="1064">
      <c r="A1064" s="2" t="s">
        <v>5374</v>
      </c>
      <c r="B1064" s="2" t="s">
        <v>872</v>
      </c>
      <c r="C1064" s="2" t="s">
        <v>762</v>
      </c>
      <c r="D1064" s="2" t="s">
        <v>774</v>
      </c>
      <c r="E1064" s="2" t="s">
        <v>775</v>
      </c>
      <c r="F1064" s="2" t="s">
        <v>5369</v>
      </c>
      <c r="G1064" s="2" t="s">
        <v>5369</v>
      </c>
      <c r="H1064" s="2" t="s">
        <v>5369</v>
      </c>
      <c r="I1064" s="2" t="s">
        <v>5375</v>
      </c>
      <c r="J1064" s="2" t="s">
        <v>265</v>
      </c>
      <c r="K1064" s="2" t="s">
        <v>4909</v>
      </c>
      <c r="L1064" s="3">
        <v>45.71</v>
      </c>
      <c r="M1064" s="3">
        <v>48</v>
      </c>
      <c r="N1064" s="3">
        <v>99.99</v>
      </c>
      <c r="O1064" s="2" t="s">
        <v>230</v>
      </c>
      <c r="P1064" s="2" t="s">
        <v>231</v>
      </c>
      <c r="Q1064" s="2" t="s">
        <v>232</v>
      </c>
      <c r="R1064" s="2" t="s">
        <v>233</v>
      </c>
      <c r="S1064" s="2" t="s">
        <v>5371</v>
      </c>
      <c r="T1064" s="2" t="s">
        <v>348</v>
      </c>
      <c r="U1064" s="2" t="s">
        <v>781</v>
      </c>
      <c r="V1064" s="2" t="s">
        <v>349</v>
      </c>
      <c r="W1064" s="2" t="s">
        <v>1034</v>
      </c>
      <c r="X1064" s="2" t="s">
        <v>237</v>
      </c>
      <c r="Y1064" s="2" t="s">
        <v>4892</v>
      </c>
      <c r="Z1064" s="4">
        <v>114</v>
      </c>
      <c r="AA1064" s="4">
        <f>=ROUNDDOWN(22.8,0)</f>
      </c>
      <c r="AB1064" s="5">
        <v>5</v>
      </c>
      <c r="AC1064" s="2" t="s">
        <v>174</v>
      </c>
      <c r="AD1064" s="4">
        <v>80</v>
      </c>
      <c r="AE1064" s="4">
        <v>80</v>
      </c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233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233</v>
      </c>
      <c r="AW1064" s="8" t="s">
        <v>233</v>
      </c>
      <c r="AX1064" s="4" t="s">
        <v>233</v>
      </c>
      <c r="AY1064" s="8" t="s">
        <v>233</v>
      </c>
      <c r="AZ1064" s="7" t="s">
        <v>233</v>
      </c>
      <c r="BA1064" s="7" t="s">
        <v>233</v>
      </c>
      <c r="BB1064" s="7" t="s">
        <v>233</v>
      </c>
      <c r="BC1064" s="4" t="s">
        <v>233</v>
      </c>
      <c r="BD1064" s="8" t="s">
        <v>233</v>
      </c>
      <c r="BE1064" s="4" t="s">
        <v>233</v>
      </c>
      <c r="BF1064" s="8" t="s">
        <v>233</v>
      </c>
      <c r="BG1064" s="7" t="s">
        <v>233</v>
      </c>
      <c r="BH1064" s="7" t="s">
        <v>233</v>
      </c>
      <c r="BI1064" s="7"/>
      <c r="BJ1064" s="4">
        <v>14</v>
      </c>
      <c r="BK1064" s="8">
        <v>746.97</v>
      </c>
      <c r="BL1064" s="2" t="s">
        <v>4093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5376</v>
      </c>
      <c r="BV1064" s="2" t="s">
        <v>233</v>
      </c>
      <c r="BW1064" s="2" t="s">
        <v>233</v>
      </c>
      <c r="BX1064" s="2" t="s">
        <v>241</v>
      </c>
      <c r="BY1064" s="2" t="s">
        <v>242</v>
      </c>
      <c r="BZ1064" s="2" t="s">
        <v>230</v>
      </c>
      <c r="CA1064" s="2" t="s">
        <v>1877</v>
      </c>
      <c r="CB1064" s="2" t="s">
        <v>233</v>
      </c>
      <c r="CC1064" s="2" t="s">
        <v>245</v>
      </c>
      <c r="CD1064" s="2" t="s">
        <v>233</v>
      </c>
      <c r="CE1064" s="4">
        <v>56</v>
      </c>
      <c r="CF1064" s="4"/>
      <c r="CG1064" s="4"/>
      <c r="CH1064" s="4">
        <v>58</v>
      </c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>
        <v>80</v>
      </c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>
        <v>120</v>
      </c>
      <c r="GD1064" s="4">
        <v>111</v>
      </c>
      <c r="GE1064" s="4">
        <v>103</v>
      </c>
      <c r="GF1064" s="4">
        <v>95</v>
      </c>
      <c r="GG1064" s="4">
        <v>77</v>
      </c>
      <c r="GH1064" s="4">
        <v>69</v>
      </c>
      <c r="GI1064" s="4">
        <v>61</v>
      </c>
      <c r="GJ1064" s="4">
        <v>56</v>
      </c>
      <c r="GK1064" s="4">
        <v>132</v>
      </c>
      <c r="GL1064" s="4">
        <v>127</v>
      </c>
      <c r="GM1064" s="4">
        <v>122</v>
      </c>
      <c r="GN1064" s="4">
        <v>117</v>
      </c>
      <c r="GO1064" s="4">
        <v>112</v>
      </c>
      <c r="GP1064" s="4">
        <v>107</v>
      </c>
      <c r="GQ1064" s="4">
        <v>102</v>
      </c>
      <c r="GR1064" s="4">
        <v>97</v>
      </c>
      <c r="GS1064" s="4">
        <v>92</v>
      </c>
      <c r="GT1064" s="4">
        <v>87</v>
      </c>
      <c r="GU1064" s="4">
        <v>82</v>
      </c>
      <c r="GV1064" s="4">
        <v>77</v>
      </c>
      <c r="GW1064" s="4">
        <v>72</v>
      </c>
      <c r="GX1064" s="4">
        <v>67</v>
      </c>
      <c r="GY1064" s="4">
        <v>62</v>
      </c>
      <c r="GZ1064" s="4">
        <v>57</v>
      </c>
      <c r="HA1064" s="4">
        <v>52</v>
      </c>
      <c r="HB1064" s="4">
        <v>47</v>
      </c>
      <c r="HC1064" s="19">
        <v>10.9</v>
      </c>
      <c r="HD1064" s="19">
        <v>11.1</v>
      </c>
      <c r="HE1064" s="19">
        <v>10.3</v>
      </c>
      <c r="HF1064" s="19">
        <v>9.5</v>
      </c>
      <c r="HG1064" s="19">
        <v>12.8</v>
      </c>
      <c r="HH1064" s="19">
        <v>11.5</v>
      </c>
      <c r="HI1064" s="19">
        <v>12.2</v>
      </c>
      <c r="HJ1064" s="19">
        <v>11.2</v>
      </c>
      <c r="HK1064" s="19">
        <v>26.4</v>
      </c>
      <c r="HL1064" s="19">
        <v>25.4</v>
      </c>
      <c r="HM1064" s="19">
        <v>24.4</v>
      </c>
      <c r="HN1064" s="19">
        <v>23.4</v>
      </c>
      <c r="HO1064" s="19">
        <v>22.4</v>
      </c>
      <c r="HP1064" s="19">
        <v>21.4</v>
      </c>
      <c r="HQ1064" s="19">
        <v>20.4</v>
      </c>
      <c r="HR1064" s="19">
        <v>19.4</v>
      </c>
      <c r="HS1064" s="19">
        <v>18.4</v>
      </c>
      <c r="HT1064" s="19">
        <v>17.4</v>
      </c>
      <c r="HU1064" s="19">
        <v>16.4</v>
      </c>
      <c r="HV1064" s="19">
        <v>15.4</v>
      </c>
      <c r="HW1064" s="19">
        <v>14.4</v>
      </c>
      <c r="HX1064" s="19">
        <v>13.4</v>
      </c>
      <c r="HY1064" s="19">
        <v>12.4</v>
      </c>
      <c r="HZ1064" s="19">
        <v>11.4</v>
      </c>
      <c r="IA1064" s="19">
        <v>10.4</v>
      </c>
      <c r="IB1064" s="19">
        <v>9.4</v>
      </c>
    </row>
    <row r="1065">
      <c r="A1065" s="2" t="s">
        <v>5377</v>
      </c>
      <c r="B1065" s="2" t="s">
        <v>872</v>
      </c>
      <c r="C1065" s="2" t="s">
        <v>762</v>
      </c>
      <c r="D1065" s="2" t="s">
        <v>774</v>
      </c>
      <c r="E1065" s="2" t="s">
        <v>775</v>
      </c>
      <c r="F1065" s="2" t="s">
        <v>5369</v>
      </c>
      <c r="G1065" s="2" t="s">
        <v>5369</v>
      </c>
      <c r="H1065" s="2" t="s">
        <v>5369</v>
      </c>
      <c r="I1065" s="2" t="s">
        <v>5375</v>
      </c>
      <c r="J1065" s="2" t="s">
        <v>275</v>
      </c>
      <c r="K1065" s="2" t="s">
        <v>4909</v>
      </c>
      <c r="L1065" s="3">
        <v>54.85</v>
      </c>
      <c r="M1065" s="3">
        <v>57.59</v>
      </c>
      <c r="N1065" s="3">
        <v>119.99</v>
      </c>
      <c r="O1065" s="2" t="s">
        <v>230</v>
      </c>
      <c r="P1065" s="2" t="s">
        <v>231</v>
      </c>
      <c r="Q1065" s="2" t="s">
        <v>232</v>
      </c>
      <c r="R1065" s="2" t="s">
        <v>233</v>
      </c>
      <c r="S1065" s="2" t="s">
        <v>5371</v>
      </c>
      <c r="T1065" s="2" t="s">
        <v>348</v>
      </c>
      <c r="U1065" s="2" t="s">
        <v>781</v>
      </c>
      <c r="V1065" s="2" t="s">
        <v>349</v>
      </c>
      <c r="W1065" s="2" t="s">
        <v>1034</v>
      </c>
      <c r="X1065" s="2" t="s">
        <v>237</v>
      </c>
      <c r="Y1065" s="2" t="s">
        <v>4892</v>
      </c>
      <c r="Z1065" s="4">
        <v>97</v>
      </c>
      <c r="AA1065" s="4">
        <f>=ROUNDDOWN(13.8571428571429,0)</f>
      </c>
      <c r="AB1065" s="5">
        <v>7</v>
      </c>
      <c r="AC1065" s="2" t="s">
        <v>168</v>
      </c>
      <c r="AD1065" s="4">
        <v>50</v>
      </c>
      <c r="AE1065" s="4">
        <v>150</v>
      </c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233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233</v>
      </c>
      <c r="AW1065" s="8" t="s">
        <v>233</v>
      </c>
      <c r="AX1065" s="4" t="s">
        <v>233</v>
      </c>
      <c r="AY1065" s="8" t="s">
        <v>233</v>
      </c>
      <c r="AZ1065" s="7" t="s">
        <v>233</v>
      </c>
      <c r="BA1065" s="7" t="s">
        <v>233</v>
      </c>
      <c r="BB1065" s="7"/>
      <c r="BC1065" s="4" t="s">
        <v>233</v>
      </c>
      <c r="BD1065" s="8" t="s">
        <v>233</v>
      </c>
      <c r="BE1065" s="4" t="s">
        <v>233</v>
      </c>
      <c r="BF1065" s="8" t="s">
        <v>233</v>
      </c>
      <c r="BG1065" s="7" t="s">
        <v>233</v>
      </c>
      <c r="BH1065" s="7" t="s">
        <v>233</v>
      </c>
      <c r="BI1065" s="7"/>
      <c r="BJ1065" s="4">
        <v>14</v>
      </c>
      <c r="BK1065" s="8">
        <v>883.18</v>
      </c>
      <c r="BL1065" s="2" t="s">
        <v>1652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5376</v>
      </c>
      <c r="BV1065" s="2" t="s">
        <v>233</v>
      </c>
      <c r="BW1065" s="2" t="s">
        <v>233</v>
      </c>
      <c r="BX1065" s="2" t="s">
        <v>241</v>
      </c>
      <c r="BY1065" s="2" t="s">
        <v>242</v>
      </c>
      <c r="BZ1065" s="2" t="s">
        <v>230</v>
      </c>
      <c r="CA1065" s="2" t="s">
        <v>1877</v>
      </c>
      <c r="CB1065" s="2" t="s">
        <v>1806</v>
      </c>
      <c r="CC1065" s="2" t="s">
        <v>245</v>
      </c>
      <c r="CD1065" s="2" t="s">
        <v>233</v>
      </c>
      <c r="CE1065" s="4">
        <v>42</v>
      </c>
      <c r="CF1065" s="4"/>
      <c r="CG1065" s="4"/>
      <c r="CH1065" s="4">
        <v>55</v>
      </c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>
        <v>50</v>
      </c>
      <c r="EE1065" s="4"/>
      <c r="EF1065" s="4"/>
      <c r="EG1065" s="4"/>
      <c r="EH1065" s="4"/>
      <c r="EI1065" s="4"/>
      <c r="EJ1065" s="4">
        <v>50</v>
      </c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>
        <v>50</v>
      </c>
      <c r="FX1065" s="4"/>
      <c r="FY1065" s="4"/>
      <c r="FZ1065" s="4"/>
      <c r="GA1065" s="4"/>
      <c r="GB1065" s="4"/>
      <c r="GC1065" s="4">
        <v>99</v>
      </c>
      <c r="GD1065" s="4">
        <v>89</v>
      </c>
      <c r="GE1065" s="4">
        <v>76</v>
      </c>
      <c r="GF1065" s="4">
        <v>63</v>
      </c>
      <c r="GG1065" s="4">
        <v>39</v>
      </c>
      <c r="GH1065" s="4">
        <v>27</v>
      </c>
      <c r="GI1065" s="4">
        <v>15</v>
      </c>
      <c r="GJ1065" s="4">
        <v>56</v>
      </c>
      <c r="GK1065" s="4">
        <v>100</v>
      </c>
      <c r="GL1065" s="4">
        <v>92</v>
      </c>
      <c r="GM1065" s="4">
        <v>85</v>
      </c>
      <c r="GN1065" s="4">
        <v>78</v>
      </c>
      <c r="GO1065" s="4">
        <v>71</v>
      </c>
      <c r="GP1065" s="4">
        <v>64</v>
      </c>
      <c r="GQ1065" s="4">
        <v>57</v>
      </c>
      <c r="GR1065" s="4">
        <v>50</v>
      </c>
      <c r="GS1065" s="4">
        <v>43</v>
      </c>
      <c r="GT1065" s="4">
        <v>35</v>
      </c>
      <c r="GU1065" s="4">
        <v>78</v>
      </c>
      <c r="GV1065" s="4">
        <v>71</v>
      </c>
      <c r="GW1065" s="4">
        <v>64</v>
      </c>
      <c r="GX1065" s="4">
        <v>57</v>
      </c>
      <c r="GY1065" s="4">
        <v>50</v>
      </c>
      <c r="GZ1065" s="4">
        <v>43</v>
      </c>
      <c r="HA1065" s="4">
        <v>36</v>
      </c>
      <c r="HB1065" s="4">
        <v>29</v>
      </c>
      <c r="HC1065" s="19">
        <v>6.6</v>
      </c>
      <c r="HD1065" s="19">
        <v>5.6</v>
      </c>
      <c r="HE1065" s="19">
        <v>5.1</v>
      </c>
      <c r="HF1065" s="19">
        <v>4.5</v>
      </c>
      <c r="HG1065" s="19">
        <v>3.9</v>
      </c>
      <c r="HH1065" s="19">
        <v>3</v>
      </c>
      <c r="HI1065" s="19">
        <v>1.9</v>
      </c>
      <c r="HJ1065" s="19">
        <v>8</v>
      </c>
      <c r="HK1065" s="19">
        <v>14.3</v>
      </c>
      <c r="HL1065" s="19">
        <v>13.1</v>
      </c>
      <c r="HM1065" s="19">
        <v>12.1</v>
      </c>
      <c r="HN1065" s="19">
        <v>11.1</v>
      </c>
      <c r="HO1065" s="19">
        <v>10.1</v>
      </c>
      <c r="HP1065" s="19">
        <v>9.1</v>
      </c>
      <c r="HQ1065" s="19">
        <v>8.1</v>
      </c>
      <c r="HR1065" s="19">
        <v>7.1</v>
      </c>
      <c r="HS1065" s="19">
        <v>6.1</v>
      </c>
      <c r="HT1065" s="19">
        <v>5</v>
      </c>
      <c r="HU1065" s="19">
        <v>11.1</v>
      </c>
      <c r="HV1065" s="19">
        <v>10.1</v>
      </c>
      <c r="HW1065" s="19">
        <v>9.1</v>
      </c>
      <c r="HX1065" s="19">
        <v>8.1</v>
      </c>
      <c r="HY1065" s="19">
        <v>7.1</v>
      </c>
      <c r="HZ1065" s="19">
        <v>6.1</v>
      </c>
      <c r="IA1065" s="19">
        <v>5.1</v>
      </c>
      <c r="IB1065" s="19">
        <v>4.1</v>
      </c>
    </row>
    <row r="1066">
      <c r="A1066" s="2" t="s">
        <v>5378</v>
      </c>
      <c r="B1066" s="2" t="s">
        <v>872</v>
      </c>
      <c r="C1066" s="2" t="s">
        <v>762</v>
      </c>
      <c r="D1066" s="2" t="s">
        <v>261</v>
      </c>
      <c r="E1066" s="2" t="s">
        <v>895</v>
      </c>
      <c r="F1066" s="2" t="s">
        <v>5369</v>
      </c>
      <c r="G1066" s="2" t="s">
        <v>5369</v>
      </c>
      <c r="H1066" s="2" t="s">
        <v>5369</v>
      </c>
      <c r="I1066" s="2" t="s">
        <v>5370</v>
      </c>
      <c r="J1066" s="2" t="s">
        <v>265</v>
      </c>
      <c r="K1066" s="2" t="s">
        <v>458</v>
      </c>
      <c r="L1066" s="3">
        <v>54.85</v>
      </c>
      <c r="M1066" s="3">
        <v>57.59</v>
      </c>
      <c r="N1066" s="3">
        <v>119.99</v>
      </c>
      <c r="O1066" s="2" t="s">
        <v>230</v>
      </c>
      <c r="P1066" s="2" t="s">
        <v>231</v>
      </c>
      <c r="Q1066" s="2" t="s">
        <v>232</v>
      </c>
      <c r="R1066" s="2" t="s">
        <v>233</v>
      </c>
      <c r="S1066" s="2" t="s">
        <v>5379</v>
      </c>
      <c r="T1066" s="2" t="s">
        <v>348</v>
      </c>
      <c r="U1066" s="2" t="s">
        <v>781</v>
      </c>
      <c r="V1066" s="2" t="s">
        <v>349</v>
      </c>
      <c r="W1066" s="2" t="s">
        <v>1034</v>
      </c>
      <c r="X1066" s="2" t="s">
        <v>237</v>
      </c>
      <c r="Y1066" s="2" t="s">
        <v>4892</v>
      </c>
      <c r="Z1066" s="4">
        <v>172</v>
      </c>
      <c r="AA1066" s="4">
        <f>=ROUNDDOWN(28.6666666666667,0)</f>
      </c>
      <c r="AB1066" s="5">
        <v>6</v>
      </c>
      <c r="AC1066" s="2" t="s">
        <v>2192</v>
      </c>
      <c r="AD1066" s="4">
        <v>100</v>
      </c>
      <c r="AE1066" s="4">
        <v>190</v>
      </c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233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233</v>
      </c>
      <c r="AW1066" s="8" t="s">
        <v>233</v>
      </c>
      <c r="AX1066" s="4" t="s">
        <v>233</v>
      </c>
      <c r="AY1066" s="8" t="s">
        <v>233</v>
      </c>
      <c r="AZ1066" s="7" t="s">
        <v>233</v>
      </c>
      <c r="BA1066" s="7" t="s">
        <v>233</v>
      </c>
      <c r="BB1066" s="7" t="s">
        <v>233</v>
      </c>
      <c r="BC1066" s="4" t="s">
        <v>233</v>
      </c>
      <c r="BD1066" s="8" t="s">
        <v>233</v>
      </c>
      <c r="BE1066" s="4" t="s">
        <v>233</v>
      </c>
      <c r="BF1066" s="8" t="s">
        <v>233</v>
      </c>
      <c r="BG1066" s="7" t="s">
        <v>233</v>
      </c>
      <c r="BH1066" s="7" t="s">
        <v>233</v>
      </c>
      <c r="BI1066" s="7"/>
      <c r="BJ1066" s="4">
        <v>15</v>
      </c>
      <c r="BK1066" s="8">
        <v>919.15</v>
      </c>
      <c r="BL1066" s="2" t="s">
        <v>5380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5372</v>
      </c>
      <c r="BV1066" s="2" t="s">
        <v>233</v>
      </c>
      <c r="BW1066" s="2" t="s">
        <v>233</v>
      </c>
      <c r="BX1066" s="2" t="s">
        <v>241</v>
      </c>
      <c r="BY1066" s="2" t="s">
        <v>242</v>
      </c>
      <c r="BZ1066" s="2" t="s">
        <v>230</v>
      </c>
      <c r="CA1066" s="2" t="s">
        <v>1877</v>
      </c>
      <c r="CB1066" s="2" t="s">
        <v>233</v>
      </c>
      <c r="CC1066" s="2" t="s">
        <v>245</v>
      </c>
      <c r="CD1066" s="2" t="s">
        <v>233</v>
      </c>
      <c r="CE1066" s="4">
        <v>69</v>
      </c>
      <c r="CF1066" s="4"/>
      <c r="CG1066" s="4"/>
      <c r="CH1066" s="4">
        <v>103</v>
      </c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>
        <v>100</v>
      </c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>
        <v>90</v>
      </c>
      <c r="FZ1066" s="4"/>
      <c r="GA1066" s="4"/>
      <c r="GB1066" s="4"/>
      <c r="GC1066" s="4">
        <v>174</v>
      </c>
      <c r="GD1066" s="4">
        <v>160</v>
      </c>
      <c r="GE1066" s="4">
        <v>150</v>
      </c>
      <c r="GF1066" s="4">
        <v>140</v>
      </c>
      <c r="GG1066" s="4">
        <v>121</v>
      </c>
      <c r="GH1066" s="4">
        <v>113</v>
      </c>
      <c r="GI1066" s="4">
        <v>105</v>
      </c>
      <c r="GJ1066" s="4">
        <v>99</v>
      </c>
      <c r="GK1066" s="4">
        <v>95</v>
      </c>
      <c r="GL1066" s="4">
        <v>88</v>
      </c>
      <c r="GM1066" s="4">
        <v>82</v>
      </c>
      <c r="GN1066" s="4">
        <v>176</v>
      </c>
      <c r="GO1066" s="4">
        <v>170</v>
      </c>
      <c r="GP1066" s="4">
        <v>164</v>
      </c>
      <c r="GQ1066" s="4">
        <v>158</v>
      </c>
      <c r="GR1066" s="4">
        <v>152</v>
      </c>
      <c r="GS1066" s="4">
        <v>146</v>
      </c>
      <c r="GT1066" s="4">
        <v>139</v>
      </c>
      <c r="GU1066" s="4">
        <v>133</v>
      </c>
      <c r="GV1066" s="4">
        <v>217</v>
      </c>
      <c r="GW1066" s="4">
        <v>211</v>
      </c>
      <c r="GX1066" s="4">
        <v>205</v>
      </c>
      <c r="GY1066" s="4">
        <v>199</v>
      </c>
      <c r="GZ1066" s="4">
        <v>193</v>
      </c>
      <c r="HA1066" s="4">
        <v>187</v>
      </c>
      <c r="HB1066" s="4">
        <v>181</v>
      </c>
      <c r="HC1066" s="19">
        <v>13.4</v>
      </c>
      <c r="HD1066" s="19">
        <v>13.3</v>
      </c>
      <c r="HE1066" s="19">
        <v>13.6</v>
      </c>
      <c r="HF1066" s="19">
        <v>14</v>
      </c>
      <c r="HG1066" s="19">
        <v>20.2</v>
      </c>
      <c r="HH1066" s="19">
        <v>18.8</v>
      </c>
      <c r="HI1066" s="19">
        <v>17.5</v>
      </c>
      <c r="HJ1066" s="19">
        <v>16.5</v>
      </c>
      <c r="HK1066" s="19">
        <v>15.8</v>
      </c>
      <c r="HL1066" s="19">
        <v>14.7</v>
      </c>
      <c r="HM1066" s="19">
        <v>13.7</v>
      </c>
      <c r="HN1066" s="19">
        <v>29.3</v>
      </c>
      <c r="HO1066" s="19">
        <v>28.3</v>
      </c>
      <c r="HP1066" s="19">
        <v>27.3</v>
      </c>
      <c r="HQ1066" s="19">
        <v>26.3</v>
      </c>
      <c r="HR1066" s="19">
        <v>25.3</v>
      </c>
      <c r="HS1066" s="19">
        <v>24.3</v>
      </c>
      <c r="HT1066" s="19">
        <v>23.2</v>
      </c>
      <c r="HU1066" s="19">
        <v>22.2</v>
      </c>
      <c r="HV1066" s="19">
        <v>36.2</v>
      </c>
      <c r="HW1066" s="19">
        <v>35.2</v>
      </c>
      <c r="HX1066" s="19">
        <v>34.2</v>
      </c>
      <c r="HY1066" s="19">
        <v>33.2</v>
      </c>
      <c r="HZ1066" s="19">
        <v>32.2</v>
      </c>
      <c r="IA1066" s="19">
        <v>31.2</v>
      </c>
      <c r="IB1066" s="19">
        <v>30.2</v>
      </c>
    </row>
    <row r="1067">
      <c r="A1067" s="2" t="s">
        <v>5381</v>
      </c>
      <c r="B1067" s="2" t="s">
        <v>872</v>
      </c>
      <c r="C1067" s="2" t="s">
        <v>762</v>
      </c>
      <c r="D1067" s="2" t="s">
        <v>774</v>
      </c>
      <c r="E1067" s="2" t="s">
        <v>775</v>
      </c>
      <c r="F1067" s="2" t="s">
        <v>5369</v>
      </c>
      <c r="G1067" s="2" t="s">
        <v>5369</v>
      </c>
      <c r="H1067" s="2" t="s">
        <v>5369</v>
      </c>
      <c r="I1067" s="2" t="s">
        <v>5375</v>
      </c>
      <c r="J1067" s="2" t="s">
        <v>265</v>
      </c>
      <c r="K1067" s="2" t="s">
        <v>458</v>
      </c>
      <c r="L1067" s="3">
        <v>45.71</v>
      </c>
      <c r="M1067" s="3">
        <v>48</v>
      </c>
      <c r="N1067" s="3">
        <v>99.99</v>
      </c>
      <c r="O1067" s="2" t="s">
        <v>230</v>
      </c>
      <c r="P1067" s="2" t="s">
        <v>231</v>
      </c>
      <c r="Q1067" s="2" t="s">
        <v>232</v>
      </c>
      <c r="R1067" s="2" t="s">
        <v>233</v>
      </c>
      <c r="S1067" s="2" t="s">
        <v>5379</v>
      </c>
      <c r="T1067" s="2" t="s">
        <v>348</v>
      </c>
      <c r="U1067" s="2" t="s">
        <v>781</v>
      </c>
      <c r="V1067" s="2" t="s">
        <v>349</v>
      </c>
      <c r="W1067" s="2" t="s">
        <v>1034</v>
      </c>
      <c r="X1067" s="2" t="s">
        <v>237</v>
      </c>
      <c r="Y1067" s="2" t="s">
        <v>4892</v>
      </c>
      <c r="Z1067" s="4">
        <v>157</v>
      </c>
      <c r="AA1067" s="4">
        <f>=ROUNDDOWN(39.25,0)</f>
      </c>
      <c r="AB1067" s="5">
        <v>4</v>
      </c>
      <c r="AC1067" s="2" t="s">
        <v>2192</v>
      </c>
      <c r="AD1067" s="4">
        <v>80</v>
      </c>
      <c r="AE1067" s="4">
        <v>150</v>
      </c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233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233</v>
      </c>
      <c r="AW1067" s="8" t="s">
        <v>233</v>
      </c>
      <c r="AX1067" s="4" t="s">
        <v>233</v>
      </c>
      <c r="AY1067" s="8" t="s">
        <v>233</v>
      </c>
      <c r="AZ1067" s="7" t="s">
        <v>233</v>
      </c>
      <c r="BA1067" s="7" t="s">
        <v>233</v>
      </c>
      <c r="BB1067" s="7" t="s">
        <v>233</v>
      </c>
      <c r="BC1067" s="4" t="s">
        <v>233</v>
      </c>
      <c r="BD1067" s="8" t="s">
        <v>233</v>
      </c>
      <c r="BE1067" s="4" t="s">
        <v>233</v>
      </c>
      <c r="BF1067" s="8" t="s">
        <v>233</v>
      </c>
      <c r="BG1067" s="7" t="s">
        <v>233</v>
      </c>
      <c r="BH1067" s="7" t="s">
        <v>233</v>
      </c>
      <c r="BI1067" s="7"/>
      <c r="BJ1067" s="4">
        <v>7</v>
      </c>
      <c r="BK1067" s="8">
        <v>359.04</v>
      </c>
      <c r="BL1067" s="2" t="s">
        <v>5382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5376</v>
      </c>
      <c r="BV1067" s="2" t="s">
        <v>233</v>
      </c>
      <c r="BW1067" s="2" t="s">
        <v>233</v>
      </c>
      <c r="BX1067" s="2" t="s">
        <v>241</v>
      </c>
      <c r="BY1067" s="2" t="s">
        <v>242</v>
      </c>
      <c r="BZ1067" s="2" t="s">
        <v>230</v>
      </c>
      <c r="CA1067" s="2" t="s">
        <v>1877</v>
      </c>
      <c r="CB1067" s="2" t="s">
        <v>233</v>
      </c>
      <c r="CC1067" s="2" t="s">
        <v>245</v>
      </c>
      <c r="CD1067" s="2" t="s">
        <v>233</v>
      </c>
      <c r="CE1067" s="4">
        <v>81</v>
      </c>
      <c r="CF1067" s="4"/>
      <c r="CG1067" s="4"/>
      <c r="CH1067" s="4">
        <v>76</v>
      </c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>
        <v>80</v>
      </c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>
        <v>70</v>
      </c>
      <c r="FZ1067" s="4"/>
      <c r="GA1067" s="4"/>
      <c r="GB1067" s="4"/>
      <c r="GC1067" s="4">
        <v>158</v>
      </c>
      <c r="GD1067" s="4">
        <v>149</v>
      </c>
      <c r="GE1067" s="4">
        <v>141</v>
      </c>
      <c r="GF1067" s="4">
        <v>133</v>
      </c>
      <c r="GG1067" s="4">
        <v>115</v>
      </c>
      <c r="GH1067" s="4">
        <v>107</v>
      </c>
      <c r="GI1067" s="4">
        <v>99</v>
      </c>
      <c r="GJ1067" s="4">
        <v>94</v>
      </c>
      <c r="GK1067" s="4">
        <v>90</v>
      </c>
      <c r="GL1067" s="4">
        <v>86</v>
      </c>
      <c r="GM1067" s="4">
        <v>82</v>
      </c>
      <c r="GN1067" s="4">
        <v>158</v>
      </c>
      <c r="GO1067" s="4">
        <v>154</v>
      </c>
      <c r="GP1067" s="4">
        <v>150</v>
      </c>
      <c r="GQ1067" s="4">
        <v>146</v>
      </c>
      <c r="GR1067" s="4">
        <v>142</v>
      </c>
      <c r="GS1067" s="4">
        <v>138</v>
      </c>
      <c r="GT1067" s="4">
        <v>134</v>
      </c>
      <c r="GU1067" s="4">
        <v>130</v>
      </c>
      <c r="GV1067" s="4">
        <v>196</v>
      </c>
      <c r="GW1067" s="4">
        <v>192</v>
      </c>
      <c r="GX1067" s="4">
        <v>188</v>
      </c>
      <c r="GY1067" s="4">
        <v>184</v>
      </c>
      <c r="GZ1067" s="4">
        <v>180</v>
      </c>
      <c r="HA1067" s="4">
        <v>176</v>
      </c>
      <c r="HB1067" s="4">
        <v>172</v>
      </c>
      <c r="HC1067" s="19">
        <v>14.4</v>
      </c>
      <c r="HD1067" s="19">
        <v>14.9</v>
      </c>
      <c r="HE1067" s="19">
        <v>14.1</v>
      </c>
      <c r="HF1067" s="19">
        <v>13.3</v>
      </c>
      <c r="HG1067" s="19">
        <v>19.2</v>
      </c>
      <c r="HH1067" s="19">
        <v>21.4</v>
      </c>
      <c r="HI1067" s="19">
        <v>24.8</v>
      </c>
      <c r="HJ1067" s="19">
        <v>23.5</v>
      </c>
      <c r="HK1067" s="19">
        <v>22.5</v>
      </c>
      <c r="HL1067" s="19">
        <v>21.5</v>
      </c>
      <c r="HM1067" s="19">
        <v>20.5</v>
      </c>
      <c r="HN1067" s="19">
        <v>39.5</v>
      </c>
      <c r="HO1067" s="19">
        <v>38.5</v>
      </c>
      <c r="HP1067" s="19">
        <v>37.5</v>
      </c>
      <c r="HQ1067" s="19">
        <v>36.5</v>
      </c>
      <c r="HR1067" s="19">
        <v>35.5</v>
      </c>
      <c r="HS1067" s="19">
        <v>34.5</v>
      </c>
      <c r="HT1067" s="19">
        <v>33.5</v>
      </c>
      <c r="HU1067" s="19">
        <v>32.5</v>
      </c>
      <c r="HV1067" s="19">
        <v>49</v>
      </c>
      <c r="HW1067" s="19">
        <v>48</v>
      </c>
      <c r="HX1067" s="19">
        <v>47</v>
      </c>
      <c r="HY1067" s="19">
        <v>46</v>
      </c>
      <c r="HZ1067" s="19">
        <v>45</v>
      </c>
      <c r="IA1067" s="19">
        <v>44</v>
      </c>
      <c r="IB1067" s="19">
        <v>43</v>
      </c>
    </row>
    <row r="1068">
      <c r="A1068" s="2" t="s">
        <v>5383</v>
      </c>
      <c r="B1068" s="2" t="s">
        <v>872</v>
      </c>
      <c r="C1068" s="2" t="s">
        <v>762</v>
      </c>
      <c r="D1068" s="2" t="s">
        <v>261</v>
      </c>
      <c r="E1068" s="2" t="s">
        <v>895</v>
      </c>
      <c r="F1068" s="2" t="s">
        <v>5369</v>
      </c>
      <c r="G1068" s="2" t="s">
        <v>5369</v>
      </c>
      <c r="H1068" s="2" t="s">
        <v>5369</v>
      </c>
      <c r="I1068" s="2" t="s">
        <v>5370</v>
      </c>
      <c r="J1068" s="2" t="s">
        <v>275</v>
      </c>
      <c r="K1068" s="2" t="s">
        <v>458</v>
      </c>
      <c r="L1068" s="3">
        <v>64</v>
      </c>
      <c r="M1068" s="3">
        <v>67.2</v>
      </c>
      <c r="N1068" s="3">
        <v>139.99</v>
      </c>
      <c r="O1068" s="2" t="s">
        <v>230</v>
      </c>
      <c r="P1068" s="2" t="s">
        <v>231</v>
      </c>
      <c r="Q1068" s="2" t="s">
        <v>232</v>
      </c>
      <c r="R1068" s="2" t="s">
        <v>233</v>
      </c>
      <c r="S1068" s="2" t="s">
        <v>5379</v>
      </c>
      <c r="T1068" s="2" t="s">
        <v>348</v>
      </c>
      <c r="U1068" s="2" t="s">
        <v>781</v>
      </c>
      <c r="V1068" s="2" t="s">
        <v>349</v>
      </c>
      <c r="W1068" s="2" t="s">
        <v>1034</v>
      </c>
      <c r="X1068" s="2" t="s">
        <v>237</v>
      </c>
      <c r="Y1068" s="2" t="s">
        <v>4897</v>
      </c>
      <c r="Z1068" s="4">
        <v>134</v>
      </c>
      <c r="AA1068" s="4">
        <f>=ROUNDDOWN(19.1428571428571,0)</f>
      </c>
      <c r="AB1068" s="5">
        <v>7</v>
      </c>
      <c r="AC1068" s="2" t="s">
        <v>2192</v>
      </c>
      <c r="AD1068" s="4">
        <v>130</v>
      </c>
      <c r="AE1068" s="4">
        <v>240</v>
      </c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233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233</v>
      </c>
      <c r="AW1068" s="8" t="s">
        <v>233</v>
      </c>
      <c r="AX1068" s="4" t="s">
        <v>233</v>
      </c>
      <c r="AY1068" s="8" t="s">
        <v>233</v>
      </c>
      <c r="AZ1068" s="7" t="s">
        <v>233</v>
      </c>
      <c r="BA1068" s="7" t="s">
        <v>233</v>
      </c>
      <c r="BB1068" s="7" t="s">
        <v>233</v>
      </c>
      <c r="BC1068" s="4" t="s">
        <v>233</v>
      </c>
      <c r="BD1068" s="8" t="s">
        <v>233</v>
      </c>
      <c r="BE1068" s="4" t="s">
        <v>233</v>
      </c>
      <c r="BF1068" s="8" t="s">
        <v>233</v>
      </c>
      <c r="BG1068" s="7" t="s">
        <v>233</v>
      </c>
      <c r="BH1068" s="7" t="s">
        <v>233</v>
      </c>
      <c r="BI1068" s="7"/>
      <c r="BJ1068" s="4">
        <v>18</v>
      </c>
      <c r="BK1068" s="8">
        <v>1307.66</v>
      </c>
      <c r="BL1068" s="2" t="s">
        <v>5384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5372</v>
      </c>
      <c r="BV1068" s="2" t="s">
        <v>233</v>
      </c>
      <c r="BW1068" s="2" t="s">
        <v>233</v>
      </c>
      <c r="BX1068" s="2" t="s">
        <v>241</v>
      </c>
      <c r="BY1068" s="2" t="s">
        <v>242</v>
      </c>
      <c r="BZ1068" s="2" t="s">
        <v>230</v>
      </c>
      <c r="CA1068" s="2" t="s">
        <v>1877</v>
      </c>
      <c r="CB1068" s="2" t="s">
        <v>233</v>
      </c>
      <c r="CC1068" s="2" t="s">
        <v>245</v>
      </c>
      <c r="CD1068" s="2" t="s">
        <v>233</v>
      </c>
      <c r="CE1068" s="4">
        <v>43</v>
      </c>
      <c r="CF1068" s="4"/>
      <c r="CG1068" s="4"/>
      <c r="CH1068" s="4">
        <v>91</v>
      </c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>
        <v>130</v>
      </c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>
        <v>110</v>
      </c>
      <c r="FZ1068" s="4"/>
      <c r="GA1068" s="4"/>
      <c r="GB1068" s="4"/>
      <c r="GC1068" s="4">
        <v>137</v>
      </c>
      <c r="GD1068" s="4">
        <v>119</v>
      </c>
      <c r="GE1068" s="4">
        <v>108</v>
      </c>
      <c r="GF1068" s="4">
        <v>97</v>
      </c>
      <c r="GG1068" s="4">
        <v>75</v>
      </c>
      <c r="GH1068" s="4">
        <v>66</v>
      </c>
      <c r="GI1068" s="4">
        <v>57</v>
      </c>
      <c r="GJ1068" s="4">
        <v>51</v>
      </c>
      <c r="GK1068" s="4">
        <v>46</v>
      </c>
      <c r="GL1068" s="4">
        <v>38</v>
      </c>
      <c r="GM1068" s="4">
        <v>31</v>
      </c>
      <c r="GN1068" s="4">
        <v>154</v>
      </c>
      <c r="GO1068" s="4">
        <v>147</v>
      </c>
      <c r="GP1068" s="4">
        <v>140</v>
      </c>
      <c r="GQ1068" s="4">
        <v>133</v>
      </c>
      <c r="GR1068" s="4">
        <v>126</v>
      </c>
      <c r="GS1068" s="4">
        <v>119</v>
      </c>
      <c r="GT1068" s="4">
        <v>111</v>
      </c>
      <c r="GU1068" s="4">
        <v>104</v>
      </c>
      <c r="GV1068" s="4">
        <v>207</v>
      </c>
      <c r="GW1068" s="4">
        <v>200</v>
      </c>
      <c r="GX1068" s="4">
        <v>193</v>
      </c>
      <c r="GY1068" s="4">
        <v>186</v>
      </c>
      <c r="GZ1068" s="4">
        <v>179</v>
      </c>
      <c r="HA1068" s="4">
        <v>172</v>
      </c>
      <c r="HB1068" s="4">
        <v>165</v>
      </c>
      <c r="HC1068" s="19">
        <v>8.6</v>
      </c>
      <c r="HD1068" s="19">
        <v>9.2</v>
      </c>
      <c r="HE1068" s="19">
        <v>8.3</v>
      </c>
      <c r="HF1068" s="19">
        <v>8.1</v>
      </c>
      <c r="HG1068" s="19">
        <v>10.7</v>
      </c>
      <c r="HH1068" s="19">
        <v>9.4</v>
      </c>
      <c r="HI1068" s="19">
        <v>9.5</v>
      </c>
      <c r="HJ1068" s="19">
        <v>7.3</v>
      </c>
      <c r="HK1068" s="19">
        <v>6.6</v>
      </c>
      <c r="HL1068" s="19">
        <v>5.4</v>
      </c>
      <c r="HM1068" s="19">
        <v>4.4</v>
      </c>
      <c r="HN1068" s="19">
        <v>22</v>
      </c>
      <c r="HO1068" s="19">
        <v>21</v>
      </c>
      <c r="HP1068" s="19">
        <v>20</v>
      </c>
      <c r="HQ1068" s="19">
        <v>19</v>
      </c>
      <c r="HR1068" s="19">
        <v>18</v>
      </c>
      <c r="HS1068" s="19">
        <v>17</v>
      </c>
      <c r="HT1068" s="19">
        <v>15.9</v>
      </c>
      <c r="HU1068" s="19">
        <v>14.9</v>
      </c>
      <c r="HV1068" s="19">
        <v>29.6</v>
      </c>
      <c r="HW1068" s="19">
        <v>28.6</v>
      </c>
      <c r="HX1068" s="19">
        <v>27.6</v>
      </c>
      <c r="HY1068" s="19">
        <v>26.6</v>
      </c>
      <c r="HZ1068" s="19">
        <v>25.6</v>
      </c>
      <c r="IA1068" s="19">
        <v>24.6</v>
      </c>
      <c r="IB1068" s="19">
        <v>23.6</v>
      </c>
    </row>
    <row r="1069">
      <c r="A1069" s="2" t="s">
        <v>5385</v>
      </c>
      <c r="B1069" s="2" t="s">
        <v>872</v>
      </c>
      <c r="C1069" s="2" t="s">
        <v>762</v>
      </c>
      <c r="D1069" s="2" t="s">
        <v>774</v>
      </c>
      <c r="E1069" s="2" t="s">
        <v>775</v>
      </c>
      <c r="F1069" s="2" t="s">
        <v>5369</v>
      </c>
      <c r="G1069" s="2" t="s">
        <v>5369</v>
      </c>
      <c r="H1069" s="2" t="s">
        <v>5369</v>
      </c>
      <c r="I1069" s="2" t="s">
        <v>5375</v>
      </c>
      <c r="J1069" s="2" t="s">
        <v>275</v>
      </c>
      <c r="K1069" s="2" t="s">
        <v>458</v>
      </c>
      <c r="L1069" s="3">
        <v>54.85</v>
      </c>
      <c r="M1069" s="3">
        <v>57.59</v>
      </c>
      <c r="N1069" s="3">
        <v>119.99</v>
      </c>
      <c r="O1069" s="2" t="s">
        <v>230</v>
      </c>
      <c r="P1069" s="2" t="s">
        <v>231</v>
      </c>
      <c r="Q1069" s="2" t="s">
        <v>232</v>
      </c>
      <c r="R1069" s="2" t="s">
        <v>233</v>
      </c>
      <c r="S1069" s="2" t="s">
        <v>5379</v>
      </c>
      <c r="T1069" s="2" t="s">
        <v>348</v>
      </c>
      <c r="U1069" s="2" t="s">
        <v>781</v>
      </c>
      <c r="V1069" s="2" t="s">
        <v>349</v>
      </c>
      <c r="W1069" s="2" t="s">
        <v>1034</v>
      </c>
      <c r="X1069" s="2" t="s">
        <v>237</v>
      </c>
      <c r="Y1069" s="2" t="s">
        <v>4892</v>
      </c>
      <c r="Z1069" s="4">
        <v>125</v>
      </c>
      <c r="AA1069" s="4">
        <f>=ROUNDDOWN(31.25,0)</f>
      </c>
      <c r="AB1069" s="5">
        <v>4</v>
      </c>
      <c r="AC1069" s="2" t="s">
        <v>2192</v>
      </c>
      <c r="AD1069" s="4">
        <v>130</v>
      </c>
      <c r="AE1069" s="4">
        <v>220</v>
      </c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233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233</v>
      </c>
      <c r="AW1069" s="8" t="s">
        <v>233</v>
      </c>
      <c r="AX1069" s="4" t="s">
        <v>233</v>
      </c>
      <c r="AY1069" s="8" t="s">
        <v>233</v>
      </c>
      <c r="AZ1069" s="7" t="s">
        <v>233</v>
      </c>
      <c r="BA1069" s="7" t="s">
        <v>233</v>
      </c>
      <c r="BB1069" s="7" t="s">
        <v>233</v>
      </c>
      <c r="BC1069" s="4" t="s">
        <v>233</v>
      </c>
      <c r="BD1069" s="8" t="s">
        <v>233</v>
      </c>
      <c r="BE1069" s="4" t="s">
        <v>233</v>
      </c>
      <c r="BF1069" s="8" t="s">
        <v>233</v>
      </c>
      <c r="BG1069" s="7" t="s">
        <v>233</v>
      </c>
      <c r="BH1069" s="7" t="s">
        <v>233</v>
      </c>
      <c r="BI1069" s="7"/>
      <c r="BJ1069" s="4">
        <v>14</v>
      </c>
      <c r="BK1069" s="8">
        <v>877.53</v>
      </c>
      <c r="BL1069" s="2" t="s">
        <v>356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5376</v>
      </c>
      <c r="BV1069" s="2" t="s">
        <v>233</v>
      </c>
      <c r="BW1069" s="2" t="s">
        <v>233</v>
      </c>
      <c r="BX1069" s="2" t="s">
        <v>241</v>
      </c>
      <c r="BY1069" s="2" t="s">
        <v>242</v>
      </c>
      <c r="BZ1069" s="2" t="s">
        <v>230</v>
      </c>
      <c r="CA1069" s="2" t="s">
        <v>1877</v>
      </c>
      <c r="CB1069" s="2" t="s">
        <v>233</v>
      </c>
      <c r="CC1069" s="2" t="s">
        <v>245</v>
      </c>
      <c r="CD1069" s="2" t="s">
        <v>233</v>
      </c>
      <c r="CE1069" s="4">
        <v>55</v>
      </c>
      <c r="CF1069" s="4"/>
      <c r="CG1069" s="4"/>
      <c r="CH1069" s="4">
        <v>70</v>
      </c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>
        <v>130</v>
      </c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>
        <v>90</v>
      </c>
      <c r="FZ1069" s="4"/>
      <c r="GA1069" s="4"/>
      <c r="GB1069" s="4"/>
      <c r="GC1069" s="4">
        <v>128</v>
      </c>
      <c r="GD1069" s="4">
        <v>114</v>
      </c>
      <c r="GE1069" s="4">
        <v>108</v>
      </c>
      <c r="GF1069" s="4">
        <v>102</v>
      </c>
      <c r="GG1069" s="4">
        <v>91</v>
      </c>
      <c r="GH1069" s="4">
        <v>85</v>
      </c>
      <c r="GI1069" s="4">
        <v>79</v>
      </c>
      <c r="GJ1069" s="4">
        <v>74</v>
      </c>
      <c r="GK1069" s="4">
        <v>70</v>
      </c>
      <c r="GL1069" s="4">
        <v>66</v>
      </c>
      <c r="GM1069" s="4">
        <v>62</v>
      </c>
      <c r="GN1069" s="4">
        <v>188</v>
      </c>
      <c r="GO1069" s="4">
        <v>184</v>
      </c>
      <c r="GP1069" s="4">
        <v>180</v>
      </c>
      <c r="GQ1069" s="4">
        <v>176</v>
      </c>
      <c r="GR1069" s="4">
        <v>172</v>
      </c>
      <c r="GS1069" s="4">
        <v>168</v>
      </c>
      <c r="GT1069" s="4">
        <v>164</v>
      </c>
      <c r="GU1069" s="4">
        <v>160</v>
      </c>
      <c r="GV1069" s="4">
        <v>246</v>
      </c>
      <c r="GW1069" s="4">
        <v>242</v>
      </c>
      <c r="GX1069" s="4">
        <v>238</v>
      </c>
      <c r="GY1069" s="4">
        <v>234</v>
      </c>
      <c r="GZ1069" s="4">
        <v>230</v>
      </c>
      <c r="HA1069" s="4">
        <v>226</v>
      </c>
      <c r="HB1069" s="4">
        <v>222</v>
      </c>
      <c r="HC1069" s="19">
        <v>14.2</v>
      </c>
      <c r="HD1069" s="19">
        <v>16.3</v>
      </c>
      <c r="HE1069" s="19">
        <v>15.4</v>
      </c>
      <c r="HF1069" s="19">
        <v>14.6</v>
      </c>
      <c r="HG1069" s="19">
        <v>18.2</v>
      </c>
      <c r="HH1069" s="19">
        <v>17</v>
      </c>
      <c r="HI1069" s="19">
        <v>19.8</v>
      </c>
      <c r="HJ1069" s="19">
        <v>18.5</v>
      </c>
      <c r="HK1069" s="19">
        <v>17.5</v>
      </c>
      <c r="HL1069" s="19">
        <v>16.5</v>
      </c>
      <c r="HM1069" s="19">
        <v>15.5</v>
      </c>
      <c r="HN1069" s="19">
        <v>47</v>
      </c>
      <c r="HO1069" s="19">
        <v>46</v>
      </c>
      <c r="HP1069" s="19">
        <v>45</v>
      </c>
      <c r="HQ1069" s="19">
        <v>44</v>
      </c>
      <c r="HR1069" s="19">
        <v>43</v>
      </c>
      <c r="HS1069" s="19">
        <v>42</v>
      </c>
      <c r="HT1069" s="19">
        <v>41</v>
      </c>
      <c r="HU1069" s="19">
        <v>40</v>
      </c>
      <c r="HV1069" s="19">
        <v>61.5</v>
      </c>
      <c r="HW1069" s="19">
        <v>60.5</v>
      </c>
      <c r="HX1069" s="19">
        <v>59.5</v>
      </c>
      <c r="HY1069" s="19">
        <v>58.5</v>
      </c>
      <c r="HZ1069" s="19">
        <v>57.5</v>
      </c>
      <c r="IA1069" s="19">
        <v>56.5</v>
      </c>
      <c r="IB1069" s="19">
        <v>55.5</v>
      </c>
    </row>
    <row r="1070">
      <c r="A1070" s="2" t="s">
        <v>5386</v>
      </c>
      <c r="B1070" s="2" t="s">
        <v>773</v>
      </c>
      <c r="C1070" s="2" t="s">
        <v>2381</v>
      </c>
      <c r="D1070" s="2" t="s">
        <v>985</v>
      </c>
      <c r="E1070" s="2" t="s">
        <v>2241</v>
      </c>
      <c r="F1070" s="2" t="s">
        <v>5387</v>
      </c>
      <c r="G1070" s="2" t="s">
        <v>5387</v>
      </c>
      <c r="H1070" s="2" t="s">
        <v>5387</v>
      </c>
      <c r="I1070" s="2" t="s">
        <v>2243</v>
      </c>
      <c r="J1070" s="2" t="s">
        <v>228</v>
      </c>
      <c r="K1070" s="2" t="s">
        <v>229</v>
      </c>
      <c r="L1070" s="3">
        <v>45.23</v>
      </c>
      <c r="M1070" s="3">
        <v>47.49</v>
      </c>
      <c r="N1070" s="3">
        <v>94.99</v>
      </c>
      <c r="O1070" s="2" t="s">
        <v>230</v>
      </c>
      <c r="P1070" s="2" t="s">
        <v>231</v>
      </c>
      <c r="Q1070" s="2" t="s">
        <v>232</v>
      </c>
      <c r="R1070" s="2" t="s">
        <v>233</v>
      </c>
      <c r="S1070" s="2" t="s">
        <v>5388</v>
      </c>
      <c r="T1070" s="2" t="s">
        <v>913</v>
      </c>
      <c r="U1070" s="2" t="s">
        <v>329</v>
      </c>
      <c r="V1070" s="2" t="s">
        <v>236</v>
      </c>
      <c r="W1070" s="2" t="s">
        <v>237</v>
      </c>
      <c r="X1070" s="2" t="s">
        <v>915</v>
      </c>
      <c r="Y1070" s="2" t="s">
        <v>1474</v>
      </c>
      <c r="Z1070" s="4">
        <v>158</v>
      </c>
      <c r="AA1070" s="4">
        <f>=ROUNDDOWN(17.5555555555556,0)</f>
      </c>
      <c r="AB1070" s="5">
        <v>9</v>
      </c>
      <c r="AC1070" s="2" t="s">
        <v>145</v>
      </c>
      <c r="AD1070" s="4">
        <v>140</v>
      </c>
      <c r="AE1070" s="4">
        <v>140</v>
      </c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233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233</v>
      </c>
      <c r="AW1070" s="8" t="s">
        <v>233</v>
      </c>
      <c r="AX1070" s="4" t="s">
        <v>233</v>
      </c>
      <c r="AY1070" s="8" t="s">
        <v>233</v>
      </c>
      <c r="AZ1070" s="7" t="s">
        <v>233</v>
      </c>
      <c r="BA1070" s="7" t="s">
        <v>233</v>
      </c>
      <c r="BB1070" s="7"/>
      <c r="BC1070" s="4" t="s">
        <v>233</v>
      </c>
      <c r="BD1070" s="8" t="s">
        <v>233</v>
      </c>
      <c r="BE1070" s="4" t="s">
        <v>233</v>
      </c>
      <c r="BF1070" s="8" t="s">
        <v>233</v>
      </c>
      <c r="BG1070" s="7" t="s">
        <v>233</v>
      </c>
      <c r="BH1070" s="7" t="s">
        <v>233</v>
      </c>
      <c r="BI1070" s="7"/>
      <c r="BJ1070" s="4">
        <v>23</v>
      </c>
      <c r="BK1070" s="8">
        <v>1165.47</v>
      </c>
      <c r="BL1070" s="2" t="s">
        <v>674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5389</v>
      </c>
      <c r="BV1070" s="2" t="s">
        <v>233</v>
      </c>
      <c r="BW1070" s="2" t="s">
        <v>233</v>
      </c>
      <c r="BX1070" s="2" t="s">
        <v>241</v>
      </c>
      <c r="BY1070" s="2" t="s">
        <v>242</v>
      </c>
      <c r="BZ1070" s="2" t="s">
        <v>230</v>
      </c>
      <c r="CA1070" s="2" t="s">
        <v>439</v>
      </c>
      <c r="CB1070" s="2" t="s">
        <v>4816</v>
      </c>
      <c r="CC1070" s="2" t="s">
        <v>245</v>
      </c>
      <c r="CD1070" s="2" t="s">
        <v>233</v>
      </c>
      <c r="CE1070" s="4">
        <v>158</v>
      </c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>
        <v>140</v>
      </c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>
        <v>321</v>
      </c>
      <c r="GD1070" s="4">
        <v>312</v>
      </c>
      <c r="GE1070" s="4">
        <v>302</v>
      </c>
      <c r="GF1070" s="4">
        <v>433</v>
      </c>
      <c r="GG1070" s="4">
        <v>414</v>
      </c>
      <c r="GH1070" s="4">
        <v>403</v>
      </c>
      <c r="GI1070" s="4">
        <v>389</v>
      </c>
      <c r="GJ1070" s="4">
        <v>381</v>
      </c>
      <c r="GK1070" s="4">
        <v>378</v>
      </c>
      <c r="GL1070" s="4">
        <v>373</v>
      </c>
      <c r="GM1070" s="4">
        <v>366</v>
      </c>
      <c r="GN1070" s="4">
        <v>359</v>
      </c>
      <c r="GO1070" s="4">
        <v>354</v>
      </c>
      <c r="GP1070" s="4">
        <v>349</v>
      </c>
      <c r="GQ1070" s="4">
        <v>343</v>
      </c>
      <c r="GR1070" s="4">
        <v>338</v>
      </c>
      <c r="GS1070" s="4">
        <v>332</v>
      </c>
      <c r="GT1070" s="4">
        <v>327</v>
      </c>
      <c r="GU1070" s="4">
        <v>324</v>
      </c>
      <c r="GV1070" s="4">
        <v>320</v>
      </c>
      <c r="GW1070" s="4">
        <v>315</v>
      </c>
      <c r="GX1070" s="4">
        <v>311</v>
      </c>
      <c r="GY1070" s="4">
        <v>309</v>
      </c>
      <c r="GZ1070" s="4">
        <v>307</v>
      </c>
      <c r="HA1070" s="4">
        <v>306</v>
      </c>
      <c r="HB1070" s="4">
        <v>304</v>
      </c>
      <c r="HC1070" s="19">
        <v>26.8</v>
      </c>
      <c r="HD1070" s="19">
        <v>26</v>
      </c>
      <c r="HE1070" s="19">
        <v>23.2</v>
      </c>
      <c r="HF1070" s="19">
        <v>33.3</v>
      </c>
      <c r="HG1070" s="19">
        <v>46</v>
      </c>
      <c r="HH1070" s="19">
        <v>50.4</v>
      </c>
      <c r="HI1070" s="19">
        <v>64.8</v>
      </c>
      <c r="HJ1070" s="19">
        <v>63.5</v>
      </c>
      <c r="HK1070" s="19">
        <v>63</v>
      </c>
      <c r="HL1070" s="19">
        <v>62.2</v>
      </c>
      <c r="HM1070" s="19">
        <v>61</v>
      </c>
      <c r="HN1070" s="19">
        <v>71.8</v>
      </c>
      <c r="HO1070" s="19">
        <v>59</v>
      </c>
      <c r="HP1070" s="19">
        <v>58.2</v>
      </c>
      <c r="HQ1070" s="19">
        <v>68.6</v>
      </c>
      <c r="HR1070" s="19">
        <v>84.5</v>
      </c>
      <c r="HS1070" s="19">
        <v>83</v>
      </c>
      <c r="HT1070" s="19">
        <v>81.8</v>
      </c>
      <c r="HU1070" s="19">
        <v>81</v>
      </c>
      <c r="HV1070" s="19">
        <v>106.7</v>
      </c>
      <c r="HW1070" s="19">
        <v>157.5</v>
      </c>
      <c r="HX1070" s="19">
        <v>155.5</v>
      </c>
      <c r="HY1070" s="19">
        <v>154.5</v>
      </c>
      <c r="HZ1070" s="19">
        <v>153.5</v>
      </c>
      <c r="IA1070" s="19">
        <v>153</v>
      </c>
      <c r="IB1070" s="19">
        <v>152</v>
      </c>
    </row>
    <row r="1071">
      <c r="A1071" s="2" t="s">
        <v>5390</v>
      </c>
      <c r="B1071" s="2" t="s">
        <v>773</v>
      </c>
      <c r="C1071" s="2" t="s">
        <v>2381</v>
      </c>
      <c r="D1071" s="2" t="s">
        <v>985</v>
      </c>
      <c r="E1071" s="2" t="s">
        <v>2241</v>
      </c>
      <c r="F1071" s="2" t="s">
        <v>5387</v>
      </c>
      <c r="G1071" s="2" t="s">
        <v>5387</v>
      </c>
      <c r="H1071" s="2" t="s">
        <v>5387</v>
      </c>
      <c r="I1071" s="2" t="s">
        <v>2243</v>
      </c>
      <c r="J1071" s="2" t="s">
        <v>256</v>
      </c>
      <c r="K1071" s="2" t="s">
        <v>229</v>
      </c>
      <c r="L1071" s="3">
        <v>78.57</v>
      </c>
      <c r="M1071" s="3">
        <v>82.5</v>
      </c>
      <c r="N1071" s="3">
        <v>164.99</v>
      </c>
      <c r="O1071" s="2" t="s">
        <v>230</v>
      </c>
      <c r="P1071" s="2" t="s">
        <v>231</v>
      </c>
      <c r="Q1071" s="2" t="s">
        <v>232</v>
      </c>
      <c r="R1071" s="2" t="s">
        <v>233</v>
      </c>
      <c r="S1071" s="2" t="s">
        <v>5388</v>
      </c>
      <c r="T1071" s="2" t="s">
        <v>913</v>
      </c>
      <c r="U1071" s="2" t="s">
        <v>329</v>
      </c>
      <c r="V1071" s="2" t="s">
        <v>236</v>
      </c>
      <c r="W1071" s="2" t="s">
        <v>237</v>
      </c>
      <c r="X1071" s="2" t="s">
        <v>915</v>
      </c>
      <c r="Y1071" s="2" t="s">
        <v>2245</v>
      </c>
      <c r="Z1071" s="4">
        <v>417</v>
      </c>
      <c r="AA1071" s="4">
        <f>=ROUNDDOWN(37.9090909090909,0)</f>
      </c>
      <c r="AB1071" s="5">
        <v>11</v>
      </c>
      <c r="AC1071" s="2" t="s">
        <v>145</v>
      </c>
      <c r="AD1071" s="4">
        <v>30</v>
      </c>
      <c r="AE1071" s="4">
        <v>40</v>
      </c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233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233</v>
      </c>
      <c r="AW1071" s="8" t="s">
        <v>233</v>
      </c>
      <c r="AX1071" s="4" t="s">
        <v>233</v>
      </c>
      <c r="AY1071" s="8" t="s">
        <v>233</v>
      </c>
      <c r="AZ1071" s="7" t="s">
        <v>233</v>
      </c>
      <c r="BA1071" s="7" t="s">
        <v>233</v>
      </c>
      <c r="BB1071" s="7"/>
      <c r="BC1071" s="4" t="s">
        <v>233</v>
      </c>
      <c r="BD1071" s="8" t="s">
        <v>233</v>
      </c>
      <c r="BE1071" s="4" t="s">
        <v>233</v>
      </c>
      <c r="BF1071" s="8" t="s">
        <v>233</v>
      </c>
      <c r="BG1071" s="7" t="s">
        <v>233</v>
      </c>
      <c r="BH1071" s="7" t="s">
        <v>233</v>
      </c>
      <c r="BI1071" s="7"/>
      <c r="BJ1071" s="4">
        <v>26</v>
      </c>
      <c r="BK1071" s="8">
        <v>2291.8</v>
      </c>
      <c r="BL1071" s="2" t="s">
        <v>691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5389</v>
      </c>
      <c r="BV1071" s="2" t="s">
        <v>233</v>
      </c>
      <c r="BW1071" s="2" t="s">
        <v>233</v>
      </c>
      <c r="BX1071" s="2" t="s">
        <v>241</v>
      </c>
      <c r="BY1071" s="2" t="s">
        <v>242</v>
      </c>
      <c r="BZ1071" s="2" t="s">
        <v>230</v>
      </c>
      <c r="CA1071" s="2" t="s">
        <v>439</v>
      </c>
      <c r="CB1071" s="2" t="s">
        <v>456</v>
      </c>
      <c r="CC1071" s="2" t="s">
        <v>245</v>
      </c>
      <c r="CD1071" s="2" t="s">
        <v>233</v>
      </c>
      <c r="CE1071" s="4">
        <v>230</v>
      </c>
      <c r="CF1071" s="4">
        <v>187</v>
      </c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>
        <v>30</v>
      </c>
      <c r="DH1071" s="4"/>
      <c r="DI1071" s="4"/>
      <c r="DJ1071" s="4"/>
      <c r="DK1071" s="4"/>
      <c r="DL1071" s="4"/>
      <c r="DM1071" s="4"/>
      <c r="DN1071" s="4"/>
      <c r="DO1071" s="4">
        <v>10</v>
      </c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>
        <v>233</v>
      </c>
      <c r="GD1071" s="4">
        <v>211</v>
      </c>
      <c r="GE1071" s="4">
        <v>192</v>
      </c>
      <c r="GF1071" s="4">
        <v>204</v>
      </c>
      <c r="GG1071" s="4">
        <v>175</v>
      </c>
      <c r="GH1071" s="4">
        <v>151</v>
      </c>
      <c r="GI1071" s="4">
        <v>122</v>
      </c>
      <c r="GJ1071" s="4">
        <v>107</v>
      </c>
      <c r="GK1071" s="4">
        <v>101</v>
      </c>
      <c r="GL1071" s="4">
        <v>93</v>
      </c>
      <c r="GM1071" s="4">
        <v>85</v>
      </c>
      <c r="GN1071" s="4">
        <v>75</v>
      </c>
      <c r="GO1071" s="4">
        <v>68</v>
      </c>
      <c r="GP1071" s="4">
        <v>61</v>
      </c>
      <c r="GQ1071" s="4">
        <v>55</v>
      </c>
      <c r="GR1071" s="4">
        <v>50</v>
      </c>
      <c r="GS1071" s="4">
        <v>42</v>
      </c>
      <c r="GT1071" s="4">
        <v>35</v>
      </c>
      <c r="GU1071" s="4">
        <v>33</v>
      </c>
      <c r="GV1071" s="4">
        <v>30</v>
      </c>
      <c r="GW1071" s="4">
        <v>25</v>
      </c>
      <c r="GX1071" s="4">
        <v>21</v>
      </c>
      <c r="GY1071" s="4">
        <v>18</v>
      </c>
      <c r="GZ1071" s="4">
        <v>16</v>
      </c>
      <c r="HA1071" s="4">
        <v>11</v>
      </c>
      <c r="HB1071" s="4">
        <v>22</v>
      </c>
      <c r="HC1071" s="19">
        <v>9.7</v>
      </c>
      <c r="HD1071" s="19">
        <v>8.4</v>
      </c>
      <c r="HE1071" s="19">
        <v>6.9</v>
      </c>
      <c r="HF1071" s="19">
        <v>7.6</v>
      </c>
      <c r="HG1071" s="19">
        <v>9.7</v>
      </c>
      <c r="HH1071" s="19">
        <v>10.8</v>
      </c>
      <c r="HI1071" s="19">
        <v>13.6</v>
      </c>
      <c r="HJ1071" s="19">
        <v>13.4</v>
      </c>
      <c r="HK1071" s="19">
        <v>12.6</v>
      </c>
      <c r="HL1071" s="19">
        <v>11.6</v>
      </c>
      <c r="HM1071" s="19">
        <v>10.6</v>
      </c>
      <c r="HN1071" s="19">
        <v>12.5</v>
      </c>
      <c r="HO1071" s="19">
        <v>11.3</v>
      </c>
      <c r="HP1071" s="19">
        <v>10.2</v>
      </c>
      <c r="HQ1071" s="19">
        <v>9.2</v>
      </c>
      <c r="HR1071" s="19">
        <v>10</v>
      </c>
      <c r="HS1071" s="19">
        <v>10.5</v>
      </c>
      <c r="HT1071" s="19">
        <v>8.8</v>
      </c>
      <c r="HU1071" s="19">
        <v>8.3</v>
      </c>
      <c r="HV1071" s="19">
        <v>7.5</v>
      </c>
      <c r="HW1071" s="19">
        <v>6.3</v>
      </c>
      <c r="HX1071" s="19">
        <v>7</v>
      </c>
      <c r="HY1071" s="19">
        <v>6</v>
      </c>
      <c r="HZ1071" s="19">
        <v>5.3</v>
      </c>
      <c r="IA1071" s="19">
        <v>5.5</v>
      </c>
      <c r="IB1071" s="19">
        <v>11</v>
      </c>
    </row>
    <row r="1072">
      <c r="A1072" s="2" t="s">
        <v>5391</v>
      </c>
      <c r="B1072" s="2" t="s">
        <v>773</v>
      </c>
      <c r="C1072" s="2" t="s">
        <v>2381</v>
      </c>
      <c r="D1072" s="2" t="s">
        <v>985</v>
      </c>
      <c r="E1072" s="2" t="s">
        <v>2241</v>
      </c>
      <c r="F1072" s="2" t="s">
        <v>5387</v>
      </c>
      <c r="G1072" s="2" t="s">
        <v>5387</v>
      </c>
      <c r="H1072" s="2" t="s">
        <v>5387</v>
      </c>
      <c r="I1072" s="2" t="s">
        <v>2243</v>
      </c>
      <c r="J1072" s="2" t="s">
        <v>228</v>
      </c>
      <c r="K1072" s="2" t="s">
        <v>1525</v>
      </c>
      <c r="L1072" s="3">
        <v>45.23</v>
      </c>
      <c r="M1072" s="3">
        <v>47.49</v>
      </c>
      <c r="N1072" s="3">
        <v>94.99</v>
      </c>
      <c r="O1072" s="2" t="s">
        <v>230</v>
      </c>
      <c r="P1072" s="2" t="s">
        <v>231</v>
      </c>
      <c r="Q1072" s="2" t="s">
        <v>232</v>
      </c>
      <c r="R1072" s="2" t="s">
        <v>233</v>
      </c>
      <c r="S1072" s="2" t="s">
        <v>5392</v>
      </c>
      <c r="T1072" s="2" t="s">
        <v>913</v>
      </c>
      <c r="U1072" s="2" t="s">
        <v>329</v>
      </c>
      <c r="V1072" s="2" t="s">
        <v>236</v>
      </c>
      <c r="W1072" s="2" t="s">
        <v>237</v>
      </c>
      <c r="X1072" s="2" t="s">
        <v>915</v>
      </c>
      <c r="Y1072" s="2" t="s">
        <v>2245</v>
      </c>
      <c r="Z1072" s="4">
        <v>204</v>
      </c>
      <c r="AA1072" s="4">
        <f>=ROUNDDOWN(51,0)</f>
      </c>
      <c r="AB1072" s="5">
        <v>4</v>
      </c>
      <c r="AC1072" s="2" t="s">
        <v>233</v>
      </c>
      <c r="AD1072" s="4"/>
      <c r="AE1072" s="4"/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233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233</v>
      </c>
      <c r="AW1072" s="8" t="s">
        <v>233</v>
      </c>
      <c r="AX1072" s="4" t="s">
        <v>233</v>
      </c>
      <c r="AY1072" s="8" t="s">
        <v>233</v>
      </c>
      <c r="AZ1072" s="7" t="s">
        <v>233</v>
      </c>
      <c r="BA1072" s="7" t="s">
        <v>233</v>
      </c>
      <c r="BB1072" s="7"/>
      <c r="BC1072" s="4" t="s">
        <v>233</v>
      </c>
      <c r="BD1072" s="8" t="s">
        <v>233</v>
      </c>
      <c r="BE1072" s="4" t="s">
        <v>233</v>
      </c>
      <c r="BF1072" s="8" t="s">
        <v>233</v>
      </c>
      <c r="BG1072" s="7" t="s">
        <v>233</v>
      </c>
      <c r="BH1072" s="7" t="s">
        <v>233</v>
      </c>
      <c r="BI1072" s="7"/>
      <c r="BJ1072" s="4">
        <v>14</v>
      </c>
      <c r="BK1072" s="8">
        <v>712.38</v>
      </c>
      <c r="BL1072" s="2" t="s">
        <v>691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5389</v>
      </c>
      <c r="BV1072" s="2" t="s">
        <v>233</v>
      </c>
      <c r="BW1072" s="2" t="s">
        <v>233</v>
      </c>
      <c r="BX1072" s="2" t="s">
        <v>241</v>
      </c>
      <c r="BY1072" s="2" t="s">
        <v>242</v>
      </c>
      <c r="BZ1072" s="2" t="s">
        <v>230</v>
      </c>
      <c r="CA1072" s="2" t="s">
        <v>439</v>
      </c>
      <c r="CB1072" s="2" t="s">
        <v>233</v>
      </c>
      <c r="CC1072" s="2" t="s">
        <v>245</v>
      </c>
      <c r="CD1072" s="2" t="s">
        <v>233</v>
      </c>
      <c r="CE1072" s="4">
        <v>204</v>
      </c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>
        <v>206</v>
      </c>
      <c r="GD1072" s="4">
        <v>202</v>
      </c>
      <c r="GE1072" s="4">
        <v>197</v>
      </c>
      <c r="GF1072" s="4">
        <v>192</v>
      </c>
      <c r="GG1072" s="4">
        <v>182</v>
      </c>
      <c r="GH1072" s="4">
        <v>176</v>
      </c>
      <c r="GI1072" s="4">
        <v>169</v>
      </c>
      <c r="GJ1072" s="4">
        <v>165</v>
      </c>
      <c r="GK1072" s="4">
        <v>164</v>
      </c>
      <c r="GL1072" s="4">
        <v>162</v>
      </c>
      <c r="GM1072" s="4">
        <v>160</v>
      </c>
      <c r="GN1072" s="4">
        <v>157</v>
      </c>
      <c r="GO1072" s="4">
        <v>155</v>
      </c>
      <c r="GP1072" s="4">
        <v>153</v>
      </c>
      <c r="GQ1072" s="4">
        <v>151</v>
      </c>
      <c r="GR1072" s="4">
        <v>149</v>
      </c>
      <c r="GS1072" s="4">
        <v>147</v>
      </c>
      <c r="GT1072" s="4">
        <v>145</v>
      </c>
      <c r="GU1072" s="4">
        <v>144</v>
      </c>
      <c r="GV1072" s="4">
        <v>142</v>
      </c>
      <c r="GW1072" s="4">
        <v>140</v>
      </c>
      <c r="GX1072" s="4">
        <v>138</v>
      </c>
      <c r="GY1072" s="4">
        <v>137</v>
      </c>
      <c r="GZ1072" s="4">
        <v>136</v>
      </c>
      <c r="HA1072" s="4">
        <v>135</v>
      </c>
      <c r="HB1072" s="4">
        <v>134</v>
      </c>
      <c r="HC1072" s="19">
        <v>34.3</v>
      </c>
      <c r="HD1072" s="19">
        <v>33.7</v>
      </c>
      <c r="HE1072" s="19">
        <v>28.1</v>
      </c>
      <c r="HF1072" s="19">
        <v>27.4</v>
      </c>
      <c r="HG1072" s="19">
        <v>45.5</v>
      </c>
      <c r="HH1072" s="19">
        <v>44</v>
      </c>
      <c r="HI1072" s="19">
        <v>84.5</v>
      </c>
      <c r="HJ1072" s="19">
        <v>82.5</v>
      </c>
      <c r="HK1072" s="19">
        <v>82</v>
      </c>
      <c r="HL1072" s="19">
        <v>81</v>
      </c>
      <c r="HM1072" s="19">
        <v>80</v>
      </c>
      <c r="HN1072" s="19">
        <v>78.5</v>
      </c>
      <c r="HO1072" s="19">
        <v>77.5</v>
      </c>
      <c r="HP1072" s="19">
        <v>76.5</v>
      </c>
      <c r="HQ1072" s="19">
        <v>75.5</v>
      </c>
      <c r="HR1072" s="19">
        <v>74.5</v>
      </c>
      <c r="HS1072" s="19">
        <v>73.5</v>
      </c>
      <c r="HT1072" s="19">
        <v>72.5</v>
      </c>
      <c r="HU1072" s="19">
        <v>72</v>
      </c>
      <c r="HV1072" s="19">
        <v>71</v>
      </c>
      <c r="HW1072" s="19">
        <v>140</v>
      </c>
      <c r="HX1072" s="19">
        <v>138</v>
      </c>
      <c r="HY1072" s="19">
        <v>137</v>
      </c>
      <c r="HZ1072" s="19">
        <v>136</v>
      </c>
      <c r="IA1072" s="19">
        <v>135</v>
      </c>
      <c r="IB1072" s="19">
        <v>134</v>
      </c>
    </row>
    <row r="1073">
      <c r="A1073" s="2" t="s">
        <v>5393</v>
      </c>
      <c r="B1073" s="2" t="s">
        <v>773</v>
      </c>
      <c r="C1073" s="2" t="s">
        <v>2381</v>
      </c>
      <c r="D1073" s="2" t="s">
        <v>985</v>
      </c>
      <c r="E1073" s="2" t="s">
        <v>2241</v>
      </c>
      <c r="F1073" s="2" t="s">
        <v>5387</v>
      </c>
      <c r="G1073" s="2" t="s">
        <v>5387</v>
      </c>
      <c r="H1073" s="2" t="s">
        <v>5387</v>
      </c>
      <c r="I1073" s="2" t="s">
        <v>2243</v>
      </c>
      <c r="J1073" s="2" t="s">
        <v>252</v>
      </c>
      <c r="K1073" s="2" t="s">
        <v>1525</v>
      </c>
      <c r="L1073" s="3">
        <v>50</v>
      </c>
      <c r="M1073" s="3">
        <v>52.5</v>
      </c>
      <c r="N1073" s="3">
        <v>104.99</v>
      </c>
      <c r="O1073" s="2" t="s">
        <v>230</v>
      </c>
      <c r="P1073" s="2" t="s">
        <v>231</v>
      </c>
      <c r="Q1073" s="2" t="s">
        <v>232</v>
      </c>
      <c r="R1073" s="2" t="s">
        <v>233</v>
      </c>
      <c r="S1073" s="2" t="s">
        <v>5392</v>
      </c>
      <c r="T1073" s="2" t="s">
        <v>913</v>
      </c>
      <c r="U1073" s="2" t="s">
        <v>329</v>
      </c>
      <c r="V1073" s="2" t="s">
        <v>236</v>
      </c>
      <c r="W1073" s="2" t="s">
        <v>237</v>
      </c>
      <c r="X1073" s="2" t="s">
        <v>915</v>
      </c>
      <c r="Y1073" s="2" t="s">
        <v>2245</v>
      </c>
      <c r="Z1073" s="4">
        <v>349</v>
      </c>
      <c r="AA1073" s="4">
        <f>=ROUNDDOWN(49.8571428571429,0)</f>
      </c>
      <c r="AB1073" s="5">
        <v>7</v>
      </c>
      <c r="AC1073" s="2" t="s">
        <v>145</v>
      </c>
      <c r="AD1073" s="4">
        <v>120</v>
      </c>
      <c r="AE1073" s="4">
        <v>120</v>
      </c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233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233</v>
      </c>
      <c r="AW1073" s="8" t="s">
        <v>233</v>
      </c>
      <c r="AX1073" s="4" t="s">
        <v>233</v>
      </c>
      <c r="AY1073" s="8" t="s">
        <v>233</v>
      </c>
      <c r="AZ1073" s="7" t="s">
        <v>233</v>
      </c>
      <c r="BA1073" s="7" t="s">
        <v>233</v>
      </c>
      <c r="BB1073" s="7"/>
      <c r="BC1073" s="4" t="s">
        <v>233</v>
      </c>
      <c r="BD1073" s="8" t="s">
        <v>233</v>
      </c>
      <c r="BE1073" s="4" t="s">
        <v>233</v>
      </c>
      <c r="BF1073" s="8" t="s">
        <v>233</v>
      </c>
      <c r="BG1073" s="7" t="s">
        <v>233</v>
      </c>
      <c r="BH1073" s="7" t="s">
        <v>233</v>
      </c>
      <c r="BI1073" s="7"/>
      <c r="BJ1073" s="4">
        <v>26</v>
      </c>
      <c r="BK1073" s="8">
        <v>1466.3</v>
      </c>
      <c r="BL1073" s="2" t="s">
        <v>674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5389</v>
      </c>
      <c r="BV1073" s="2" t="s">
        <v>233</v>
      </c>
      <c r="BW1073" s="2" t="s">
        <v>233</v>
      </c>
      <c r="BX1073" s="2" t="s">
        <v>241</v>
      </c>
      <c r="BY1073" s="2" t="s">
        <v>242</v>
      </c>
      <c r="BZ1073" s="2" t="s">
        <v>230</v>
      </c>
      <c r="CA1073" s="2" t="s">
        <v>439</v>
      </c>
      <c r="CB1073" s="2" t="s">
        <v>5394</v>
      </c>
      <c r="CC1073" s="2" t="s">
        <v>245</v>
      </c>
      <c r="CD1073" s="2" t="s">
        <v>233</v>
      </c>
      <c r="CE1073" s="4">
        <v>349</v>
      </c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>
        <v>120</v>
      </c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>
        <v>352</v>
      </c>
      <c r="GD1073" s="4">
        <v>333</v>
      </c>
      <c r="GE1073" s="4">
        <v>322</v>
      </c>
      <c r="GF1073" s="4">
        <v>431</v>
      </c>
      <c r="GG1073" s="4">
        <v>411</v>
      </c>
      <c r="GH1073" s="4">
        <v>399</v>
      </c>
      <c r="GI1073" s="4">
        <v>384</v>
      </c>
      <c r="GJ1073" s="4">
        <v>376</v>
      </c>
      <c r="GK1073" s="4">
        <v>373</v>
      </c>
      <c r="GL1073" s="4">
        <v>366</v>
      </c>
      <c r="GM1073" s="4">
        <v>358</v>
      </c>
      <c r="GN1073" s="4">
        <v>350</v>
      </c>
      <c r="GO1073" s="4">
        <v>344</v>
      </c>
      <c r="GP1073" s="4">
        <v>339</v>
      </c>
      <c r="GQ1073" s="4">
        <v>333</v>
      </c>
      <c r="GR1073" s="4">
        <v>328</v>
      </c>
      <c r="GS1073" s="4">
        <v>324</v>
      </c>
      <c r="GT1073" s="4">
        <v>317</v>
      </c>
      <c r="GU1073" s="4">
        <v>315</v>
      </c>
      <c r="GV1073" s="4">
        <v>311</v>
      </c>
      <c r="GW1073" s="4">
        <v>307</v>
      </c>
      <c r="GX1073" s="4">
        <v>305</v>
      </c>
      <c r="GY1073" s="4">
        <v>303</v>
      </c>
      <c r="GZ1073" s="4">
        <v>301</v>
      </c>
      <c r="HA1073" s="4">
        <v>300</v>
      </c>
      <c r="HB1073" s="4">
        <v>299</v>
      </c>
      <c r="HC1073" s="19">
        <v>23.5</v>
      </c>
      <c r="HD1073" s="19">
        <v>23.8</v>
      </c>
      <c r="HE1073" s="19">
        <v>23</v>
      </c>
      <c r="HF1073" s="19">
        <v>30.8</v>
      </c>
      <c r="HG1073" s="19">
        <v>41.1</v>
      </c>
      <c r="HH1073" s="19">
        <v>49.9</v>
      </c>
      <c r="HI1073" s="19">
        <v>64</v>
      </c>
      <c r="HJ1073" s="19">
        <v>62.7</v>
      </c>
      <c r="HK1073" s="19">
        <v>53.3</v>
      </c>
      <c r="HL1073" s="19">
        <v>52.3</v>
      </c>
      <c r="HM1073" s="19">
        <v>59.7</v>
      </c>
      <c r="HN1073" s="19">
        <v>58.3</v>
      </c>
      <c r="HO1073" s="19">
        <v>68.8</v>
      </c>
      <c r="HP1073" s="19">
        <v>56.5</v>
      </c>
      <c r="HQ1073" s="19">
        <v>83.3</v>
      </c>
      <c r="HR1073" s="19">
        <v>82</v>
      </c>
      <c r="HS1073" s="19">
        <v>81</v>
      </c>
      <c r="HT1073" s="19">
        <v>105.7</v>
      </c>
      <c r="HU1073" s="19">
        <v>105</v>
      </c>
      <c r="HV1073" s="19">
        <v>155.5</v>
      </c>
      <c r="HW1073" s="19">
        <v>153.5</v>
      </c>
      <c r="HX1073" s="19">
        <v>152.5</v>
      </c>
      <c r="HY1073" s="19">
        <v>151.5</v>
      </c>
      <c r="HZ1073" s="19">
        <v>301</v>
      </c>
      <c r="IA1073" s="19">
        <v>300</v>
      </c>
      <c r="IB1073" s="19">
        <v>299</v>
      </c>
    </row>
    <row r="1074">
      <c r="A1074" s="2" t="s">
        <v>5395</v>
      </c>
      <c r="B1074" s="2" t="s">
        <v>773</v>
      </c>
      <c r="C1074" s="2" t="s">
        <v>2381</v>
      </c>
      <c r="D1074" s="2" t="s">
        <v>985</v>
      </c>
      <c r="E1074" s="2" t="s">
        <v>2241</v>
      </c>
      <c r="F1074" s="2" t="s">
        <v>5387</v>
      </c>
      <c r="G1074" s="2" t="s">
        <v>5387</v>
      </c>
      <c r="H1074" s="2" t="s">
        <v>5387</v>
      </c>
      <c r="I1074" s="2" t="s">
        <v>2243</v>
      </c>
      <c r="J1074" s="2" t="s">
        <v>336</v>
      </c>
      <c r="K1074" s="2" t="s">
        <v>1525</v>
      </c>
      <c r="L1074" s="3">
        <v>69.04</v>
      </c>
      <c r="M1074" s="3">
        <v>72.49</v>
      </c>
      <c r="N1074" s="3">
        <v>144.99</v>
      </c>
      <c r="O1074" s="2" t="s">
        <v>230</v>
      </c>
      <c r="P1074" s="2" t="s">
        <v>231</v>
      </c>
      <c r="Q1074" s="2" t="s">
        <v>232</v>
      </c>
      <c r="R1074" s="2" t="s">
        <v>233</v>
      </c>
      <c r="S1074" s="2" t="s">
        <v>5392</v>
      </c>
      <c r="T1074" s="2" t="s">
        <v>913</v>
      </c>
      <c r="U1074" s="2" t="s">
        <v>329</v>
      </c>
      <c r="V1074" s="2" t="s">
        <v>236</v>
      </c>
      <c r="W1074" s="2" t="s">
        <v>237</v>
      </c>
      <c r="X1074" s="2" t="s">
        <v>915</v>
      </c>
      <c r="Y1074" s="2" t="s">
        <v>2245</v>
      </c>
      <c r="Z1074" s="4">
        <v>326</v>
      </c>
      <c r="AA1074" s="4">
        <f>=ROUNDDOWN(46.5714285714286,0)</f>
      </c>
      <c r="AB1074" s="5">
        <v>7</v>
      </c>
      <c r="AC1074" s="2" t="s">
        <v>145</v>
      </c>
      <c r="AD1074" s="4">
        <v>120</v>
      </c>
      <c r="AE1074" s="4">
        <v>120</v>
      </c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233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233</v>
      </c>
      <c r="AW1074" s="8" t="s">
        <v>233</v>
      </c>
      <c r="AX1074" s="4" t="s">
        <v>233</v>
      </c>
      <c r="AY1074" s="8" t="s">
        <v>233</v>
      </c>
      <c r="AZ1074" s="7" t="s">
        <v>233</v>
      </c>
      <c r="BA1074" s="7" t="s">
        <v>233</v>
      </c>
      <c r="BB1074" s="7"/>
      <c r="BC1074" s="4" t="s">
        <v>233</v>
      </c>
      <c r="BD1074" s="8" t="s">
        <v>233</v>
      </c>
      <c r="BE1074" s="4" t="s">
        <v>233</v>
      </c>
      <c r="BF1074" s="8" t="s">
        <v>233</v>
      </c>
      <c r="BG1074" s="7" t="s">
        <v>233</v>
      </c>
      <c r="BH1074" s="7" t="s">
        <v>233</v>
      </c>
      <c r="BI1074" s="7"/>
      <c r="BJ1074" s="4">
        <v>18</v>
      </c>
      <c r="BK1074" s="8">
        <v>1405.99</v>
      </c>
      <c r="BL1074" s="2" t="s">
        <v>356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5389</v>
      </c>
      <c r="BV1074" s="2" t="s">
        <v>233</v>
      </c>
      <c r="BW1074" s="2" t="s">
        <v>233</v>
      </c>
      <c r="BX1074" s="2" t="s">
        <v>241</v>
      </c>
      <c r="BY1074" s="2" t="s">
        <v>242</v>
      </c>
      <c r="BZ1074" s="2" t="s">
        <v>230</v>
      </c>
      <c r="CA1074" s="2" t="s">
        <v>439</v>
      </c>
      <c r="CB1074" s="2" t="s">
        <v>233</v>
      </c>
      <c r="CC1074" s="2" t="s">
        <v>245</v>
      </c>
      <c r="CD1074" s="2" t="s">
        <v>233</v>
      </c>
      <c r="CE1074" s="4">
        <v>326</v>
      </c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>
        <v>120</v>
      </c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>
        <v>343</v>
      </c>
      <c r="GD1074" s="4">
        <v>323</v>
      </c>
      <c r="GE1074" s="4">
        <v>313</v>
      </c>
      <c r="GF1074" s="4">
        <v>424</v>
      </c>
      <c r="GG1074" s="4">
        <v>404</v>
      </c>
      <c r="GH1074" s="4">
        <v>392</v>
      </c>
      <c r="GI1074" s="4">
        <v>377</v>
      </c>
      <c r="GJ1074" s="4">
        <v>369</v>
      </c>
      <c r="GK1074" s="4">
        <v>366</v>
      </c>
      <c r="GL1074" s="4">
        <v>360</v>
      </c>
      <c r="GM1074" s="4">
        <v>354</v>
      </c>
      <c r="GN1074" s="4">
        <v>347</v>
      </c>
      <c r="GO1074" s="4">
        <v>343</v>
      </c>
      <c r="GP1074" s="4">
        <v>339</v>
      </c>
      <c r="GQ1074" s="4">
        <v>337</v>
      </c>
      <c r="GR1074" s="4">
        <v>335</v>
      </c>
      <c r="GS1074" s="4">
        <v>332</v>
      </c>
      <c r="GT1074" s="4">
        <v>330</v>
      </c>
      <c r="GU1074" s="4">
        <v>328</v>
      </c>
      <c r="GV1074" s="4">
        <v>326</v>
      </c>
      <c r="GW1074" s="4">
        <v>324</v>
      </c>
      <c r="GX1074" s="4">
        <v>322</v>
      </c>
      <c r="GY1074" s="4">
        <v>321</v>
      </c>
      <c r="GZ1074" s="4">
        <v>320</v>
      </c>
      <c r="HA1074" s="4">
        <v>319</v>
      </c>
      <c r="HB1074" s="4">
        <v>318</v>
      </c>
      <c r="HC1074" s="19">
        <v>22.9</v>
      </c>
      <c r="HD1074" s="19">
        <v>24.8</v>
      </c>
      <c r="HE1074" s="19">
        <v>22.4</v>
      </c>
      <c r="HF1074" s="19">
        <v>30.3</v>
      </c>
      <c r="HG1074" s="19">
        <v>40.4</v>
      </c>
      <c r="HH1074" s="19">
        <v>49</v>
      </c>
      <c r="HI1074" s="19">
        <v>62.8</v>
      </c>
      <c r="HJ1074" s="19">
        <v>61.5</v>
      </c>
      <c r="HK1074" s="19">
        <v>61</v>
      </c>
      <c r="HL1074" s="19">
        <v>72</v>
      </c>
      <c r="HM1074" s="19">
        <v>88.5</v>
      </c>
      <c r="HN1074" s="19">
        <v>115.7</v>
      </c>
      <c r="HO1074" s="19">
        <v>114.3</v>
      </c>
      <c r="HP1074" s="19">
        <v>169.5</v>
      </c>
      <c r="HQ1074" s="19">
        <v>168.5</v>
      </c>
      <c r="HR1074" s="19">
        <v>167.5</v>
      </c>
      <c r="HS1074" s="19">
        <v>166</v>
      </c>
      <c r="HT1074" s="19">
        <v>165</v>
      </c>
      <c r="HU1074" s="19">
        <v>164</v>
      </c>
      <c r="HV1074" s="19">
        <v>163</v>
      </c>
      <c r="HW1074" s="19">
        <v>324</v>
      </c>
      <c r="HX1074" s="19">
        <v>322</v>
      </c>
      <c r="HY1074" s="19">
        <v>321</v>
      </c>
      <c r="HZ1074" s="19">
        <v>320</v>
      </c>
      <c r="IA1074" s="19">
        <v>319</v>
      </c>
      <c r="IB1074" s="19">
        <v>318</v>
      </c>
    </row>
    <row r="1075">
      <c r="A1075" s="2" t="s">
        <v>5396</v>
      </c>
      <c r="B1075" s="2" t="s">
        <v>773</v>
      </c>
      <c r="C1075" s="2" t="s">
        <v>2381</v>
      </c>
      <c r="D1075" s="2" t="s">
        <v>985</v>
      </c>
      <c r="E1075" s="2" t="s">
        <v>2241</v>
      </c>
      <c r="F1075" s="2" t="s">
        <v>5387</v>
      </c>
      <c r="G1075" s="2" t="s">
        <v>5387</v>
      </c>
      <c r="H1075" s="2" t="s">
        <v>5387</v>
      </c>
      <c r="I1075" s="2" t="s">
        <v>2243</v>
      </c>
      <c r="J1075" s="2" t="s">
        <v>256</v>
      </c>
      <c r="K1075" s="2" t="s">
        <v>1525</v>
      </c>
      <c r="L1075" s="3">
        <v>78.57</v>
      </c>
      <c r="M1075" s="3">
        <v>82.5</v>
      </c>
      <c r="N1075" s="3">
        <v>164.99</v>
      </c>
      <c r="O1075" s="2" t="s">
        <v>230</v>
      </c>
      <c r="P1075" s="2" t="s">
        <v>231</v>
      </c>
      <c r="Q1075" s="2" t="s">
        <v>232</v>
      </c>
      <c r="R1075" s="2" t="s">
        <v>233</v>
      </c>
      <c r="S1075" s="2" t="s">
        <v>5392</v>
      </c>
      <c r="T1075" s="2" t="s">
        <v>913</v>
      </c>
      <c r="U1075" s="2" t="s">
        <v>329</v>
      </c>
      <c r="V1075" s="2" t="s">
        <v>236</v>
      </c>
      <c r="W1075" s="2" t="s">
        <v>237</v>
      </c>
      <c r="X1075" s="2" t="s">
        <v>915</v>
      </c>
      <c r="Y1075" s="2" t="s">
        <v>2245</v>
      </c>
      <c r="Z1075" s="4">
        <v>210</v>
      </c>
      <c r="AA1075" s="4">
        <f>=ROUNDDOWN(30,0)</f>
      </c>
      <c r="AB1075" s="5">
        <v>7</v>
      </c>
      <c r="AC1075" s="2" t="s">
        <v>233</v>
      </c>
      <c r="AD1075" s="4"/>
      <c r="AE1075" s="4"/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233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233</v>
      </c>
      <c r="AW1075" s="8" t="s">
        <v>233</v>
      </c>
      <c r="AX1075" s="4" t="s">
        <v>233</v>
      </c>
      <c r="AY1075" s="8" t="s">
        <v>233</v>
      </c>
      <c r="AZ1075" s="7" t="s">
        <v>233</v>
      </c>
      <c r="BA1075" s="7" t="s">
        <v>233</v>
      </c>
      <c r="BB1075" s="7"/>
      <c r="BC1075" s="4" t="s">
        <v>233</v>
      </c>
      <c r="BD1075" s="8" t="s">
        <v>233</v>
      </c>
      <c r="BE1075" s="4" t="s">
        <v>233</v>
      </c>
      <c r="BF1075" s="8" t="s">
        <v>233</v>
      </c>
      <c r="BG1075" s="7" t="s">
        <v>233</v>
      </c>
      <c r="BH1075" s="7" t="s">
        <v>233</v>
      </c>
      <c r="BI1075" s="7"/>
      <c r="BJ1075" s="4">
        <v>36</v>
      </c>
      <c r="BK1075" s="8">
        <v>3192.76</v>
      </c>
      <c r="BL1075" s="2" t="s">
        <v>3850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5389</v>
      </c>
      <c r="BV1075" s="2" t="s">
        <v>233</v>
      </c>
      <c r="BW1075" s="2" t="s">
        <v>233</v>
      </c>
      <c r="BX1075" s="2" t="s">
        <v>241</v>
      </c>
      <c r="BY1075" s="2" t="s">
        <v>242</v>
      </c>
      <c r="BZ1075" s="2" t="s">
        <v>230</v>
      </c>
      <c r="CA1075" s="2" t="s">
        <v>439</v>
      </c>
      <c r="CB1075" s="2" t="s">
        <v>5397</v>
      </c>
      <c r="CC1075" s="2" t="s">
        <v>245</v>
      </c>
      <c r="CD1075" s="2" t="s">
        <v>233</v>
      </c>
      <c r="CE1075" s="4">
        <v>210</v>
      </c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>
        <v>210</v>
      </c>
      <c r="GD1075" s="4">
        <v>205</v>
      </c>
      <c r="GE1075" s="4">
        <v>196</v>
      </c>
      <c r="GF1075" s="4">
        <v>188</v>
      </c>
      <c r="GG1075" s="4">
        <v>169</v>
      </c>
      <c r="GH1075" s="4">
        <v>157</v>
      </c>
      <c r="GI1075" s="4">
        <v>142</v>
      </c>
      <c r="GJ1075" s="4">
        <v>134</v>
      </c>
      <c r="GK1075" s="4">
        <v>131</v>
      </c>
      <c r="GL1075" s="4">
        <v>126</v>
      </c>
      <c r="GM1075" s="4">
        <v>122</v>
      </c>
      <c r="GN1075" s="4">
        <v>117</v>
      </c>
      <c r="GO1075" s="4">
        <v>113</v>
      </c>
      <c r="GP1075" s="4">
        <v>109</v>
      </c>
      <c r="GQ1075" s="4">
        <v>105</v>
      </c>
      <c r="GR1075" s="4">
        <v>102</v>
      </c>
      <c r="GS1075" s="4">
        <v>97</v>
      </c>
      <c r="GT1075" s="4">
        <v>93</v>
      </c>
      <c r="GU1075" s="4">
        <v>92</v>
      </c>
      <c r="GV1075" s="4">
        <v>90</v>
      </c>
      <c r="GW1075" s="4">
        <v>87</v>
      </c>
      <c r="GX1075" s="4">
        <v>85</v>
      </c>
      <c r="GY1075" s="4">
        <v>83</v>
      </c>
      <c r="GZ1075" s="4">
        <v>82</v>
      </c>
      <c r="HA1075" s="4">
        <v>79</v>
      </c>
      <c r="HB1075" s="4">
        <v>78</v>
      </c>
      <c r="HC1075" s="19">
        <v>21</v>
      </c>
      <c r="HD1075" s="19">
        <v>17.1</v>
      </c>
      <c r="HE1075" s="19">
        <v>14</v>
      </c>
      <c r="HF1075" s="19">
        <v>13.4</v>
      </c>
      <c r="HG1075" s="19">
        <v>16.9</v>
      </c>
      <c r="HH1075" s="19">
        <v>19.6</v>
      </c>
      <c r="HI1075" s="19">
        <v>28.4</v>
      </c>
      <c r="HJ1075" s="19">
        <v>33.5</v>
      </c>
      <c r="HK1075" s="19">
        <v>32.8</v>
      </c>
      <c r="HL1075" s="19">
        <v>31.5</v>
      </c>
      <c r="HM1075" s="19">
        <v>30.5</v>
      </c>
      <c r="HN1075" s="19">
        <v>29.3</v>
      </c>
      <c r="HO1075" s="19">
        <v>28.3</v>
      </c>
      <c r="HP1075" s="19">
        <v>27.3</v>
      </c>
      <c r="HQ1075" s="19">
        <v>35</v>
      </c>
      <c r="HR1075" s="19">
        <v>34</v>
      </c>
      <c r="HS1075" s="19">
        <v>48.5</v>
      </c>
      <c r="HT1075" s="19">
        <v>46.5</v>
      </c>
      <c r="HU1075" s="19">
        <v>46</v>
      </c>
      <c r="HV1075" s="19">
        <v>45</v>
      </c>
      <c r="HW1075" s="19">
        <v>43.5</v>
      </c>
      <c r="HX1075" s="19">
        <v>42.5</v>
      </c>
      <c r="HY1075" s="19">
        <v>41.5</v>
      </c>
      <c r="HZ1075" s="19">
        <v>41</v>
      </c>
      <c r="IA1075" s="19">
        <v>79</v>
      </c>
      <c r="IB1075" s="19">
        <v>78</v>
      </c>
    </row>
    <row r="1076">
      <c r="A1076" s="2" t="s">
        <v>5398</v>
      </c>
      <c r="B1076" s="2" t="s">
        <v>773</v>
      </c>
      <c r="C1076" s="2" t="s">
        <v>2381</v>
      </c>
      <c r="D1076" s="2" t="s">
        <v>985</v>
      </c>
      <c r="E1076" s="2" t="s">
        <v>2241</v>
      </c>
      <c r="F1076" s="2" t="s">
        <v>5387</v>
      </c>
      <c r="G1076" s="2" t="s">
        <v>5387</v>
      </c>
      <c r="H1076" s="2" t="s">
        <v>5387</v>
      </c>
      <c r="I1076" s="2" t="s">
        <v>2243</v>
      </c>
      <c r="J1076" s="2" t="s">
        <v>228</v>
      </c>
      <c r="K1076" s="2" t="s">
        <v>300</v>
      </c>
      <c r="L1076" s="3">
        <v>45.23</v>
      </c>
      <c r="M1076" s="3">
        <v>47.49</v>
      </c>
      <c r="N1076" s="3">
        <v>94.99</v>
      </c>
      <c r="O1076" s="2" t="s">
        <v>230</v>
      </c>
      <c r="P1076" s="2" t="s">
        <v>231</v>
      </c>
      <c r="Q1076" s="2" t="s">
        <v>232</v>
      </c>
      <c r="R1076" s="2" t="s">
        <v>233</v>
      </c>
      <c r="S1076" s="2" t="s">
        <v>5399</v>
      </c>
      <c r="T1076" s="2" t="s">
        <v>913</v>
      </c>
      <c r="U1076" s="2" t="s">
        <v>329</v>
      </c>
      <c r="V1076" s="2" t="s">
        <v>236</v>
      </c>
      <c r="W1076" s="2" t="s">
        <v>237</v>
      </c>
      <c r="X1076" s="2" t="s">
        <v>915</v>
      </c>
      <c r="Y1076" s="2" t="s">
        <v>2245</v>
      </c>
      <c r="Z1076" s="4">
        <v>282</v>
      </c>
      <c r="AA1076" s="4">
        <f>=ROUNDDOWN(28.2,0)</f>
      </c>
      <c r="AB1076" s="5">
        <v>10</v>
      </c>
      <c r="AC1076" s="2" t="s">
        <v>145</v>
      </c>
      <c r="AD1076" s="4">
        <v>5</v>
      </c>
      <c r="AE1076" s="4">
        <v>5</v>
      </c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233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233</v>
      </c>
      <c r="AW1076" s="8" t="s">
        <v>233</v>
      </c>
      <c r="AX1076" s="4" t="s">
        <v>233</v>
      </c>
      <c r="AY1076" s="8" t="s">
        <v>233</v>
      </c>
      <c r="AZ1076" s="7" t="s">
        <v>233</v>
      </c>
      <c r="BA1076" s="7" t="s">
        <v>233</v>
      </c>
      <c r="BB1076" s="7"/>
      <c r="BC1076" s="4" t="s">
        <v>233</v>
      </c>
      <c r="BD1076" s="8" t="s">
        <v>233</v>
      </c>
      <c r="BE1076" s="4" t="s">
        <v>233</v>
      </c>
      <c r="BF1076" s="8" t="s">
        <v>233</v>
      </c>
      <c r="BG1076" s="7" t="s">
        <v>233</v>
      </c>
      <c r="BH1076" s="7" t="s">
        <v>233</v>
      </c>
      <c r="BI1076" s="7"/>
      <c r="BJ1076" s="4">
        <v>21</v>
      </c>
      <c r="BK1076" s="8">
        <v>1084.21</v>
      </c>
      <c r="BL1076" s="2" t="s">
        <v>2078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5389</v>
      </c>
      <c r="BV1076" s="2" t="s">
        <v>233</v>
      </c>
      <c r="BW1076" s="2" t="s">
        <v>233</v>
      </c>
      <c r="BX1076" s="2" t="s">
        <v>241</v>
      </c>
      <c r="BY1076" s="2" t="s">
        <v>242</v>
      </c>
      <c r="BZ1076" s="2" t="s">
        <v>230</v>
      </c>
      <c r="CA1076" s="2" t="s">
        <v>439</v>
      </c>
      <c r="CB1076" s="2" t="s">
        <v>5400</v>
      </c>
      <c r="CC1076" s="2" t="s">
        <v>245</v>
      </c>
      <c r="CD1076" s="2" t="s">
        <v>233</v>
      </c>
      <c r="CE1076" s="4">
        <v>142</v>
      </c>
      <c r="CF1076" s="4">
        <v>140</v>
      </c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>
        <v>5</v>
      </c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>
        <v>293</v>
      </c>
      <c r="GD1076" s="4">
        <v>284</v>
      </c>
      <c r="GE1076" s="4">
        <v>271</v>
      </c>
      <c r="GF1076" s="4">
        <v>264</v>
      </c>
      <c r="GG1076" s="4">
        <v>238</v>
      </c>
      <c r="GH1076" s="4">
        <v>223</v>
      </c>
      <c r="GI1076" s="4">
        <v>204</v>
      </c>
      <c r="GJ1076" s="4">
        <v>194</v>
      </c>
      <c r="GK1076" s="4">
        <v>190</v>
      </c>
      <c r="GL1076" s="4">
        <v>183</v>
      </c>
      <c r="GM1076" s="4">
        <v>175</v>
      </c>
      <c r="GN1076" s="4">
        <v>167</v>
      </c>
      <c r="GO1076" s="4">
        <v>160</v>
      </c>
      <c r="GP1076" s="4">
        <v>154</v>
      </c>
      <c r="GQ1076" s="4">
        <v>148</v>
      </c>
      <c r="GR1076" s="4">
        <v>142</v>
      </c>
      <c r="GS1076" s="4">
        <v>136</v>
      </c>
      <c r="GT1076" s="4">
        <v>129</v>
      </c>
      <c r="GU1076" s="4">
        <v>126</v>
      </c>
      <c r="GV1076" s="4">
        <v>121</v>
      </c>
      <c r="GW1076" s="4">
        <v>116</v>
      </c>
      <c r="GX1076" s="4">
        <v>112</v>
      </c>
      <c r="GY1076" s="4">
        <v>109</v>
      </c>
      <c r="GZ1076" s="4">
        <v>107</v>
      </c>
      <c r="HA1076" s="4">
        <v>105</v>
      </c>
      <c r="HB1076" s="4">
        <v>103</v>
      </c>
      <c r="HC1076" s="19">
        <v>19.5</v>
      </c>
      <c r="HD1076" s="19">
        <v>17.8</v>
      </c>
      <c r="HE1076" s="19">
        <v>15.1</v>
      </c>
      <c r="HF1076" s="19">
        <v>14.7</v>
      </c>
      <c r="HG1076" s="19">
        <v>19.8</v>
      </c>
      <c r="HH1076" s="19">
        <v>22.3</v>
      </c>
      <c r="HI1076" s="19">
        <v>29.1</v>
      </c>
      <c r="HJ1076" s="19">
        <v>27.7</v>
      </c>
      <c r="HK1076" s="19">
        <v>23.8</v>
      </c>
      <c r="HL1076" s="19">
        <v>26.1</v>
      </c>
      <c r="HM1076" s="19">
        <v>25</v>
      </c>
      <c r="HN1076" s="19">
        <v>27.8</v>
      </c>
      <c r="HO1076" s="19">
        <v>26.7</v>
      </c>
      <c r="HP1076" s="19">
        <v>25.7</v>
      </c>
      <c r="HQ1076" s="19">
        <v>24.7</v>
      </c>
      <c r="HR1076" s="19">
        <v>28.4</v>
      </c>
      <c r="HS1076" s="19">
        <v>27.2</v>
      </c>
      <c r="HT1076" s="19">
        <v>32.3</v>
      </c>
      <c r="HU1076" s="19">
        <v>31.5</v>
      </c>
      <c r="HV1076" s="19">
        <v>30.3</v>
      </c>
      <c r="HW1076" s="19">
        <v>38.7</v>
      </c>
      <c r="HX1076" s="19">
        <v>56</v>
      </c>
      <c r="HY1076" s="19">
        <v>54.5</v>
      </c>
      <c r="HZ1076" s="19">
        <v>53.5</v>
      </c>
      <c r="IA1076" s="19">
        <v>35</v>
      </c>
      <c r="IB1076" s="19">
        <v>34.3</v>
      </c>
    </row>
    <row r="1077">
      <c r="A1077" s="2" t="s">
        <v>5401</v>
      </c>
      <c r="B1077" s="2" t="s">
        <v>773</v>
      </c>
      <c r="C1077" s="2" t="s">
        <v>2381</v>
      </c>
      <c r="D1077" s="2" t="s">
        <v>985</v>
      </c>
      <c r="E1077" s="2" t="s">
        <v>2241</v>
      </c>
      <c r="F1077" s="2" t="s">
        <v>5387</v>
      </c>
      <c r="G1077" s="2" t="s">
        <v>5387</v>
      </c>
      <c r="H1077" s="2" t="s">
        <v>5387</v>
      </c>
      <c r="I1077" s="2" t="s">
        <v>2243</v>
      </c>
      <c r="J1077" s="2" t="s">
        <v>252</v>
      </c>
      <c r="K1077" s="2" t="s">
        <v>300</v>
      </c>
      <c r="L1077" s="3">
        <v>50</v>
      </c>
      <c r="M1077" s="3">
        <v>52.5</v>
      </c>
      <c r="N1077" s="3">
        <v>104.99</v>
      </c>
      <c r="O1077" s="2" t="s">
        <v>230</v>
      </c>
      <c r="P1077" s="2" t="s">
        <v>231</v>
      </c>
      <c r="Q1077" s="2" t="s">
        <v>232</v>
      </c>
      <c r="R1077" s="2" t="s">
        <v>233</v>
      </c>
      <c r="S1077" s="2" t="s">
        <v>5399</v>
      </c>
      <c r="T1077" s="2" t="s">
        <v>913</v>
      </c>
      <c r="U1077" s="2" t="s">
        <v>329</v>
      </c>
      <c r="V1077" s="2" t="s">
        <v>236</v>
      </c>
      <c r="W1077" s="2" t="s">
        <v>237</v>
      </c>
      <c r="X1077" s="2" t="s">
        <v>915</v>
      </c>
      <c r="Y1077" s="2" t="s">
        <v>2245</v>
      </c>
      <c r="Z1077" s="4">
        <v>432</v>
      </c>
      <c r="AA1077" s="4">
        <f>=ROUNDDOWN(54,0)</f>
      </c>
      <c r="AB1077" s="5">
        <v>8</v>
      </c>
      <c r="AC1077" s="2" t="s">
        <v>145</v>
      </c>
      <c r="AD1077" s="4">
        <v>29</v>
      </c>
      <c r="AE1077" s="4">
        <v>29</v>
      </c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233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233</v>
      </c>
      <c r="AW1077" s="8" t="s">
        <v>233</v>
      </c>
      <c r="AX1077" s="4" t="s">
        <v>233</v>
      </c>
      <c r="AY1077" s="8" t="s">
        <v>233</v>
      </c>
      <c r="AZ1077" s="7" t="s">
        <v>233</v>
      </c>
      <c r="BA1077" s="7" t="s">
        <v>233</v>
      </c>
      <c r="BB1077" s="7"/>
      <c r="BC1077" s="4" t="s">
        <v>233</v>
      </c>
      <c r="BD1077" s="8" t="s">
        <v>233</v>
      </c>
      <c r="BE1077" s="4" t="s">
        <v>233</v>
      </c>
      <c r="BF1077" s="8" t="s">
        <v>233</v>
      </c>
      <c r="BG1077" s="7" t="s">
        <v>233</v>
      </c>
      <c r="BH1077" s="7" t="s">
        <v>233</v>
      </c>
      <c r="BI1077" s="7"/>
      <c r="BJ1077" s="4">
        <v>40</v>
      </c>
      <c r="BK1077" s="8">
        <v>2264.06</v>
      </c>
      <c r="BL1077" s="2" t="s">
        <v>5402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5389</v>
      </c>
      <c r="BV1077" s="2" t="s">
        <v>233</v>
      </c>
      <c r="BW1077" s="2" t="s">
        <v>233</v>
      </c>
      <c r="BX1077" s="2" t="s">
        <v>241</v>
      </c>
      <c r="BY1077" s="2" t="s">
        <v>242</v>
      </c>
      <c r="BZ1077" s="2" t="s">
        <v>230</v>
      </c>
      <c r="CA1077" s="2" t="s">
        <v>439</v>
      </c>
      <c r="CB1077" s="2" t="s">
        <v>5403</v>
      </c>
      <c r="CC1077" s="2" t="s">
        <v>245</v>
      </c>
      <c r="CD1077" s="2" t="s">
        <v>233</v>
      </c>
      <c r="CE1077" s="4">
        <v>231</v>
      </c>
      <c r="CF1077" s="4">
        <v>171</v>
      </c>
      <c r="CG1077" s="4"/>
      <c r="CH1077" s="4"/>
      <c r="CI1077" s="4"/>
      <c r="CJ1077" s="4"/>
      <c r="CK1077" s="4"/>
      <c r="CL1077" s="4">
        <v>30</v>
      </c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>
        <v>29</v>
      </c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>
        <v>234</v>
      </c>
      <c r="GD1077" s="4">
        <v>214</v>
      </c>
      <c r="GE1077" s="4">
        <v>203</v>
      </c>
      <c r="GF1077" s="4">
        <v>221</v>
      </c>
      <c r="GG1077" s="4">
        <v>201</v>
      </c>
      <c r="GH1077" s="4">
        <v>189</v>
      </c>
      <c r="GI1077" s="4">
        <v>174</v>
      </c>
      <c r="GJ1077" s="4">
        <v>166</v>
      </c>
      <c r="GK1077" s="4">
        <v>163</v>
      </c>
      <c r="GL1077" s="4">
        <v>156</v>
      </c>
      <c r="GM1077" s="4">
        <v>148</v>
      </c>
      <c r="GN1077" s="4">
        <v>140</v>
      </c>
      <c r="GO1077" s="4">
        <v>134</v>
      </c>
      <c r="GP1077" s="4">
        <v>129</v>
      </c>
      <c r="GQ1077" s="4">
        <v>122</v>
      </c>
      <c r="GR1077" s="4">
        <v>116</v>
      </c>
      <c r="GS1077" s="4">
        <v>111</v>
      </c>
      <c r="GT1077" s="4">
        <v>103</v>
      </c>
      <c r="GU1077" s="4">
        <v>100</v>
      </c>
      <c r="GV1077" s="4">
        <v>96</v>
      </c>
      <c r="GW1077" s="4">
        <v>91</v>
      </c>
      <c r="GX1077" s="4">
        <v>89</v>
      </c>
      <c r="GY1077" s="4">
        <v>87</v>
      </c>
      <c r="GZ1077" s="4">
        <v>85</v>
      </c>
      <c r="HA1077" s="4">
        <v>84</v>
      </c>
      <c r="HB1077" s="4">
        <v>83</v>
      </c>
      <c r="HC1077" s="19">
        <v>14.6</v>
      </c>
      <c r="HD1077" s="19">
        <v>15.3</v>
      </c>
      <c r="HE1077" s="19">
        <v>14.5</v>
      </c>
      <c r="HF1077" s="19">
        <v>15.8</v>
      </c>
      <c r="HG1077" s="19">
        <v>20.1</v>
      </c>
      <c r="HH1077" s="19">
        <v>23.6</v>
      </c>
      <c r="HI1077" s="19">
        <v>29</v>
      </c>
      <c r="HJ1077" s="19">
        <v>27.7</v>
      </c>
      <c r="HK1077" s="19">
        <v>23.3</v>
      </c>
      <c r="HL1077" s="19">
        <v>22.3</v>
      </c>
      <c r="HM1077" s="19">
        <v>24.7</v>
      </c>
      <c r="HN1077" s="19">
        <v>23.3</v>
      </c>
      <c r="HO1077" s="19">
        <v>22.3</v>
      </c>
      <c r="HP1077" s="19">
        <v>21.5</v>
      </c>
      <c r="HQ1077" s="19">
        <v>20.3</v>
      </c>
      <c r="HR1077" s="19">
        <v>23.2</v>
      </c>
      <c r="HS1077" s="19">
        <v>22.2</v>
      </c>
      <c r="HT1077" s="19">
        <v>25.8</v>
      </c>
      <c r="HU1077" s="19">
        <v>33.3</v>
      </c>
      <c r="HV1077" s="19">
        <v>32</v>
      </c>
      <c r="HW1077" s="19">
        <v>45.5</v>
      </c>
      <c r="HX1077" s="19">
        <v>44.5</v>
      </c>
      <c r="HY1077" s="19">
        <v>43.5</v>
      </c>
      <c r="HZ1077" s="19">
        <v>85</v>
      </c>
      <c r="IA1077" s="19">
        <v>84</v>
      </c>
      <c r="IB1077" s="19">
        <v>83</v>
      </c>
    </row>
    <row r="1078">
      <c r="A1078" s="2" t="s">
        <v>5404</v>
      </c>
      <c r="B1078" s="2" t="s">
        <v>773</v>
      </c>
      <c r="C1078" s="2" t="s">
        <v>2381</v>
      </c>
      <c r="D1078" s="2" t="s">
        <v>985</v>
      </c>
      <c r="E1078" s="2" t="s">
        <v>2241</v>
      </c>
      <c r="F1078" s="2" t="s">
        <v>5387</v>
      </c>
      <c r="G1078" s="2" t="s">
        <v>5387</v>
      </c>
      <c r="H1078" s="2" t="s">
        <v>5387</v>
      </c>
      <c r="I1078" s="2" t="s">
        <v>2243</v>
      </c>
      <c r="J1078" s="2" t="s">
        <v>228</v>
      </c>
      <c r="K1078" s="2" t="s">
        <v>452</v>
      </c>
      <c r="L1078" s="3">
        <v>45.23</v>
      </c>
      <c r="M1078" s="3">
        <v>47.49</v>
      </c>
      <c r="N1078" s="3">
        <v>94.99</v>
      </c>
      <c r="O1078" s="2" t="s">
        <v>230</v>
      </c>
      <c r="P1078" s="2" t="s">
        <v>231</v>
      </c>
      <c r="Q1078" s="2" t="s">
        <v>232</v>
      </c>
      <c r="R1078" s="2" t="s">
        <v>233</v>
      </c>
      <c r="S1078" s="2" t="s">
        <v>5405</v>
      </c>
      <c r="T1078" s="2" t="s">
        <v>913</v>
      </c>
      <c r="U1078" s="2" t="s">
        <v>329</v>
      </c>
      <c r="V1078" s="2" t="s">
        <v>236</v>
      </c>
      <c r="W1078" s="2" t="s">
        <v>237</v>
      </c>
      <c r="X1078" s="2" t="s">
        <v>915</v>
      </c>
      <c r="Y1078" s="2" t="s">
        <v>2245</v>
      </c>
      <c r="Z1078" s="4">
        <v>318</v>
      </c>
      <c r="AA1078" s="4">
        <f>=ROUNDDOWN(53,0)</f>
      </c>
      <c r="AB1078" s="5">
        <v>6</v>
      </c>
      <c r="AC1078" s="2" t="s">
        <v>145</v>
      </c>
      <c r="AD1078" s="4">
        <v>140</v>
      </c>
      <c r="AE1078" s="4">
        <v>140</v>
      </c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233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233</v>
      </c>
      <c r="AW1078" s="8" t="s">
        <v>233</v>
      </c>
      <c r="AX1078" s="4" t="s">
        <v>233</v>
      </c>
      <c r="AY1078" s="8" t="s">
        <v>233</v>
      </c>
      <c r="AZ1078" s="7" t="s">
        <v>233</v>
      </c>
      <c r="BA1078" s="7" t="s">
        <v>233</v>
      </c>
      <c r="BB1078" s="7"/>
      <c r="BC1078" s="4" t="s">
        <v>233</v>
      </c>
      <c r="BD1078" s="8" t="s">
        <v>233</v>
      </c>
      <c r="BE1078" s="4" t="s">
        <v>233</v>
      </c>
      <c r="BF1078" s="8" t="s">
        <v>233</v>
      </c>
      <c r="BG1078" s="7" t="s">
        <v>233</v>
      </c>
      <c r="BH1078" s="7" t="s">
        <v>233</v>
      </c>
      <c r="BI1078" s="7"/>
      <c r="BJ1078" s="4">
        <v>18</v>
      </c>
      <c r="BK1078" s="8">
        <v>912.58</v>
      </c>
      <c r="BL1078" s="2" t="s">
        <v>1066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5389</v>
      </c>
      <c r="BV1078" s="2" t="s">
        <v>233</v>
      </c>
      <c r="BW1078" s="2" t="s">
        <v>233</v>
      </c>
      <c r="BX1078" s="2" t="s">
        <v>241</v>
      </c>
      <c r="BY1078" s="2" t="s">
        <v>242</v>
      </c>
      <c r="BZ1078" s="2" t="s">
        <v>230</v>
      </c>
      <c r="CA1078" s="2" t="s">
        <v>439</v>
      </c>
      <c r="CB1078" s="2" t="s">
        <v>2153</v>
      </c>
      <c r="CC1078" s="2" t="s">
        <v>245</v>
      </c>
      <c r="CD1078" s="2" t="s">
        <v>233</v>
      </c>
      <c r="CE1078" s="4">
        <v>318</v>
      </c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>
        <v>140</v>
      </c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>
        <v>321</v>
      </c>
      <c r="GD1078" s="4">
        <v>313</v>
      </c>
      <c r="GE1078" s="4">
        <v>303</v>
      </c>
      <c r="GF1078" s="4">
        <v>434</v>
      </c>
      <c r="GG1078" s="4">
        <v>415</v>
      </c>
      <c r="GH1078" s="4">
        <v>404</v>
      </c>
      <c r="GI1078" s="4">
        <v>390</v>
      </c>
      <c r="GJ1078" s="4">
        <v>383</v>
      </c>
      <c r="GK1078" s="4">
        <v>381</v>
      </c>
      <c r="GL1078" s="4">
        <v>377</v>
      </c>
      <c r="GM1078" s="4">
        <v>372</v>
      </c>
      <c r="GN1078" s="4">
        <v>367</v>
      </c>
      <c r="GO1078" s="4">
        <v>363</v>
      </c>
      <c r="GP1078" s="4">
        <v>359</v>
      </c>
      <c r="GQ1078" s="4">
        <v>354</v>
      </c>
      <c r="GR1078" s="4">
        <v>350</v>
      </c>
      <c r="GS1078" s="4">
        <v>345</v>
      </c>
      <c r="GT1078" s="4">
        <v>341</v>
      </c>
      <c r="GU1078" s="4">
        <v>339</v>
      </c>
      <c r="GV1078" s="4">
        <v>335</v>
      </c>
      <c r="GW1078" s="4">
        <v>331</v>
      </c>
      <c r="GX1078" s="4">
        <v>328</v>
      </c>
      <c r="GY1078" s="4">
        <v>326</v>
      </c>
      <c r="GZ1078" s="4">
        <v>324</v>
      </c>
      <c r="HA1078" s="4">
        <v>323</v>
      </c>
      <c r="HB1078" s="4">
        <v>321</v>
      </c>
      <c r="HC1078" s="19">
        <v>26.8</v>
      </c>
      <c r="HD1078" s="19">
        <v>26.1</v>
      </c>
      <c r="HE1078" s="19">
        <v>23.3</v>
      </c>
      <c r="HF1078" s="19">
        <v>33.4</v>
      </c>
      <c r="HG1078" s="19">
        <v>51.9</v>
      </c>
      <c r="HH1078" s="19">
        <v>57.7</v>
      </c>
      <c r="HI1078" s="19">
        <v>97.5</v>
      </c>
      <c r="HJ1078" s="19">
        <v>95.8</v>
      </c>
      <c r="HK1078" s="19">
        <v>95.3</v>
      </c>
      <c r="HL1078" s="19">
        <v>94.3</v>
      </c>
      <c r="HM1078" s="19">
        <v>93</v>
      </c>
      <c r="HN1078" s="19">
        <v>91.8</v>
      </c>
      <c r="HO1078" s="19">
        <v>90.8</v>
      </c>
      <c r="HP1078" s="19">
        <v>89.8</v>
      </c>
      <c r="HQ1078" s="19">
        <v>88.5</v>
      </c>
      <c r="HR1078" s="19">
        <v>87.5</v>
      </c>
      <c r="HS1078" s="19">
        <v>86.3</v>
      </c>
      <c r="HT1078" s="19">
        <v>113.7</v>
      </c>
      <c r="HU1078" s="19">
        <v>113</v>
      </c>
      <c r="HV1078" s="19">
        <v>111.7</v>
      </c>
      <c r="HW1078" s="19">
        <v>165.5</v>
      </c>
      <c r="HX1078" s="19">
        <v>164</v>
      </c>
      <c r="HY1078" s="19">
        <v>163</v>
      </c>
      <c r="HZ1078" s="19">
        <v>162</v>
      </c>
      <c r="IA1078" s="19">
        <v>161.5</v>
      </c>
      <c r="IB1078" s="19">
        <v>160.5</v>
      </c>
    </row>
    <row r="1079">
      <c r="A1079" s="2" t="s">
        <v>5406</v>
      </c>
      <c r="B1079" s="2" t="s">
        <v>773</v>
      </c>
      <c r="C1079" s="2" t="s">
        <v>2381</v>
      </c>
      <c r="D1079" s="2" t="s">
        <v>985</v>
      </c>
      <c r="E1079" s="2" t="s">
        <v>2241</v>
      </c>
      <c r="F1079" s="2" t="s">
        <v>5387</v>
      </c>
      <c r="G1079" s="2" t="s">
        <v>5387</v>
      </c>
      <c r="H1079" s="2" t="s">
        <v>5387</v>
      </c>
      <c r="I1079" s="2" t="s">
        <v>2243</v>
      </c>
      <c r="J1079" s="2" t="s">
        <v>252</v>
      </c>
      <c r="K1079" s="2" t="s">
        <v>452</v>
      </c>
      <c r="L1079" s="3">
        <v>50</v>
      </c>
      <c r="M1079" s="3">
        <v>52.5</v>
      </c>
      <c r="N1079" s="3">
        <v>104.99</v>
      </c>
      <c r="O1079" s="2" t="s">
        <v>230</v>
      </c>
      <c r="P1079" s="2" t="s">
        <v>231</v>
      </c>
      <c r="Q1079" s="2" t="s">
        <v>232</v>
      </c>
      <c r="R1079" s="2" t="s">
        <v>233</v>
      </c>
      <c r="S1079" s="2" t="s">
        <v>5405</v>
      </c>
      <c r="T1079" s="2" t="s">
        <v>913</v>
      </c>
      <c r="U1079" s="2" t="s">
        <v>329</v>
      </c>
      <c r="V1079" s="2" t="s">
        <v>236</v>
      </c>
      <c r="W1079" s="2" t="s">
        <v>237</v>
      </c>
      <c r="X1079" s="2" t="s">
        <v>915</v>
      </c>
      <c r="Y1079" s="2" t="s">
        <v>1474</v>
      </c>
      <c r="Z1079" s="4">
        <v>256</v>
      </c>
      <c r="AA1079" s="4">
        <f>=ROUNDDOWN(25.6,0)</f>
      </c>
      <c r="AB1079" s="5">
        <v>10</v>
      </c>
      <c r="AC1079" s="2" t="s">
        <v>145</v>
      </c>
      <c r="AD1079" s="4">
        <v>130</v>
      </c>
      <c r="AE1079" s="4">
        <v>130</v>
      </c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233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233</v>
      </c>
      <c r="AW1079" s="8" t="s">
        <v>233</v>
      </c>
      <c r="AX1079" s="4" t="s">
        <v>233</v>
      </c>
      <c r="AY1079" s="8" t="s">
        <v>233</v>
      </c>
      <c r="AZ1079" s="7" t="s">
        <v>233</v>
      </c>
      <c r="BA1079" s="7" t="s">
        <v>233</v>
      </c>
      <c r="BB1079" s="7"/>
      <c r="BC1079" s="4" t="s">
        <v>233</v>
      </c>
      <c r="BD1079" s="8" t="s">
        <v>233</v>
      </c>
      <c r="BE1079" s="4" t="s">
        <v>233</v>
      </c>
      <c r="BF1079" s="8" t="s">
        <v>233</v>
      </c>
      <c r="BG1079" s="7" t="s">
        <v>233</v>
      </c>
      <c r="BH1079" s="7" t="s">
        <v>233</v>
      </c>
      <c r="BI1079" s="7"/>
      <c r="BJ1079" s="4">
        <v>23</v>
      </c>
      <c r="BK1079" s="8">
        <v>1291.46</v>
      </c>
      <c r="BL1079" s="2" t="s">
        <v>303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5389</v>
      </c>
      <c r="BV1079" s="2" t="s">
        <v>233</v>
      </c>
      <c r="BW1079" s="2" t="s">
        <v>233</v>
      </c>
      <c r="BX1079" s="2" t="s">
        <v>241</v>
      </c>
      <c r="BY1079" s="2" t="s">
        <v>242</v>
      </c>
      <c r="BZ1079" s="2" t="s">
        <v>230</v>
      </c>
      <c r="CA1079" s="2" t="s">
        <v>439</v>
      </c>
      <c r="CB1079" s="2" t="s">
        <v>3421</v>
      </c>
      <c r="CC1079" s="2" t="s">
        <v>245</v>
      </c>
      <c r="CD1079" s="2" t="s">
        <v>233</v>
      </c>
      <c r="CE1079" s="4">
        <v>256</v>
      </c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>
        <v>130</v>
      </c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>
        <v>262</v>
      </c>
      <c r="GD1079" s="4">
        <v>237</v>
      </c>
      <c r="GE1079" s="4">
        <v>221</v>
      </c>
      <c r="GF1079" s="4">
        <v>336</v>
      </c>
      <c r="GG1079" s="4">
        <v>306</v>
      </c>
      <c r="GH1079" s="4">
        <v>288</v>
      </c>
      <c r="GI1079" s="4">
        <v>265</v>
      </c>
      <c r="GJ1079" s="4">
        <v>253</v>
      </c>
      <c r="GK1079" s="4">
        <v>248</v>
      </c>
      <c r="GL1079" s="4">
        <v>238</v>
      </c>
      <c r="GM1079" s="4">
        <v>227</v>
      </c>
      <c r="GN1079" s="4">
        <v>215</v>
      </c>
      <c r="GO1079" s="4">
        <v>206</v>
      </c>
      <c r="GP1079" s="4">
        <v>198</v>
      </c>
      <c r="GQ1079" s="4">
        <v>190</v>
      </c>
      <c r="GR1079" s="4">
        <v>183</v>
      </c>
      <c r="GS1079" s="4">
        <v>177</v>
      </c>
      <c r="GT1079" s="4">
        <v>166</v>
      </c>
      <c r="GU1079" s="4">
        <v>162</v>
      </c>
      <c r="GV1079" s="4">
        <v>244</v>
      </c>
      <c r="GW1079" s="4">
        <v>238</v>
      </c>
      <c r="GX1079" s="4">
        <v>235</v>
      </c>
      <c r="GY1079" s="4">
        <v>232</v>
      </c>
      <c r="GZ1079" s="4">
        <v>229</v>
      </c>
      <c r="HA1079" s="4">
        <v>227</v>
      </c>
      <c r="HB1079" s="4">
        <v>225</v>
      </c>
      <c r="HC1079" s="19">
        <v>11.9</v>
      </c>
      <c r="HD1079" s="19">
        <v>11.9</v>
      </c>
      <c r="HE1079" s="19">
        <v>10</v>
      </c>
      <c r="HF1079" s="19">
        <v>16</v>
      </c>
      <c r="HG1079" s="19">
        <v>21.9</v>
      </c>
      <c r="HH1079" s="19">
        <v>24</v>
      </c>
      <c r="HI1079" s="19">
        <v>26.5</v>
      </c>
      <c r="HJ1079" s="19">
        <v>25.3</v>
      </c>
      <c r="HK1079" s="19">
        <v>24.8</v>
      </c>
      <c r="HL1079" s="19">
        <v>23.8</v>
      </c>
      <c r="HM1079" s="19">
        <v>25.2</v>
      </c>
      <c r="HN1079" s="19">
        <v>26.9</v>
      </c>
      <c r="HO1079" s="19">
        <v>29.4</v>
      </c>
      <c r="HP1079" s="19">
        <v>24.8</v>
      </c>
      <c r="HQ1079" s="19">
        <v>27.1</v>
      </c>
      <c r="HR1079" s="19">
        <v>30.5</v>
      </c>
      <c r="HS1079" s="19">
        <v>29.5</v>
      </c>
      <c r="HT1079" s="19">
        <v>41.5</v>
      </c>
      <c r="HU1079" s="19">
        <v>40.5</v>
      </c>
      <c r="HV1079" s="19">
        <v>61</v>
      </c>
      <c r="HW1079" s="19">
        <v>79.3</v>
      </c>
      <c r="HX1079" s="19">
        <v>117.5</v>
      </c>
      <c r="HY1079" s="19">
        <v>116</v>
      </c>
      <c r="HZ1079" s="19">
        <v>114.5</v>
      </c>
      <c r="IA1079" s="19">
        <v>113.5</v>
      </c>
      <c r="IB1079" s="19">
        <v>112.5</v>
      </c>
    </row>
    <row r="1080">
      <c r="A1080" s="2" t="s">
        <v>5407</v>
      </c>
      <c r="B1080" s="2" t="s">
        <v>773</v>
      </c>
      <c r="C1080" s="2" t="s">
        <v>2381</v>
      </c>
      <c r="D1080" s="2" t="s">
        <v>985</v>
      </c>
      <c r="E1080" s="2" t="s">
        <v>2241</v>
      </c>
      <c r="F1080" s="2" t="s">
        <v>5387</v>
      </c>
      <c r="G1080" s="2" t="s">
        <v>5387</v>
      </c>
      <c r="H1080" s="2" t="s">
        <v>5387</v>
      </c>
      <c r="I1080" s="2" t="s">
        <v>2243</v>
      </c>
      <c r="J1080" s="2" t="s">
        <v>256</v>
      </c>
      <c r="K1080" s="2" t="s">
        <v>452</v>
      </c>
      <c r="L1080" s="3">
        <v>78.57</v>
      </c>
      <c r="M1080" s="3">
        <v>82.5</v>
      </c>
      <c r="N1080" s="3">
        <v>164.99</v>
      </c>
      <c r="O1080" s="2" t="s">
        <v>230</v>
      </c>
      <c r="P1080" s="2" t="s">
        <v>231</v>
      </c>
      <c r="Q1080" s="2" t="s">
        <v>232</v>
      </c>
      <c r="R1080" s="2" t="s">
        <v>233</v>
      </c>
      <c r="S1080" s="2" t="s">
        <v>5405</v>
      </c>
      <c r="T1080" s="2" t="s">
        <v>913</v>
      </c>
      <c r="U1080" s="2" t="s">
        <v>329</v>
      </c>
      <c r="V1080" s="2" t="s">
        <v>236</v>
      </c>
      <c r="W1080" s="2" t="s">
        <v>237</v>
      </c>
      <c r="X1080" s="2" t="s">
        <v>915</v>
      </c>
      <c r="Y1080" s="2" t="s">
        <v>2245</v>
      </c>
      <c r="Z1080" s="4">
        <v>319</v>
      </c>
      <c r="AA1080" s="4">
        <f>=ROUNDDOWN(31.9,0)</f>
      </c>
      <c r="AB1080" s="5">
        <v>10</v>
      </c>
      <c r="AC1080" s="2" t="s">
        <v>145</v>
      </c>
      <c r="AD1080" s="4">
        <v>140</v>
      </c>
      <c r="AE1080" s="4">
        <v>140</v>
      </c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233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233</v>
      </c>
      <c r="AW1080" s="8" t="s">
        <v>233</v>
      </c>
      <c r="AX1080" s="4" t="s">
        <v>233</v>
      </c>
      <c r="AY1080" s="8" t="s">
        <v>233</v>
      </c>
      <c r="AZ1080" s="7" t="s">
        <v>233</v>
      </c>
      <c r="BA1080" s="7" t="s">
        <v>233</v>
      </c>
      <c r="BB1080" s="7"/>
      <c r="BC1080" s="4" t="s">
        <v>233</v>
      </c>
      <c r="BD1080" s="8" t="s">
        <v>233</v>
      </c>
      <c r="BE1080" s="4" t="s">
        <v>233</v>
      </c>
      <c r="BF1080" s="8" t="s">
        <v>233</v>
      </c>
      <c r="BG1080" s="7" t="s">
        <v>233</v>
      </c>
      <c r="BH1080" s="7" t="s">
        <v>233</v>
      </c>
      <c r="BI1080" s="7"/>
      <c r="BJ1080" s="4">
        <v>35</v>
      </c>
      <c r="BK1080" s="8">
        <v>3084.2</v>
      </c>
      <c r="BL1080" s="2" t="s">
        <v>4147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5389</v>
      </c>
      <c r="BV1080" s="2" t="s">
        <v>233</v>
      </c>
      <c r="BW1080" s="2" t="s">
        <v>233</v>
      </c>
      <c r="BX1080" s="2" t="s">
        <v>241</v>
      </c>
      <c r="BY1080" s="2" t="s">
        <v>242</v>
      </c>
      <c r="BZ1080" s="2" t="s">
        <v>230</v>
      </c>
      <c r="CA1080" s="2" t="s">
        <v>439</v>
      </c>
      <c r="CB1080" s="2" t="s">
        <v>5408</v>
      </c>
      <c r="CC1080" s="2" t="s">
        <v>245</v>
      </c>
      <c r="CD1080" s="2" t="s">
        <v>233</v>
      </c>
      <c r="CE1080" s="4">
        <v>319</v>
      </c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>
        <v>140</v>
      </c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>
        <v>324</v>
      </c>
      <c r="GD1080" s="4">
        <v>305</v>
      </c>
      <c r="GE1080" s="4">
        <v>290</v>
      </c>
      <c r="GF1080" s="4">
        <v>416</v>
      </c>
      <c r="GG1080" s="4">
        <v>386</v>
      </c>
      <c r="GH1080" s="4">
        <v>368</v>
      </c>
      <c r="GI1080" s="4">
        <v>346</v>
      </c>
      <c r="GJ1080" s="4">
        <v>334</v>
      </c>
      <c r="GK1080" s="4">
        <v>329</v>
      </c>
      <c r="GL1080" s="4">
        <v>323</v>
      </c>
      <c r="GM1080" s="4">
        <v>317</v>
      </c>
      <c r="GN1080" s="4">
        <v>310</v>
      </c>
      <c r="GO1080" s="4">
        <v>305</v>
      </c>
      <c r="GP1080" s="4">
        <v>300</v>
      </c>
      <c r="GQ1080" s="4">
        <v>295</v>
      </c>
      <c r="GR1080" s="4">
        <v>290</v>
      </c>
      <c r="GS1080" s="4">
        <v>283</v>
      </c>
      <c r="GT1080" s="4">
        <v>277</v>
      </c>
      <c r="GU1080" s="4">
        <v>275</v>
      </c>
      <c r="GV1080" s="4">
        <v>272</v>
      </c>
      <c r="GW1080" s="4">
        <v>267</v>
      </c>
      <c r="GX1080" s="4">
        <v>263</v>
      </c>
      <c r="GY1080" s="4">
        <v>260</v>
      </c>
      <c r="GZ1080" s="4">
        <v>258</v>
      </c>
      <c r="HA1080" s="4">
        <v>253</v>
      </c>
      <c r="HB1080" s="4">
        <v>251</v>
      </c>
      <c r="HC1080" s="19">
        <v>16.2</v>
      </c>
      <c r="HD1080" s="19">
        <v>16.1</v>
      </c>
      <c r="HE1080" s="19">
        <v>13.8</v>
      </c>
      <c r="HF1080" s="19">
        <v>20.8</v>
      </c>
      <c r="HG1080" s="19">
        <v>27.6</v>
      </c>
      <c r="HH1080" s="19">
        <v>33.5</v>
      </c>
      <c r="HI1080" s="19">
        <v>49.4</v>
      </c>
      <c r="HJ1080" s="19">
        <v>55.7</v>
      </c>
      <c r="HK1080" s="19">
        <v>54.8</v>
      </c>
      <c r="HL1080" s="19">
        <v>53.8</v>
      </c>
      <c r="HM1080" s="19">
        <v>52.8</v>
      </c>
      <c r="HN1080" s="19">
        <v>62</v>
      </c>
      <c r="HO1080" s="19">
        <v>50.8</v>
      </c>
      <c r="HP1080" s="19">
        <v>50</v>
      </c>
      <c r="HQ1080" s="19">
        <v>59</v>
      </c>
      <c r="HR1080" s="19">
        <v>72.5</v>
      </c>
      <c r="HS1080" s="19">
        <v>70.8</v>
      </c>
      <c r="HT1080" s="19">
        <v>69.3</v>
      </c>
      <c r="HU1080" s="19">
        <v>68.8</v>
      </c>
      <c r="HV1080" s="19">
        <v>68</v>
      </c>
      <c r="HW1080" s="19">
        <v>66.8</v>
      </c>
      <c r="HX1080" s="19">
        <v>87.7</v>
      </c>
      <c r="HY1080" s="19">
        <v>86.7</v>
      </c>
      <c r="HZ1080" s="19">
        <v>86</v>
      </c>
      <c r="IA1080" s="19">
        <v>126.5</v>
      </c>
      <c r="IB1080" s="19">
        <v>125.5</v>
      </c>
    </row>
    <row r="1081">
      <c r="A1081" s="2" t="s">
        <v>5409</v>
      </c>
      <c r="B1081" s="2" t="s">
        <v>222</v>
      </c>
      <c r="C1081" s="2" t="s">
        <v>3991</v>
      </c>
      <c r="D1081" s="2" t="s">
        <v>261</v>
      </c>
      <c r="E1081" s="2" t="s">
        <v>262</v>
      </c>
      <c r="F1081" s="2" t="s">
        <v>5410</v>
      </c>
      <c r="G1081" s="2" t="s">
        <v>5410</v>
      </c>
      <c r="H1081" s="2" t="s">
        <v>5410</v>
      </c>
      <c r="I1081" s="2" t="s">
        <v>5411</v>
      </c>
      <c r="J1081" s="2" t="s">
        <v>265</v>
      </c>
      <c r="K1081" s="2" t="s">
        <v>266</v>
      </c>
      <c r="L1081" s="3">
        <v>51.99</v>
      </c>
      <c r="M1081" s="3">
        <v>54.59</v>
      </c>
      <c r="N1081" s="3">
        <v>139.99</v>
      </c>
      <c r="O1081" s="2" t="s">
        <v>230</v>
      </c>
      <c r="P1081" s="2" t="s">
        <v>231</v>
      </c>
      <c r="Q1081" s="2" t="s">
        <v>232</v>
      </c>
      <c r="R1081" s="2" t="s">
        <v>233</v>
      </c>
      <c r="S1081" s="2" t="s">
        <v>233</v>
      </c>
      <c r="T1081" s="2" t="s">
        <v>233</v>
      </c>
      <c r="U1081" s="2" t="s">
        <v>329</v>
      </c>
      <c r="V1081" s="2" t="s">
        <v>236</v>
      </c>
      <c r="W1081" s="2" t="s">
        <v>620</v>
      </c>
      <c r="X1081" s="2" t="s">
        <v>233</v>
      </c>
      <c r="Y1081" s="2" t="s">
        <v>5412</v>
      </c>
      <c r="Z1081" s="4">
        <v>352</v>
      </c>
      <c r="AA1081" s="4">
        <f>=ROUNDDOWN(39.1111111111111,0)</f>
      </c>
      <c r="AB1081" s="5">
        <v>9</v>
      </c>
      <c r="AC1081" s="2" t="s">
        <v>1043</v>
      </c>
      <c r="AD1081" s="4">
        <v>80</v>
      </c>
      <c r="AE1081" s="4">
        <v>80</v>
      </c>
      <c r="AF1081" s="6">
        <v>67</v>
      </c>
      <c r="AG1081" s="6"/>
      <c r="AH1081" s="7">
        <v>1</v>
      </c>
      <c r="AI1081" s="4"/>
      <c r="AJ1081" s="4">
        <f>=ROUNDDOWN({0},0)</f>
      </c>
      <c r="AK1081" s="5"/>
      <c r="AL1081" s="2" t="s">
        <v>233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233</v>
      </c>
      <c r="AW1081" s="8" t="s">
        <v>233</v>
      </c>
      <c r="AX1081" s="4" t="s">
        <v>233</v>
      </c>
      <c r="AY1081" s="8" t="s">
        <v>233</v>
      </c>
      <c r="AZ1081" s="7" t="s">
        <v>233</v>
      </c>
      <c r="BA1081" s="7" t="s">
        <v>233</v>
      </c>
      <c r="BB1081" s="7"/>
      <c r="BC1081" s="4" t="s">
        <v>233</v>
      </c>
      <c r="BD1081" s="8" t="s">
        <v>233</v>
      </c>
      <c r="BE1081" s="4" t="s">
        <v>233</v>
      </c>
      <c r="BF1081" s="8" t="s">
        <v>233</v>
      </c>
      <c r="BG1081" s="7" t="s">
        <v>233</v>
      </c>
      <c r="BH1081" s="7" t="s">
        <v>233</v>
      </c>
      <c r="BI1081" s="7"/>
      <c r="BJ1081" s="4">
        <v>38</v>
      </c>
      <c r="BK1081" s="8">
        <v>2261.7</v>
      </c>
      <c r="BL1081" s="2" t="s">
        <v>5413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5414</v>
      </c>
      <c r="BV1081" s="2" t="s">
        <v>233</v>
      </c>
      <c r="BW1081" s="2" t="s">
        <v>233</v>
      </c>
      <c r="BX1081" s="2" t="s">
        <v>241</v>
      </c>
      <c r="BY1081" s="2" t="s">
        <v>242</v>
      </c>
      <c r="BZ1081" s="2" t="s">
        <v>230</v>
      </c>
      <c r="CA1081" s="2" t="s">
        <v>4995</v>
      </c>
      <c r="CB1081" s="2" t="s">
        <v>5415</v>
      </c>
      <c r="CC1081" s="2" t="s">
        <v>245</v>
      </c>
      <c r="CD1081" s="2" t="s">
        <v>233</v>
      </c>
      <c r="CE1081" s="4">
        <v>352</v>
      </c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>
        <v>80</v>
      </c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>
        <v>360</v>
      </c>
      <c r="GD1081" s="4">
        <v>318</v>
      </c>
      <c r="GE1081" s="4">
        <v>292</v>
      </c>
      <c r="GF1081" s="4">
        <v>269</v>
      </c>
      <c r="GG1081" s="4">
        <v>220</v>
      </c>
      <c r="GH1081" s="4">
        <v>197</v>
      </c>
      <c r="GI1081" s="4">
        <v>176</v>
      </c>
      <c r="GJ1081" s="4">
        <v>162</v>
      </c>
      <c r="GK1081" s="4">
        <v>154</v>
      </c>
      <c r="GL1081" s="4">
        <v>146</v>
      </c>
      <c r="GM1081" s="4">
        <v>140</v>
      </c>
      <c r="GN1081" s="4">
        <v>134</v>
      </c>
      <c r="GO1081" s="4">
        <v>128</v>
      </c>
      <c r="GP1081" s="4">
        <v>122</v>
      </c>
      <c r="GQ1081" s="4">
        <v>197</v>
      </c>
      <c r="GR1081" s="4">
        <v>188</v>
      </c>
      <c r="GS1081" s="4">
        <v>179</v>
      </c>
      <c r="GT1081" s="4">
        <v>169</v>
      </c>
      <c r="GU1081" s="4">
        <v>160</v>
      </c>
      <c r="GV1081" s="4">
        <v>149</v>
      </c>
      <c r="GW1081" s="4">
        <v>138</v>
      </c>
      <c r="GX1081" s="4">
        <v>127</v>
      </c>
      <c r="GY1081" s="4">
        <v>116</v>
      </c>
      <c r="GZ1081" s="4">
        <v>106</v>
      </c>
      <c r="HA1081" s="4">
        <v>96</v>
      </c>
      <c r="HB1081" s="4">
        <v>86</v>
      </c>
      <c r="HC1081" s="19">
        <v>10.3</v>
      </c>
      <c r="HD1081" s="19">
        <v>10.6</v>
      </c>
      <c r="HE1081" s="19">
        <v>10.1</v>
      </c>
      <c r="HF1081" s="19">
        <v>10</v>
      </c>
      <c r="HG1081" s="19">
        <v>13.8</v>
      </c>
      <c r="HH1081" s="19">
        <v>15.2</v>
      </c>
      <c r="HI1081" s="19">
        <v>19.6</v>
      </c>
      <c r="HJ1081" s="19">
        <v>23.1</v>
      </c>
      <c r="HK1081" s="19">
        <v>25.7</v>
      </c>
      <c r="HL1081" s="19">
        <v>24.3</v>
      </c>
      <c r="HM1081" s="19">
        <v>23.3</v>
      </c>
      <c r="HN1081" s="19">
        <v>22.3</v>
      </c>
      <c r="HO1081" s="19">
        <v>18.3</v>
      </c>
      <c r="HP1081" s="19">
        <v>15.3</v>
      </c>
      <c r="HQ1081" s="19">
        <v>21.9</v>
      </c>
      <c r="HR1081" s="19">
        <v>18.8</v>
      </c>
      <c r="HS1081" s="19">
        <v>17.9</v>
      </c>
      <c r="HT1081" s="19">
        <v>16.9</v>
      </c>
      <c r="HU1081" s="19">
        <v>14.5</v>
      </c>
      <c r="HV1081" s="19">
        <v>13.5</v>
      </c>
      <c r="HW1081" s="19">
        <v>13.8</v>
      </c>
      <c r="HX1081" s="19">
        <v>12.7</v>
      </c>
      <c r="HY1081" s="19">
        <v>11.6</v>
      </c>
      <c r="HZ1081" s="19">
        <v>10.6</v>
      </c>
      <c r="IA1081" s="19">
        <v>10.7</v>
      </c>
      <c r="IB1081" s="19">
        <v>10.8</v>
      </c>
    </row>
    <row r="1082">
      <c r="A1082" s="2" t="s">
        <v>5416</v>
      </c>
      <c r="B1082" s="2" t="s">
        <v>222</v>
      </c>
      <c r="C1082" s="2" t="s">
        <v>3991</v>
      </c>
      <c r="D1082" s="2" t="s">
        <v>224</v>
      </c>
      <c r="E1082" s="2" t="s">
        <v>3009</v>
      </c>
      <c r="F1082" s="2" t="s">
        <v>5410</v>
      </c>
      <c r="G1082" s="2" t="s">
        <v>5410</v>
      </c>
      <c r="H1082" s="2" t="s">
        <v>5410</v>
      </c>
      <c r="I1082" s="2" t="s">
        <v>5417</v>
      </c>
      <c r="J1082" s="2" t="s">
        <v>336</v>
      </c>
      <c r="K1082" s="2" t="s">
        <v>266</v>
      </c>
      <c r="L1082" s="3">
        <v>29.71</v>
      </c>
      <c r="M1082" s="3">
        <v>31.2</v>
      </c>
      <c r="N1082" s="3">
        <v>79.99</v>
      </c>
      <c r="O1082" s="2" t="s">
        <v>230</v>
      </c>
      <c r="P1082" s="2" t="s">
        <v>231</v>
      </c>
      <c r="Q1082" s="2" t="s">
        <v>232</v>
      </c>
      <c r="R1082" s="2" t="s">
        <v>233</v>
      </c>
      <c r="S1082" s="2" t="s">
        <v>233</v>
      </c>
      <c r="T1082" s="2" t="s">
        <v>233</v>
      </c>
      <c r="U1082" s="2" t="s">
        <v>329</v>
      </c>
      <c r="V1082" s="2" t="s">
        <v>236</v>
      </c>
      <c r="W1082" s="2" t="s">
        <v>620</v>
      </c>
      <c r="X1082" s="2" t="s">
        <v>233</v>
      </c>
      <c r="Y1082" s="2" t="s">
        <v>5418</v>
      </c>
      <c r="Z1082" s="4">
        <v>414</v>
      </c>
      <c r="AA1082" s="4">
        <f>=ROUNDDOWN(21.7894736842105,0)</f>
      </c>
      <c r="AB1082" s="5">
        <v>19</v>
      </c>
      <c r="AC1082" s="2" t="s">
        <v>490</v>
      </c>
      <c r="AD1082" s="4">
        <v>100</v>
      </c>
      <c r="AE1082" s="4">
        <v>370</v>
      </c>
      <c r="AF1082" s="6">
        <v>67</v>
      </c>
      <c r="AG1082" s="6"/>
      <c r="AH1082" s="7">
        <v>1</v>
      </c>
      <c r="AI1082" s="4"/>
      <c r="AJ1082" s="4">
        <f>=ROUNDDOWN({0},0)</f>
      </c>
      <c r="AK1082" s="5"/>
      <c r="AL1082" s="2" t="s">
        <v>233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233</v>
      </c>
      <c r="AW1082" s="8" t="s">
        <v>233</v>
      </c>
      <c r="AX1082" s="4" t="s">
        <v>233</v>
      </c>
      <c r="AY1082" s="8" t="s">
        <v>233</v>
      </c>
      <c r="AZ1082" s="7" t="s">
        <v>233</v>
      </c>
      <c r="BA1082" s="7" t="s">
        <v>233</v>
      </c>
      <c r="BB1082" s="7"/>
      <c r="BC1082" s="4" t="s">
        <v>233</v>
      </c>
      <c r="BD1082" s="8" t="s">
        <v>233</v>
      </c>
      <c r="BE1082" s="4" t="s">
        <v>233</v>
      </c>
      <c r="BF1082" s="8" t="s">
        <v>233</v>
      </c>
      <c r="BG1082" s="7" t="s">
        <v>233</v>
      </c>
      <c r="BH1082" s="7" t="s">
        <v>233</v>
      </c>
      <c r="BI1082" s="7"/>
      <c r="BJ1082" s="4">
        <v>83</v>
      </c>
      <c r="BK1082" s="8">
        <v>2794.96</v>
      </c>
      <c r="BL1082" s="2" t="s">
        <v>5419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5420</v>
      </c>
      <c r="BV1082" s="2" t="s">
        <v>233</v>
      </c>
      <c r="BW1082" s="2" t="s">
        <v>233</v>
      </c>
      <c r="BX1082" s="2" t="s">
        <v>241</v>
      </c>
      <c r="BY1082" s="2" t="s">
        <v>242</v>
      </c>
      <c r="BZ1082" s="2" t="s">
        <v>230</v>
      </c>
      <c r="CA1082" s="2" t="s">
        <v>5421</v>
      </c>
      <c r="CB1082" s="2" t="s">
        <v>5422</v>
      </c>
      <c r="CC1082" s="2" t="s">
        <v>245</v>
      </c>
      <c r="CD1082" s="2" t="s">
        <v>233</v>
      </c>
      <c r="CE1082" s="4">
        <v>405</v>
      </c>
      <c r="CF1082" s="4"/>
      <c r="CG1082" s="4"/>
      <c r="CH1082" s="4"/>
      <c r="CI1082" s="4"/>
      <c r="CJ1082" s="4"/>
      <c r="CK1082" s="4">
        <v>9</v>
      </c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>
        <v>100</v>
      </c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>
        <v>270</v>
      </c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>
        <v>428</v>
      </c>
      <c r="GD1082" s="4">
        <v>397</v>
      </c>
      <c r="GE1082" s="4">
        <v>369</v>
      </c>
      <c r="GF1082" s="4">
        <v>337</v>
      </c>
      <c r="GG1082" s="4">
        <v>278</v>
      </c>
      <c r="GH1082" s="4">
        <v>246</v>
      </c>
      <c r="GI1082" s="4">
        <v>318</v>
      </c>
      <c r="GJ1082" s="4">
        <v>301</v>
      </c>
      <c r="GK1082" s="4">
        <v>287</v>
      </c>
      <c r="GL1082" s="4">
        <v>266</v>
      </c>
      <c r="GM1082" s="4">
        <v>247</v>
      </c>
      <c r="GN1082" s="4">
        <v>228</v>
      </c>
      <c r="GO1082" s="4">
        <v>209</v>
      </c>
      <c r="GP1082" s="4">
        <v>190</v>
      </c>
      <c r="GQ1082" s="4">
        <v>441</v>
      </c>
      <c r="GR1082" s="4">
        <v>422</v>
      </c>
      <c r="GS1082" s="4">
        <v>403</v>
      </c>
      <c r="GT1082" s="4">
        <v>382</v>
      </c>
      <c r="GU1082" s="4">
        <v>363</v>
      </c>
      <c r="GV1082" s="4">
        <v>344</v>
      </c>
      <c r="GW1082" s="4">
        <v>325</v>
      </c>
      <c r="GX1082" s="4">
        <v>306</v>
      </c>
      <c r="GY1082" s="4">
        <v>287</v>
      </c>
      <c r="GZ1082" s="4">
        <v>268</v>
      </c>
      <c r="HA1082" s="4">
        <v>249</v>
      </c>
      <c r="HB1082" s="4">
        <v>230</v>
      </c>
      <c r="HC1082" s="19">
        <v>11.3</v>
      </c>
      <c r="HD1082" s="19">
        <v>10.4</v>
      </c>
      <c r="HE1082" s="19">
        <v>9.7</v>
      </c>
      <c r="HF1082" s="19">
        <v>9.9</v>
      </c>
      <c r="HG1082" s="19">
        <v>12.1</v>
      </c>
      <c r="HH1082" s="19">
        <v>12.3</v>
      </c>
      <c r="HI1082" s="19">
        <v>17.7</v>
      </c>
      <c r="HJ1082" s="19">
        <v>16.7</v>
      </c>
      <c r="HK1082" s="19">
        <v>14.4</v>
      </c>
      <c r="HL1082" s="19">
        <v>14</v>
      </c>
      <c r="HM1082" s="19">
        <v>13</v>
      </c>
      <c r="HN1082" s="19">
        <v>12</v>
      </c>
      <c r="HO1082" s="19">
        <v>11</v>
      </c>
      <c r="HP1082" s="19">
        <v>9.5</v>
      </c>
      <c r="HQ1082" s="19">
        <v>22.1</v>
      </c>
      <c r="HR1082" s="19">
        <v>21.1</v>
      </c>
      <c r="HS1082" s="19">
        <v>20.2</v>
      </c>
      <c r="HT1082" s="19">
        <v>20.1</v>
      </c>
      <c r="HU1082" s="19">
        <v>19.1</v>
      </c>
      <c r="HV1082" s="19">
        <v>18.1</v>
      </c>
      <c r="HW1082" s="19">
        <v>17.1</v>
      </c>
      <c r="HX1082" s="19">
        <v>16.1</v>
      </c>
      <c r="HY1082" s="19">
        <v>15.1</v>
      </c>
      <c r="HZ1082" s="19">
        <v>14.1</v>
      </c>
      <c r="IA1082" s="19">
        <v>13.1</v>
      </c>
      <c r="IB1082" s="19">
        <v>12.1</v>
      </c>
    </row>
    <row r="1083">
      <c r="A1083" s="2" t="s">
        <v>5423</v>
      </c>
      <c r="B1083" s="2" t="s">
        <v>222</v>
      </c>
      <c r="C1083" s="2" t="s">
        <v>3991</v>
      </c>
      <c r="D1083" s="2" t="s">
        <v>224</v>
      </c>
      <c r="E1083" s="2" t="s">
        <v>3009</v>
      </c>
      <c r="F1083" s="2" t="s">
        <v>5410</v>
      </c>
      <c r="G1083" s="2" t="s">
        <v>5410</v>
      </c>
      <c r="H1083" s="2" t="s">
        <v>5410</v>
      </c>
      <c r="I1083" s="2" t="s">
        <v>5417</v>
      </c>
      <c r="J1083" s="2" t="s">
        <v>256</v>
      </c>
      <c r="K1083" s="2" t="s">
        <v>266</v>
      </c>
      <c r="L1083" s="3">
        <v>33.42</v>
      </c>
      <c r="M1083" s="3">
        <v>35.09</v>
      </c>
      <c r="N1083" s="3">
        <v>89.99</v>
      </c>
      <c r="O1083" s="2" t="s">
        <v>230</v>
      </c>
      <c r="P1083" s="2" t="s">
        <v>231</v>
      </c>
      <c r="Q1083" s="2" t="s">
        <v>232</v>
      </c>
      <c r="R1083" s="2" t="s">
        <v>233</v>
      </c>
      <c r="S1083" s="2" t="s">
        <v>233</v>
      </c>
      <c r="T1083" s="2" t="s">
        <v>233</v>
      </c>
      <c r="U1083" s="2" t="s">
        <v>329</v>
      </c>
      <c r="V1083" s="2" t="s">
        <v>236</v>
      </c>
      <c r="W1083" s="2" t="s">
        <v>620</v>
      </c>
      <c r="X1083" s="2" t="s">
        <v>233</v>
      </c>
      <c r="Y1083" s="2" t="s">
        <v>5418</v>
      </c>
      <c r="Z1083" s="4">
        <v>223</v>
      </c>
      <c r="AA1083" s="4">
        <f>=ROUNDDOWN(22.3,0)</f>
      </c>
      <c r="AB1083" s="5">
        <v>10</v>
      </c>
      <c r="AC1083" s="2" t="s">
        <v>490</v>
      </c>
      <c r="AD1083" s="4">
        <v>100</v>
      </c>
      <c r="AE1083" s="4">
        <v>210</v>
      </c>
      <c r="AF1083" s="6">
        <v>67</v>
      </c>
      <c r="AG1083" s="6"/>
      <c r="AH1083" s="7">
        <v>1</v>
      </c>
      <c r="AI1083" s="4"/>
      <c r="AJ1083" s="4">
        <f>=ROUNDDOWN({0},0)</f>
      </c>
      <c r="AK1083" s="5"/>
      <c r="AL1083" s="2" t="s">
        <v>233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233</v>
      </c>
      <c r="AW1083" s="8" t="s">
        <v>233</v>
      </c>
      <c r="AX1083" s="4" t="s">
        <v>233</v>
      </c>
      <c r="AY1083" s="8" t="s">
        <v>233</v>
      </c>
      <c r="AZ1083" s="7" t="s">
        <v>233</v>
      </c>
      <c r="BA1083" s="7" t="s">
        <v>233</v>
      </c>
      <c r="BB1083" s="7"/>
      <c r="BC1083" s="4" t="s">
        <v>233</v>
      </c>
      <c r="BD1083" s="8" t="s">
        <v>233</v>
      </c>
      <c r="BE1083" s="4" t="s">
        <v>233</v>
      </c>
      <c r="BF1083" s="8" t="s">
        <v>233</v>
      </c>
      <c r="BG1083" s="7" t="s">
        <v>233</v>
      </c>
      <c r="BH1083" s="7" t="s">
        <v>233</v>
      </c>
      <c r="BI1083" s="7"/>
      <c r="BJ1083" s="4">
        <v>36</v>
      </c>
      <c r="BK1083" s="8">
        <v>1362.72</v>
      </c>
      <c r="BL1083" s="2" t="s">
        <v>5424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5420</v>
      </c>
      <c r="BV1083" s="2" t="s">
        <v>233</v>
      </c>
      <c r="BW1083" s="2" t="s">
        <v>233</v>
      </c>
      <c r="BX1083" s="2" t="s">
        <v>241</v>
      </c>
      <c r="BY1083" s="2" t="s">
        <v>242</v>
      </c>
      <c r="BZ1083" s="2" t="s">
        <v>230</v>
      </c>
      <c r="CA1083" s="2" t="s">
        <v>5421</v>
      </c>
      <c r="CB1083" s="2" t="s">
        <v>5425</v>
      </c>
      <c r="CC1083" s="2" t="s">
        <v>245</v>
      </c>
      <c r="CD1083" s="2" t="s">
        <v>233</v>
      </c>
      <c r="CE1083" s="4">
        <v>223</v>
      </c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>
        <v>100</v>
      </c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>
        <v>110</v>
      </c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>
        <v>231</v>
      </c>
      <c r="GD1083" s="4">
        <v>210</v>
      </c>
      <c r="GE1083" s="4">
        <v>195</v>
      </c>
      <c r="GF1083" s="4">
        <v>179</v>
      </c>
      <c r="GG1083" s="4">
        <v>149</v>
      </c>
      <c r="GH1083" s="4">
        <v>133</v>
      </c>
      <c r="GI1083" s="4">
        <v>218</v>
      </c>
      <c r="GJ1083" s="4">
        <v>209</v>
      </c>
      <c r="GK1083" s="4">
        <v>202</v>
      </c>
      <c r="GL1083" s="4">
        <v>191</v>
      </c>
      <c r="GM1083" s="4">
        <v>181</v>
      </c>
      <c r="GN1083" s="4">
        <v>171</v>
      </c>
      <c r="GO1083" s="4">
        <v>161</v>
      </c>
      <c r="GP1083" s="4">
        <v>151</v>
      </c>
      <c r="GQ1083" s="4">
        <v>251</v>
      </c>
      <c r="GR1083" s="4">
        <v>241</v>
      </c>
      <c r="GS1083" s="4">
        <v>231</v>
      </c>
      <c r="GT1083" s="4">
        <v>220</v>
      </c>
      <c r="GU1083" s="4">
        <v>210</v>
      </c>
      <c r="GV1083" s="4">
        <v>200</v>
      </c>
      <c r="GW1083" s="4">
        <v>190</v>
      </c>
      <c r="GX1083" s="4">
        <v>180</v>
      </c>
      <c r="GY1083" s="4">
        <v>170</v>
      </c>
      <c r="GZ1083" s="4">
        <v>160</v>
      </c>
      <c r="HA1083" s="4">
        <v>150</v>
      </c>
      <c r="HB1083" s="4">
        <v>140</v>
      </c>
      <c r="HC1083" s="19">
        <v>11.6</v>
      </c>
      <c r="HD1083" s="19">
        <v>11.1</v>
      </c>
      <c r="HE1083" s="19">
        <v>10.3</v>
      </c>
      <c r="HF1083" s="19">
        <v>9.9</v>
      </c>
      <c r="HG1083" s="19">
        <v>12.4</v>
      </c>
      <c r="HH1083" s="19">
        <v>13.3</v>
      </c>
      <c r="HI1083" s="19">
        <v>24.2</v>
      </c>
      <c r="HJ1083" s="19">
        <v>20.9</v>
      </c>
      <c r="HK1083" s="19">
        <v>20.2</v>
      </c>
      <c r="HL1083" s="19">
        <v>19.1</v>
      </c>
      <c r="HM1083" s="19">
        <v>18.1</v>
      </c>
      <c r="HN1083" s="19">
        <v>17.1</v>
      </c>
      <c r="HO1083" s="19">
        <v>16.1</v>
      </c>
      <c r="HP1083" s="19">
        <v>15.1</v>
      </c>
      <c r="HQ1083" s="19">
        <v>25.1</v>
      </c>
      <c r="HR1083" s="19">
        <v>24.1</v>
      </c>
      <c r="HS1083" s="19">
        <v>23.1</v>
      </c>
      <c r="HT1083" s="19">
        <v>22</v>
      </c>
      <c r="HU1083" s="19">
        <v>21</v>
      </c>
      <c r="HV1083" s="19">
        <v>20</v>
      </c>
      <c r="HW1083" s="19">
        <v>19</v>
      </c>
      <c r="HX1083" s="19">
        <v>18</v>
      </c>
      <c r="HY1083" s="19">
        <v>17</v>
      </c>
      <c r="HZ1083" s="19">
        <v>16</v>
      </c>
      <c r="IA1083" s="19">
        <v>15</v>
      </c>
      <c r="IB1083" s="19">
        <v>14</v>
      </c>
    </row>
    <row r="1084">
      <c r="A1084" s="2" t="s">
        <v>5426</v>
      </c>
      <c r="B1084" s="2" t="s">
        <v>222</v>
      </c>
      <c r="C1084" s="2" t="s">
        <v>3991</v>
      </c>
      <c r="D1084" s="2" t="s">
        <v>261</v>
      </c>
      <c r="E1084" s="2" t="s">
        <v>262</v>
      </c>
      <c r="F1084" s="2" t="s">
        <v>5410</v>
      </c>
      <c r="G1084" s="2" t="s">
        <v>5410</v>
      </c>
      <c r="H1084" s="2" t="s">
        <v>5410</v>
      </c>
      <c r="I1084" s="2" t="s">
        <v>5411</v>
      </c>
      <c r="J1084" s="2" t="s">
        <v>275</v>
      </c>
      <c r="K1084" s="2" t="s">
        <v>266</v>
      </c>
      <c r="L1084" s="3">
        <v>59.42</v>
      </c>
      <c r="M1084" s="3">
        <v>62.39</v>
      </c>
      <c r="N1084" s="3">
        <v>159.99</v>
      </c>
      <c r="O1084" s="2" t="s">
        <v>230</v>
      </c>
      <c r="P1084" s="2" t="s">
        <v>231</v>
      </c>
      <c r="Q1084" s="2" t="s">
        <v>232</v>
      </c>
      <c r="R1084" s="2" t="s">
        <v>233</v>
      </c>
      <c r="S1084" s="2" t="s">
        <v>233</v>
      </c>
      <c r="T1084" s="2" t="s">
        <v>233</v>
      </c>
      <c r="U1084" s="2" t="s">
        <v>329</v>
      </c>
      <c r="V1084" s="2" t="s">
        <v>236</v>
      </c>
      <c r="W1084" s="2" t="s">
        <v>620</v>
      </c>
      <c r="X1084" s="2" t="s">
        <v>233</v>
      </c>
      <c r="Y1084" s="2" t="s">
        <v>5412</v>
      </c>
      <c r="Z1084" s="4">
        <v>188</v>
      </c>
      <c r="AA1084" s="4">
        <f>=ROUNDDOWN(20.8888888888889,0)</f>
      </c>
      <c r="AB1084" s="5">
        <v>9</v>
      </c>
      <c r="AC1084" s="2" t="s">
        <v>490</v>
      </c>
      <c r="AD1084" s="4">
        <v>150</v>
      </c>
      <c r="AE1084" s="4">
        <v>220</v>
      </c>
      <c r="AF1084" s="6">
        <v>67</v>
      </c>
      <c r="AG1084" s="6"/>
      <c r="AH1084" s="7">
        <v>1</v>
      </c>
      <c r="AI1084" s="4"/>
      <c r="AJ1084" s="4">
        <f>=ROUNDDOWN({0},0)</f>
      </c>
      <c r="AK1084" s="5"/>
      <c r="AL1084" s="2" t="s">
        <v>233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233</v>
      </c>
      <c r="AW1084" s="8" t="s">
        <v>233</v>
      </c>
      <c r="AX1084" s="4" t="s">
        <v>233</v>
      </c>
      <c r="AY1084" s="8" t="s">
        <v>233</v>
      </c>
      <c r="AZ1084" s="7" t="s">
        <v>233</v>
      </c>
      <c r="BA1084" s="7" t="s">
        <v>233</v>
      </c>
      <c r="BB1084" s="7"/>
      <c r="BC1084" s="4" t="s">
        <v>233</v>
      </c>
      <c r="BD1084" s="8" t="s">
        <v>233</v>
      </c>
      <c r="BE1084" s="4" t="s">
        <v>233</v>
      </c>
      <c r="BF1084" s="8" t="s">
        <v>233</v>
      </c>
      <c r="BG1084" s="7" t="s">
        <v>233</v>
      </c>
      <c r="BH1084" s="7" t="s">
        <v>233</v>
      </c>
      <c r="BI1084" s="7"/>
      <c r="BJ1084" s="4">
        <v>28</v>
      </c>
      <c r="BK1084" s="8">
        <v>1920.99</v>
      </c>
      <c r="BL1084" s="2" t="s">
        <v>5427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5414</v>
      </c>
      <c r="BV1084" s="2" t="s">
        <v>233</v>
      </c>
      <c r="BW1084" s="2" t="s">
        <v>233</v>
      </c>
      <c r="BX1084" s="2" t="s">
        <v>241</v>
      </c>
      <c r="BY1084" s="2" t="s">
        <v>242</v>
      </c>
      <c r="BZ1084" s="2" t="s">
        <v>230</v>
      </c>
      <c r="CA1084" s="2" t="s">
        <v>4995</v>
      </c>
      <c r="CB1084" s="2" t="s">
        <v>1561</v>
      </c>
      <c r="CC1084" s="2" t="s">
        <v>245</v>
      </c>
      <c r="CD1084" s="2" t="s">
        <v>233</v>
      </c>
      <c r="CE1084" s="4">
        <v>188</v>
      </c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>
        <v>150</v>
      </c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>
        <v>70</v>
      </c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>
        <v>197</v>
      </c>
      <c r="GD1084" s="4">
        <v>165</v>
      </c>
      <c r="GE1084" s="4">
        <v>142</v>
      </c>
      <c r="GF1084" s="4">
        <v>121</v>
      </c>
      <c r="GG1084" s="4">
        <v>78</v>
      </c>
      <c r="GH1084" s="4">
        <v>59</v>
      </c>
      <c r="GI1084" s="4">
        <v>192</v>
      </c>
      <c r="GJ1084" s="4">
        <v>181</v>
      </c>
      <c r="GK1084" s="4">
        <v>174</v>
      </c>
      <c r="GL1084" s="4">
        <v>166</v>
      </c>
      <c r="GM1084" s="4">
        <v>160</v>
      </c>
      <c r="GN1084" s="4">
        <v>154</v>
      </c>
      <c r="GO1084" s="4">
        <v>148</v>
      </c>
      <c r="GP1084" s="4">
        <v>142</v>
      </c>
      <c r="GQ1084" s="4">
        <v>207</v>
      </c>
      <c r="GR1084" s="4">
        <v>197</v>
      </c>
      <c r="GS1084" s="4">
        <v>187</v>
      </c>
      <c r="GT1084" s="4">
        <v>176</v>
      </c>
      <c r="GU1084" s="4">
        <v>166</v>
      </c>
      <c r="GV1084" s="4">
        <v>155</v>
      </c>
      <c r="GW1084" s="4">
        <v>144</v>
      </c>
      <c r="GX1084" s="4">
        <v>133</v>
      </c>
      <c r="GY1084" s="4">
        <v>122</v>
      </c>
      <c r="GZ1084" s="4">
        <v>111</v>
      </c>
      <c r="HA1084" s="4">
        <v>100</v>
      </c>
      <c r="HB1084" s="4">
        <v>89</v>
      </c>
      <c r="HC1084" s="19">
        <v>6.6</v>
      </c>
      <c r="HD1084" s="19">
        <v>6.3</v>
      </c>
      <c r="HE1084" s="19">
        <v>5.7</v>
      </c>
      <c r="HF1084" s="19">
        <v>5.5</v>
      </c>
      <c r="HG1084" s="19">
        <v>5.6</v>
      </c>
      <c r="HH1084" s="19">
        <v>5.4</v>
      </c>
      <c r="HI1084" s="19">
        <v>24</v>
      </c>
      <c r="HJ1084" s="19">
        <v>25.9</v>
      </c>
      <c r="HK1084" s="19">
        <v>29</v>
      </c>
      <c r="HL1084" s="19">
        <v>27.7</v>
      </c>
      <c r="HM1084" s="19">
        <v>26.7</v>
      </c>
      <c r="HN1084" s="19">
        <v>22</v>
      </c>
      <c r="HO1084" s="19">
        <v>18.5</v>
      </c>
      <c r="HP1084" s="19">
        <v>15.8</v>
      </c>
      <c r="HQ1084" s="19">
        <v>20.7</v>
      </c>
      <c r="HR1084" s="19">
        <v>19.7</v>
      </c>
      <c r="HS1084" s="19">
        <v>17</v>
      </c>
      <c r="HT1084" s="19">
        <v>16</v>
      </c>
      <c r="HU1084" s="19">
        <v>15.1</v>
      </c>
      <c r="HV1084" s="19">
        <v>14.1</v>
      </c>
      <c r="HW1084" s="19">
        <v>13.1</v>
      </c>
      <c r="HX1084" s="19">
        <v>12.1</v>
      </c>
      <c r="HY1084" s="19">
        <v>11.1</v>
      </c>
      <c r="HZ1084" s="19">
        <v>10.1</v>
      </c>
      <c r="IA1084" s="19">
        <v>10</v>
      </c>
      <c r="IB1084" s="19">
        <v>9.9</v>
      </c>
    </row>
    <row r="1085">
      <c r="A1085" s="2" t="s">
        <v>5428</v>
      </c>
      <c r="B1085" s="2" t="s">
        <v>222</v>
      </c>
      <c r="C1085" s="2" t="s">
        <v>3991</v>
      </c>
      <c r="D1085" s="2" t="s">
        <v>224</v>
      </c>
      <c r="E1085" s="2" t="s">
        <v>3009</v>
      </c>
      <c r="F1085" s="2" t="s">
        <v>5410</v>
      </c>
      <c r="G1085" s="2" t="s">
        <v>5410</v>
      </c>
      <c r="H1085" s="2" t="s">
        <v>5410</v>
      </c>
      <c r="I1085" s="2" t="s">
        <v>5417</v>
      </c>
      <c r="J1085" s="2" t="s">
        <v>285</v>
      </c>
      <c r="K1085" s="2" t="s">
        <v>266</v>
      </c>
      <c r="L1085" s="3">
        <v>33.42</v>
      </c>
      <c r="M1085" s="3">
        <v>35.09</v>
      </c>
      <c r="N1085" s="3">
        <v>89.99</v>
      </c>
      <c r="O1085" s="2" t="s">
        <v>230</v>
      </c>
      <c r="P1085" s="2" t="s">
        <v>231</v>
      </c>
      <c r="Q1085" s="2" t="s">
        <v>232</v>
      </c>
      <c r="R1085" s="2" t="s">
        <v>233</v>
      </c>
      <c r="S1085" s="2" t="s">
        <v>233</v>
      </c>
      <c r="T1085" s="2" t="s">
        <v>233</v>
      </c>
      <c r="U1085" s="2" t="s">
        <v>329</v>
      </c>
      <c r="V1085" s="2" t="s">
        <v>236</v>
      </c>
      <c r="W1085" s="2" t="s">
        <v>620</v>
      </c>
      <c r="X1085" s="2" t="s">
        <v>233</v>
      </c>
      <c r="Y1085" s="2" t="s">
        <v>5418</v>
      </c>
      <c r="Z1085" s="4">
        <v>144</v>
      </c>
      <c r="AA1085" s="4">
        <f>=ROUNDDOWN(24,0)</f>
      </c>
      <c r="AB1085" s="5">
        <v>6</v>
      </c>
      <c r="AC1085" s="2" t="s">
        <v>490</v>
      </c>
      <c r="AD1085" s="4">
        <v>50</v>
      </c>
      <c r="AE1085" s="4">
        <v>120</v>
      </c>
      <c r="AF1085" s="6">
        <v>67</v>
      </c>
      <c r="AG1085" s="6"/>
      <c r="AH1085" s="7">
        <v>1</v>
      </c>
      <c r="AI1085" s="4"/>
      <c r="AJ1085" s="4">
        <f>=ROUNDDOWN({0},0)</f>
      </c>
      <c r="AK1085" s="5"/>
      <c r="AL1085" s="2" t="s">
        <v>233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233</v>
      </c>
      <c r="AW1085" s="8" t="s">
        <v>233</v>
      </c>
      <c r="AX1085" s="4" t="s">
        <v>233</v>
      </c>
      <c r="AY1085" s="8" t="s">
        <v>233</v>
      </c>
      <c r="AZ1085" s="7" t="s">
        <v>233</v>
      </c>
      <c r="BA1085" s="7" t="s">
        <v>233</v>
      </c>
      <c r="BB1085" s="7"/>
      <c r="BC1085" s="4" t="s">
        <v>233</v>
      </c>
      <c r="BD1085" s="8" t="s">
        <v>233</v>
      </c>
      <c r="BE1085" s="4" t="s">
        <v>233</v>
      </c>
      <c r="BF1085" s="8" t="s">
        <v>233</v>
      </c>
      <c r="BG1085" s="7" t="s">
        <v>233</v>
      </c>
      <c r="BH1085" s="7" t="s">
        <v>233</v>
      </c>
      <c r="BI1085" s="7"/>
      <c r="BJ1085" s="4">
        <v>15</v>
      </c>
      <c r="BK1085" s="8">
        <v>549.23</v>
      </c>
      <c r="BL1085" s="2" t="s">
        <v>4134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5420</v>
      </c>
      <c r="BV1085" s="2" t="s">
        <v>233</v>
      </c>
      <c r="BW1085" s="2" t="s">
        <v>233</v>
      </c>
      <c r="BX1085" s="2" t="s">
        <v>241</v>
      </c>
      <c r="BY1085" s="2" t="s">
        <v>242</v>
      </c>
      <c r="BZ1085" s="2" t="s">
        <v>230</v>
      </c>
      <c r="CA1085" s="2" t="s">
        <v>5421</v>
      </c>
      <c r="CB1085" s="2" t="s">
        <v>5422</v>
      </c>
      <c r="CC1085" s="2" t="s">
        <v>245</v>
      </c>
      <c r="CD1085" s="2" t="s">
        <v>233</v>
      </c>
      <c r="CE1085" s="4">
        <v>144</v>
      </c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>
        <v>50</v>
      </c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>
        <v>70</v>
      </c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>
        <v>146</v>
      </c>
      <c r="GD1085" s="4">
        <v>138</v>
      </c>
      <c r="GE1085" s="4">
        <v>129</v>
      </c>
      <c r="GF1085" s="4">
        <v>119</v>
      </c>
      <c r="GG1085" s="4">
        <v>100</v>
      </c>
      <c r="GH1085" s="4">
        <v>90</v>
      </c>
      <c r="GI1085" s="4">
        <v>131</v>
      </c>
      <c r="GJ1085" s="4">
        <v>126</v>
      </c>
      <c r="GK1085" s="4">
        <v>122</v>
      </c>
      <c r="GL1085" s="4">
        <v>115</v>
      </c>
      <c r="GM1085" s="4">
        <v>109</v>
      </c>
      <c r="GN1085" s="4">
        <v>103</v>
      </c>
      <c r="GO1085" s="4">
        <v>97</v>
      </c>
      <c r="GP1085" s="4">
        <v>91</v>
      </c>
      <c r="GQ1085" s="4">
        <v>155</v>
      </c>
      <c r="GR1085" s="4">
        <v>149</v>
      </c>
      <c r="GS1085" s="4">
        <v>143</v>
      </c>
      <c r="GT1085" s="4">
        <v>136</v>
      </c>
      <c r="GU1085" s="4">
        <v>130</v>
      </c>
      <c r="GV1085" s="4">
        <v>124</v>
      </c>
      <c r="GW1085" s="4">
        <v>118</v>
      </c>
      <c r="GX1085" s="4">
        <v>112</v>
      </c>
      <c r="GY1085" s="4">
        <v>106</v>
      </c>
      <c r="GZ1085" s="4">
        <v>100</v>
      </c>
      <c r="HA1085" s="4">
        <v>94</v>
      </c>
      <c r="HB1085" s="4">
        <v>88</v>
      </c>
      <c r="HC1085" s="19">
        <v>12.2</v>
      </c>
      <c r="HD1085" s="19">
        <v>11.5</v>
      </c>
      <c r="HE1085" s="19">
        <v>10.8</v>
      </c>
      <c r="HF1085" s="19">
        <v>10.8</v>
      </c>
      <c r="HG1085" s="19">
        <v>14.3</v>
      </c>
      <c r="HH1085" s="19">
        <v>15</v>
      </c>
      <c r="HI1085" s="19">
        <v>21.8</v>
      </c>
      <c r="HJ1085" s="19">
        <v>21</v>
      </c>
      <c r="HK1085" s="19">
        <v>20.3</v>
      </c>
      <c r="HL1085" s="19">
        <v>19.2</v>
      </c>
      <c r="HM1085" s="19">
        <v>18.2</v>
      </c>
      <c r="HN1085" s="19">
        <v>17.2</v>
      </c>
      <c r="HO1085" s="19">
        <v>16.2</v>
      </c>
      <c r="HP1085" s="19">
        <v>15.2</v>
      </c>
      <c r="HQ1085" s="19">
        <v>25.8</v>
      </c>
      <c r="HR1085" s="19">
        <v>24.8</v>
      </c>
      <c r="HS1085" s="19">
        <v>23.8</v>
      </c>
      <c r="HT1085" s="19">
        <v>22.7</v>
      </c>
      <c r="HU1085" s="19">
        <v>21.7</v>
      </c>
      <c r="HV1085" s="19">
        <v>20.7</v>
      </c>
      <c r="HW1085" s="19">
        <v>19.7</v>
      </c>
      <c r="HX1085" s="19">
        <v>18.7</v>
      </c>
      <c r="HY1085" s="19">
        <v>17.7</v>
      </c>
      <c r="HZ1085" s="19">
        <v>16.7</v>
      </c>
      <c r="IA1085" s="19">
        <v>15.7</v>
      </c>
      <c r="IB1085" s="19">
        <v>14.7</v>
      </c>
    </row>
    <row r="1086">
      <c r="A1086" s="2" t="s">
        <v>5429</v>
      </c>
      <c r="B1086" s="2" t="s">
        <v>279</v>
      </c>
      <c r="C1086" s="2" t="s">
        <v>280</v>
      </c>
      <c r="D1086" s="2" t="s">
        <v>297</v>
      </c>
      <c r="E1086" s="2" t="s">
        <v>298</v>
      </c>
      <c r="F1086" s="2" t="s">
        <v>5430</v>
      </c>
      <c r="G1086" s="2" t="s">
        <v>5430</v>
      </c>
      <c r="H1086" s="2" t="s">
        <v>5430</v>
      </c>
      <c r="I1086" s="2" t="s">
        <v>5431</v>
      </c>
      <c r="J1086" s="2" t="s">
        <v>308</v>
      </c>
      <c r="K1086" s="2" t="s">
        <v>1511</v>
      </c>
      <c r="L1086" s="3">
        <v>22.26</v>
      </c>
      <c r="M1086" s="3">
        <v>23.37</v>
      </c>
      <c r="N1086" s="3">
        <v>52.99</v>
      </c>
      <c r="O1086" s="2" t="s">
        <v>230</v>
      </c>
      <c r="P1086" s="2" t="s">
        <v>231</v>
      </c>
      <c r="Q1086" s="2" t="s">
        <v>232</v>
      </c>
      <c r="R1086" s="2" t="s">
        <v>233</v>
      </c>
      <c r="S1086" s="2" t="s">
        <v>5432</v>
      </c>
      <c r="T1086" s="2" t="s">
        <v>5430</v>
      </c>
      <c r="U1086" s="2" t="s">
        <v>329</v>
      </c>
      <c r="V1086" s="2" t="s">
        <v>236</v>
      </c>
      <c r="W1086" s="2" t="s">
        <v>288</v>
      </c>
      <c r="X1086" s="2" t="s">
        <v>237</v>
      </c>
      <c r="Y1086" s="2" t="s">
        <v>5433</v>
      </c>
      <c r="Z1086" s="4">
        <v>398</v>
      </c>
      <c r="AA1086" s="4">
        <f>=ROUNDDOWN(36.1818181818182,0)</f>
      </c>
      <c r="AB1086" s="5">
        <v>11</v>
      </c>
      <c r="AC1086" s="2" t="s">
        <v>153</v>
      </c>
      <c r="AD1086" s="4">
        <v>400</v>
      </c>
      <c r="AE1086" s="4">
        <v>400</v>
      </c>
      <c r="AF1086" s="6">
        <v>65</v>
      </c>
      <c r="AG1086" s="6"/>
      <c r="AH1086" s="7">
        <v>1</v>
      </c>
      <c r="AI1086" s="4"/>
      <c r="AJ1086" s="4">
        <f>=ROUNDDOWN({0},0)</f>
      </c>
      <c r="AK1086" s="5"/>
      <c r="AL1086" s="2" t="s">
        <v>233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/>
      <c r="AW1086" s="8"/>
      <c r="AX1086" s="4"/>
      <c r="AY1086" s="8"/>
      <c r="AZ1086" s="7"/>
      <c r="BA1086" s="7"/>
      <c r="BB1086" s="7"/>
      <c r="BC1086" s="4" t="s">
        <v>233</v>
      </c>
      <c r="BD1086" s="8" t="s">
        <v>233</v>
      </c>
      <c r="BE1086" s="4" t="s">
        <v>233</v>
      </c>
      <c r="BF1086" s="8" t="s">
        <v>233</v>
      </c>
      <c r="BG1086" s="7" t="s">
        <v>233</v>
      </c>
      <c r="BH1086" s="7" t="s">
        <v>233</v>
      </c>
      <c r="BI1086" s="7"/>
      <c r="BJ1086" s="4">
        <v>38</v>
      </c>
      <c r="BK1086" s="8">
        <v>926.14</v>
      </c>
      <c r="BL1086" s="2" t="s">
        <v>674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5434</v>
      </c>
      <c r="BV1086" s="2" t="s">
        <v>233</v>
      </c>
      <c r="BW1086" s="2" t="s">
        <v>233</v>
      </c>
      <c r="BX1086" s="2" t="s">
        <v>241</v>
      </c>
      <c r="BY1086" s="2" t="s">
        <v>242</v>
      </c>
      <c r="BZ1086" s="2" t="s">
        <v>230</v>
      </c>
      <c r="CA1086" s="2" t="s">
        <v>1179</v>
      </c>
      <c r="CB1086" s="2" t="s">
        <v>5435</v>
      </c>
      <c r="CC1086" s="2" t="s">
        <v>245</v>
      </c>
      <c r="CD1086" s="2" t="s">
        <v>233</v>
      </c>
      <c r="CE1086" s="4">
        <v>388</v>
      </c>
      <c r="CF1086" s="4">
        <v>10</v>
      </c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>
        <v>400</v>
      </c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>
        <v>409</v>
      </c>
      <c r="GD1086" s="4">
        <v>386</v>
      </c>
      <c r="GE1086" s="4">
        <v>363</v>
      </c>
      <c r="GF1086" s="4">
        <v>338</v>
      </c>
      <c r="GG1086" s="4">
        <v>650</v>
      </c>
      <c r="GH1086" s="4">
        <v>539</v>
      </c>
      <c r="GI1086" s="4">
        <v>423</v>
      </c>
      <c r="GJ1086" s="4">
        <v>372</v>
      </c>
      <c r="GK1086" s="4">
        <v>348</v>
      </c>
      <c r="GL1086" s="4">
        <v>337</v>
      </c>
      <c r="GM1086" s="4">
        <v>329</v>
      </c>
      <c r="GN1086" s="4">
        <v>323</v>
      </c>
      <c r="GO1086" s="4">
        <v>314</v>
      </c>
      <c r="GP1086" s="4">
        <v>305</v>
      </c>
      <c r="GQ1086" s="4">
        <v>296</v>
      </c>
      <c r="GR1086" s="4">
        <v>285</v>
      </c>
      <c r="GS1086" s="4">
        <v>276</v>
      </c>
      <c r="GT1086" s="4">
        <v>267</v>
      </c>
      <c r="GU1086" s="4">
        <v>258</v>
      </c>
      <c r="GV1086" s="4">
        <v>249</v>
      </c>
      <c r="GW1086" s="4">
        <v>240</v>
      </c>
      <c r="GX1086" s="4">
        <v>231</v>
      </c>
      <c r="GY1086" s="4">
        <v>222</v>
      </c>
      <c r="GZ1086" s="4">
        <v>213</v>
      </c>
      <c r="HA1086" s="4">
        <v>204</v>
      </c>
      <c r="HB1086" s="4">
        <v>195</v>
      </c>
      <c r="HC1086" s="19">
        <v>10.2</v>
      </c>
      <c r="HD1086" s="19">
        <v>6.2</v>
      </c>
      <c r="HE1086" s="19">
        <v>4.3</v>
      </c>
      <c r="HF1086" s="19">
        <v>3.7</v>
      </c>
      <c r="HG1086" s="19">
        <v>8.6</v>
      </c>
      <c r="HH1086" s="19">
        <v>10.8</v>
      </c>
      <c r="HI1086" s="19">
        <v>17.6</v>
      </c>
      <c r="HJ1086" s="19">
        <v>31</v>
      </c>
      <c r="HK1086" s="19">
        <v>43.5</v>
      </c>
      <c r="HL1086" s="19">
        <v>42.1</v>
      </c>
      <c r="HM1086" s="19">
        <v>41.1</v>
      </c>
      <c r="HN1086" s="19">
        <v>32.3</v>
      </c>
      <c r="HO1086" s="19">
        <v>31.4</v>
      </c>
      <c r="HP1086" s="19">
        <v>30.5</v>
      </c>
      <c r="HQ1086" s="19">
        <v>29.6</v>
      </c>
      <c r="HR1086" s="19">
        <v>31.7</v>
      </c>
      <c r="HS1086" s="19">
        <v>30.7</v>
      </c>
      <c r="HT1086" s="19">
        <v>29.7</v>
      </c>
      <c r="HU1086" s="19">
        <v>28.7</v>
      </c>
      <c r="HV1086" s="19">
        <v>27.7</v>
      </c>
      <c r="HW1086" s="19">
        <v>26.7</v>
      </c>
      <c r="HX1086" s="19">
        <v>25.7</v>
      </c>
      <c r="HY1086" s="19">
        <v>24.7</v>
      </c>
      <c r="HZ1086" s="19">
        <v>23.7</v>
      </c>
      <c r="IA1086" s="19">
        <v>22.7</v>
      </c>
      <c r="IB1086" s="19">
        <v>21.7</v>
      </c>
    </row>
    <row r="1087">
      <c r="A1087" s="2" t="s">
        <v>5436</v>
      </c>
      <c r="B1087" s="2" t="s">
        <v>279</v>
      </c>
      <c r="C1087" s="2" t="s">
        <v>280</v>
      </c>
      <c r="D1087" s="2" t="s">
        <v>297</v>
      </c>
      <c r="E1087" s="2" t="s">
        <v>298</v>
      </c>
      <c r="F1087" s="2" t="s">
        <v>5430</v>
      </c>
      <c r="G1087" s="2" t="s">
        <v>5430</v>
      </c>
      <c r="H1087" s="2" t="s">
        <v>5430</v>
      </c>
      <c r="I1087" s="2" t="s">
        <v>5431</v>
      </c>
      <c r="J1087" s="2" t="s">
        <v>256</v>
      </c>
      <c r="K1087" s="2" t="s">
        <v>300</v>
      </c>
      <c r="L1087" s="3">
        <v>28.56</v>
      </c>
      <c r="M1087" s="3">
        <v>29.99</v>
      </c>
      <c r="N1087" s="3">
        <v>67.99</v>
      </c>
      <c r="O1087" s="2" t="s">
        <v>230</v>
      </c>
      <c r="P1087" s="2" t="s">
        <v>231</v>
      </c>
      <c r="Q1087" s="2" t="s">
        <v>232</v>
      </c>
      <c r="R1087" s="2" t="s">
        <v>233</v>
      </c>
      <c r="S1087" s="2" t="s">
        <v>5437</v>
      </c>
      <c r="T1087" s="2" t="s">
        <v>5430</v>
      </c>
      <c r="U1087" s="2" t="s">
        <v>329</v>
      </c>
      <c r="V1087" s="2" t="s">
        <v>236</v>
      </c>
      <c r="W1087" s="2" t="s">
        <v>237</v>
      </c>
      <c r="X1087" s="2" t="s">
        <v>620</v>
      </c>
      <c r="Y1087" s="2" t="s">
        <v>5438</v>
      </c>
      <c r="Z1087" s="4">
        <v>435</v>
      </c>
      <c r="AA1087" s="4">
        <f>=ROUNDDOWN(29,0)</f>
      </c>
      <c r="AB1087" s="5">
        <v>15</v>
      </c>
      <c r="AC1087" s="2" t="s">
        <v>141</v>
      </c>
      <c r="AD1087" s="4">
        <v>200</v>
      </c>
      <c r="AE1087" s="4">
        <v>360</v>
      </c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233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233</v>
      </c>
      <c r="AW1087" s="8" t="s">
        <v>233</v>
      </c>
      <c r="AX1087" s="4" t="s">
        <v>233</v>
      </c>
      <c r="AY1087" s="8" t="s">
        <v>233</v>
      </c>
      <c r="AZ1087" s="7" t="s">
        <v>233</v>
      </c>
      <c r="BA1087" s="7" t="s">
        <v>233</v>
      </c>
      <c r="BB1087" s="7"/>
      <c r="BC1087" s="4" t="s">
        <v>233</v>
      </c>
      <c r="BD1087" s="8" t="s">
        <v>233</v>
      </c>
      <c r="BE1087" s="4" t="s">
        <v>233</v>
      </c>
      <c r="BF1087" s="8" t="s">
        <v>233</v>
      </c>
      <c r="BG1087" s="7" t="s">
        <v>233</v>
      </c>
      <c r="BH1087" s="7" t="s">
        <v>233</v>
      </c>
      <c r="BI1087" s="7"/>
      <c r="BJ1087" s="4">
        <v>68</v>
      </c>
      <c r="BK1087" s="8">
        <v>2129.12</v>
      </c>
      <c r="BL1087" s="2" t="s">
        <v>303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5434</v>
      </c>
      <c r="BV1087" s="2" t="s">
        <v>233</v>
      </c>
      <c r="BW1087" s="2" t="s">
        <v>233</v>
      </c>
      <c r="BX1087" s="2" t="s">
        <v>241</v>
      </c>
      <c r="BY1087" s="2" t="s">
        <v>242</v>
      </c>
      <c r="BZ1087" s="2" t="s">
        <v>230</v>
      </c>
      <c r="CA1087" s="2" t="s">
        <v>5439</v>
      </c>
      <c r="CB1087" s="2" t="s">
        <v>5440</v>
      </c>
      <c r="CC1087" s="2" t="s">
        <v>245</v>
      </c>
      <c r="CD1087" s="2" t="s">
        <v>233</v>
      </c>
      <c r="CE1087" s="4">
        <v>435</v>
      </c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>
        <v>200</v>
      </c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>
        <v>160</v>
      </c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>
        <v>443</v>
      </c>
      <c r="GD1087" s="4">
        <v>418</v>
      </c>
      <c r="GE1087" s="4">
        <v>389</v>
      </c>
      <c r="GF1087" s="4">
        <v>566</v>
      </c>
      <c r="GG1087" s="4">
        <v>630</v>
      </c>
      <c r="GH1087" s="4">
        <v>502</v>
      </c>
      <c r="GI1087" s="4">
        <v>398</v>
      </c>
      <c r="GJ1087" s="4">
        <v>350</v>
      </c>
      <c r="GK1087" s="4">
        <v>321</v>
      </c>
      <c r="GL1087" s="4">
        <v>307</v>
      </c>
      <c r="GM1087" s="4">
        <v>281</v>
      </c>
      <c r="GN1087" s="4">
        <v>266</v>
      </c>
      <c r="GO1087" s="4">
        <v>258</v>
      </c>
      <c r="GP1087" s="4">
        <v>250</v>
      </c>
      <c r="GQ1087" s="4">
        <v>239</v>
      </c>
      <c r="GR1087" s="4">
        <v>216</v>
      </c>
      <c r="GS1087" s="4">
        <v>199</v>
      </c>
      <c r="GT1087" s="4">
        <v>193</v>
      </c>
      <c r="GU1087" s="4">
        <v>184</v>
      </c>
      <c r="GV1087" s="4">
        <v>335</v>
      </c>
      <c r="GW1087" s="4">
        <v>327</v>
      </c>
      <c r="GX1087" s="4">
        <v>310</v>
      </c>
      <c r="GY1087" s="4">
        <v>304</v>
      </c>
      <c r="GZ1087" s="4">
        <v>289</v>
      </c>
      <c r="HA1087" s="4">
        <v>277</v>
      </c>
      <c r="HB1087" s="4">
        <v>259</v>
      </c>
      <c r="HC1087" s="19">
        <v>10.3</v>
      </c>
      <c r="HD1087" s="19">
        <v>6.1</v>
      </c>
      <c r="HE1087" s="19">
        <v>4.4</v>
      </c>
      <c r="HF1087" s="19">
        <v>6</v>
      </c>
      <c r="HG1087" s="19">
        <v>8.2</v>
      </c>
      <c r="HH1087" s="19">
        <v>10.2</v>
      </c>
      <c r="HI1087" s="19">
        <v>13.7</v>
      </c>
      <c r="HJ1087" s="19">
        <v>16.7</v>
      </c>
      <c r="HK1087" s="19">
        <v>20.1</v>
      </c>
      <c r="HL1087" s="19">
        <v>21.9</v>
      </c>
      <c r="HM1087" s="19">
        <v>28.1</v>
      </c>
      <c r="HN1087" s="19">
        <v>22.2</v>
      </c>
      <c r="HO1087" s="19">
        <v>17.2</v>
      </c>
      <c r="HP1087" s="19">
        <v>17.9</v>
      </c>
      <c r="HQ1087" s="19">
        <v>17.1</v>
      </c>
      <c r="HR1087" s="19">
        <v>21.6</v>
      </c>
      <c r="HS1087" s="19">
        <v>24.9</v>
      </c>
      <c r="HT1087" s="19">
        <v>19.3</v>
      </c>
      <c r="HU1087" s="19">
        <v>18.4</v>
      </c>
      <c r="HV1087" s="19">
        <v>27.9</v>
      </c>
      <c r="HW1087" s="19">
        <v>27.3</v>
      </c>
      <c r="HX1087" s="19">
        <v>23.8</v>
      </c>
      <c r="HY1087" s="19">
        <v>19</v>
      </c>
      <c r="HZ1087" s="19">
        <v>19.3</v>
      </c>
      <c r="IA1087" s="19">
        <v>17.3</v>
      </c>
      <c r="IB1087" s="19">
        <v>15.2</v>
      </c>
    </row>
    <row r="1088">
      <c r="A1088" s="2" t="s">
        <v>5441</v>
      </c>
      <c r="B1088" s="2" t="s">
        <v>279</v>
      </c>
      <c r="C1088" s="2" t="s">
        <v>280</v>
      </c>
      <c r="D1088" s="2" t="s">
        <v>297</v>
      </c>
      <c r="E1088" s="2" t="s">
        <v>298</v>
      </c>
      <c r="F1088" s="2" t="s">
        <v>5430</v>
      </c>
      <c r="G1088" s="2" t="s">
        <v>5430</v>
      </c>
      <c r="H1088" s="2" t="s">
        <v>5430</v>
      </c>
      <c r="I1088" s="2" t="s">
        <v>5431</v>
      </c>
      <c r="J1088" s="2" t="s">
        <v>308</v>
      </c>
      <c r="K1088" s="2" t="s">
        <v>300</v>
      </c>
      <c r="L1088" s="3">
        <v>22.26</v>
      </c>
      <c r="M1088" s="3">
        <v>23.37</v>
      </c>
      <c r="N1088" s="3">
        <v>52.99</v>
      </c>
      <c r="O1088" s="2" t="s">
        <v>230</v>
      </c>
      <c r="P1088" s="2" t="s">
        <v>586</v>
      </c>
      <c r="Q1088" s="2" t="s">
        <v>232</v>
      </c>
      <c r="R1088" s="2" t="s">
        <v>233</v>
      </c>
      <c r="S1088" s="2" t="s">
        <v>5437</v>
      </c>
      <c r="T1088" s="2" t="s">
        <v>5430</v>
      </c>
      <c r="U1088" s="2" t="s">
        <v>329</v>
      </c>
      <c r="V1088" s="2" t="s">
        <v>236</v>
      </c>
      <c r="W1088" s="2" t="s">
        <v>237</v>
      </c>
      <c r="X1088" s="2" t="s">
        <v>620</v>
      </c>
      <c r="Y1088" s="2" t="s">
        <v>5438</v>
      </c>
      <c r="Z1088" s="4">
        <v>959</v>
      </c>
      <c r="AA1088" s="4">
        <f>=ROUNDDOWN(31.9666666666667,0)</f>
      </c>
      <c r="AB1088" s="5">
        <v>30</v>
      </c>
      <c r="AC1088" s="2" t="s">
        <v>141</v>
      </c>
      <c r="AD1088" s="4">
        <v>480</v>
      </c>
      <c r="AE1088" s="4">
        <v>920</v>
      </c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233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233</v>
      </c>
      <c r="AW1088" s="8" t="s">
        <v>233</v>
      </c>
      <c r="AX1088" s="4" t="s">
        <v>233</v>
      </c>
      <c r="AY1088" s="8" t="s">
        <v>233</v>
      </c>
      <c r="AZ1088" s="7" t="s">
        <v>233</v>
      </c>
      <c r="BA1088" s="7" t="s">
        <v>233</v>
      </c>
      <c r="BB1088" s="7"/>
      <c r="BC1088" s="4" t="s">
        <v>233</v>
      </c>
      <c r="BD1088" s="8" t="s">
        <v>233</v>
      </c>
      <c r="BE1088" s="4" t="s">
        <v>233</v>
      </c>
      <c r="BF1088" s="8" t="s">
        <v>233</v>
      </c>
      <c r="BG1088" s="7" t="s">
        <v>233</v>
      </c>
      <c r="BH1088" s="7" t="s">
        <v>233</v>
      </c>
      <c r="BI1088" s="7"/>
      <c r="BJ1088" s="4">
        <v>144</v>
      </c>
      <c r="BK1088" s="8">
        <v>3517.28</v>
      </c>
      <c r="BL1088" s="2" t="s">
        <v>303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5434</v>
      </c>
      <c r="BV1088" s="2" t="s">
        <v>233</v>
      </c>
      <c r="BW1088" s="2" t="s">
        <v>233</v>
      </c>
      <c r="BX1088" s="2" t="s">
        <v>241</v>
      </c>
      <c r="BY1088" s="2" t="s">
        <v>242</v>
      </c>
      <c r="BZ1088" s="2" t="s">
        <v>230</v>
      </c>
      <c r="CA1088" s="2" t="s">
        <v>5439</v>
      </c>
      <c r="CB1088" s="2" t="s">
        <v>5442</v>
      </c>
      <c r="CC1088" s="2" t="s">
        <v>245</v>
      </c>
      <c r="CD1088" s="2" t="s">
        <v>233</v>
      </c>
      <c r="CE1088" s="4">
        <v>959</v>
      </c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>
        <v>480</v>
      </c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>
        <v>440</v>
      </c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>
        <v>982</v>
      </c>
      <c r="GD1088" s="4">
        <v>921</v>
      </c>
      <c r="GE1088" s="4">
        <v>858</v>
      </c>
      <c r="GF1088" s="4">
        <v>1269</v>
      </c>
      <c r="GG1088" s="4">
        <v>1469</v>
      </c>
      <c r="GH1088" s="4">
        <v>1166</v>
      </c>
      <c r="GI1088" s="4">
        <v>851</v>
      </c>
      <c r="GJ1088" s="4">
        <v>713</v>
      </c>
      <c r="GK1088" s="4">
        <v>647</v>
      </c>
      <c r="GL1088" s="4">
        <v>617</v>
      </c>
      <c r="GM1088" s="4">
        <v>596</v>
      </c>
      <c r="GN1088" s="4">
        <v>581</v>
      </c>
      <c r="GO1088" s="4">
        <v>557</v>
      </c>
      <c r="GP1088" s="4">
        <v>533</v>
      </c>
      <c r="GQ1088" s="4">
        <v>509</v>
      </c>
      <c r="GR1088" s="4">
        <v>479</v>
      </c>
      <c r="GS1088" s="4">
        <v>455</v>
      </c>
      <c r="GT1088" s="4">
        <v>431</v>
      </c>
      <c r="GU1088" s="4">
        <v>407</v>
      </c>
      <c r="GV1088" s="4">
        <v>564</v>
      </c>
      <c r="GW1088" s="4">
        <v>540</v>
      </c>
      <c r="GX1088" s="4">
        <v>516</v>
      </c>
      <c r="GY1088" s="4">
        <v>492</v>
      </c>
      <c r="GZ1088" s="4">
        <v>468</v>
      </c>
      <c r="HA1088" s="4">
        <v>444</v>
      </c>
      <c r="HB1088" s="4">
        <v>420</v>
      </c>
      <c r="HC1088" s="19">
        <v>9.1</v>
      </c>
      <c r="HD1088" s="19">
        <v>5.4</v>
      </c>
      <c r="HE1088" s="19">
        <v>3.7</v>
      </c>
      <c r="HF1088" s="19">
        <v>5.1</v>
      </c>
      <c r="HG1088" s="19">
        <v>7.1</v>
      </c>
      <c r="HH1088" s="19">
        <v>8.5</v>
      </c>
      <c r="HI1088" s="19">
        <v>13.3</v>
      </c>
      <c r="HJ1088" s="19">
        <v>21.6</v>
      </c>
      <c r="HK1088" s="19">
        <v>29.4</v>
      </c>
      <c r="HL1088" s="19">
        <v>29.4</v>
      </c>
      <c r="HM1088" s="19">
        <v>27.1</v>
      </c>
      <c r="HN1088" s="19">
        <v>22.3</v>
      </c>
      <c r="HO1088" s="19">
        <v>21.4</v>
      </c>
      <c r="HP1088" s="19">
        <v>20.5</v>
      </c>
      <c r="HQ1088" s="19">
        <v>19.6</v>
      </c>
      <c r="HR1088" s="19">
        <v>20</v>
      </c>
      <c r="HS1088" s="19">
        <v>19</v>
      </c>
      <c r="HT1088" s="19">
        <v>18</v>
      </c>
      <c r="HU1088" s="19">
        <v>17</v>
      </c>
      <c r="HV1088" s="19">
        <v>23.5</v>
      </c>
      <c r="HW1088" s="19">
        <v>22.5</v>
      </c>
      <c r="HX1088" s="19">
        <v>21.5</v>
      </c>
      <c r="HY1088" s="19">
        <v>20.5</v>
      </c>
      <c r="HZ1088" s="19">
        <v>19.5</v>
      </c>
      <c r="IA1088" s="19">
        <v>18.5</v>
      </c>
      <c r="IB1088" s="19">
        <v>17.5</v>
      </c>
    </row>
    <row r="1089">
      <c r="A1089" s="2" t="s">
        <v>5443</v>
      </c>
      <c r="B1089" s="2" t="s">
        <v>279</v>
      </c>
      <c r="C1089" s="2" t="s">
        <v>280</v>
      </c>
      <c r="D1089" s="2" t="s">
        <v>297</v>
      </c>
      <c r="E1089" s="2" t="s">
        <v>298</v>
      </c>
      <c r="F1089" s="2" t="s">
        <v>5430</v>
      </c>
      <c r="G1089" s="2" t="s">
        <v>5430</v>
      </c>
      <c r="H1089" s="2" t="s">
        <v>5430</v>
      </c>
      <c r="I1089" s="2" t="s">
        <v>5431</v>
      </c>
      <c r="J1089" s="2" t="s">
        <v>308</v>
      </c>
      <c r="K1089" s="2" t="s">
        <v>266</v>
      </c>
      <c r="L1089" s="3">
        <v>22.26</v>
      </c>
      <c r="M1089" s="3">
        <v>23.37</v>
      </c>
      <c r="N1089" s="3">
        <v>52.99</v>
      </c>
      <c r="O1089" s="2" t="s">
        <v>230</v>
      </c>
      <c r="P1089" s="2" t="s">
        <v>586</v>
      </c>
      <c r="Q1089" s="2" t="s">
        <v>232</v>
      </c>
      <c r="R1089" s="2" t="s">
        <v>233</v>
      </c>
      <c r="S1089" s="2" t="s">
        <v>5444</v>
      </c>
      <c r="T1089" s="2" t="s">
        <v>5430</v>
      </c>
      <c r="U1089" s="2" t="s">
        <v>329</v>
      </c>
      <c r="V1089" s="2" t="s">
        <v>236</v>
      </c>
      <c r="W1089" s="2" t="s">
        <v>237</v>
      </c>
      <c r="X1089" s="2" t="s">
        <v>620</v>
      </c>
      <c r="Y1089" s="2" t="s">
        <v>5438</v>
      </c>
      <c r="Z1089" s="4">
        <v>1182</v>
      </c>
      <c r="AA1089" s="4">
        <f>=ROUNDDOWN(33.2022471910112,0)</f>
      </c>
      <c r="AB1089" s="5">
        <v>35.6</v>
      </c>
      <c r="AC1089" s="2" t="s">
        <v>141</v>
      </c>
      <c r="AD1089" s="4">
        <v>360</v>
      </c>
      <c r="AE1089" s="4">
        <v>840</v>
      </c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233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/>
      <c r="AW1089" s="8"/>
      <c r="AX1089" s="4"/>
      <c r="AY1089" s="8"/>
      <c r="AZ1089" s="7"/>
      <c r="BA1089" s="7"/>
      <c r="BB1089" s="7"/>
      <c r="BC1089" s="4" t="s">
        <v>233</v>
      </c>
      <c r="BD1089" s="8" t="s">
        <v>233</v>
      </c>
      <c r="BE1089" s="4" t="s">
        <v>233</v>
      </c>
      <c r="BF1089" s="8" t="s">
        <v>233</v>
      </c>
      <c r="BG1089" s="7" t="s">
        <v>233</v>
      </c>
      <c r="BH1089" s="7" t="s">
        <v>233</v>
      </c>
      <c r="BI1089" s="7"/>
      <c r="BJ1089" s="4">
        <v>134</v>
      </c>
      <c r="BK1089" s="8">
        <v>3287.31</v>
      </c>
      <c r="BL1089" s="2" t="s">
        <v>5445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5434</v>
      </c>
      <c r="BV1089" s="2" t="s">
        <v>233</v>
      </c>
      <c r="BW1089" s="2" t="s">
        <v>233</v>
      </c>
      <c r="BX1089" s="2" t="s">
        <v>241</v>
      </c>
      <c r="BY1089" s="2" t="s">
        <v>242</v>
      </c>
      <c r="BZ1089" s="2" t="s">
        <v>230</v>
      </c>
      <c r="CA1089" s="2" t="s">
        <v>5439</v>
      </c>
      <c r="CB1089" s="2" t="s">
        <v>5446</v>
      </c>
      <c r="CC1089" s="2" t="s">
        <v>245</v>
      </c>
      <c r="CD1089" s="2" t="s">
        <v>233</v>
      </c>
      <c r="CE1089" s="4">
        <v>1182</v>
      </c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>
        <v>360</v>
      </c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>
        <v>360</v>
      </c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>
        <v>120</v>
      </c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>
        <v>1203</v>
      </c>
      <c r="GD1089" s="4">
        <v>1136</v>
      </c>
      <c r="GE1089" s="4">
        <v>1060</v>
      </c>
      <c r="GF1089" s="4">
        <v>1337</v>
      </c>
      <c r="GG1089" s="4">
        <v>1409</v>
      </c>
      <c r="GH1089" s="4">
        <v>1045</v>
      </c>
      <c r="GI1089" s="4">
        <v>667</v>
      </c>
      <c r="GJ1089" s="4">
        <v>501</v>
      </c>
      <c r="GK1089" s="4">
        <v>422</v>
      </c>
      <c r="GL1089" s="4">
        <v>386</v>
      </c>
      <c r="GM1089" s="4">
        <v>361</v>
      </c>
      <c r="GN1089" s="4">
        <v>463</v>
      </c>
      <c r="GO1089" s="4">
        <v>434</v>
      </c>
      <c r="GP1089" s="4">
        <v>405</v>
      </c>
      <c r="GQ1089" s="4">
        <v>376</v>
      </c>
      <c r="GR1089" s="4">
        <v>340</v>
      </c>
      <c r="GS1089" s="4">
        <v>311</v>
      </c>
      <c r="GT1089" s="4">
        <v>282</v>
      </c>
      <c r="GU1089" s="4">
        <v>253</v>
      </c>
      <c r="GV1089" s="4">
        <v>224</v>
      </c>
      <c r="GW1089" s="4">
        <v>195</v>
      </c>
      <c r="GX1089" s="4">
        <v>166</v>
      </c>
      <c r="GY1089" s="4">
        <v>137</v>
      </c>
      <c r="GZ1089" s="4">
        <v>419</v>
      </c>
      <c r="HA1089" s="4">
        <v>390</v>
      </c>
      <c r="HB1089" s="4">
        <v>361</v>
      </c>
      <c r="HC1089" s="19">
        <v>9.4</v>
      </c>
      <c r="HD1089" s="19">
        <v>5.6</v>
      </c>
      <c r="HE1089" s="19">
        <v>3.8</v>
      </c>
      <c r="HF1089" s="19">
        <v>4.5</v>
      </c>
      <c r="HG1089" s="19">
        <v>5.7</v>
      </c>
      <c r="HH1089" s="19">
        <v>6.3</v>
      </c>
      <c r="HI1089" s="19">
        <v>8.8</v>
      </c>
      <c r="HJ1089" s="19">
        <v>12.5</v>
      </c>
      <c r="HK1089" s="19">
        <v>15.6</v>
      </c>
      <c r="HL1089" s="19">
        <v>15.4</v>
      </c>
      <c r="HM1089" s="19">
        <v>13.9</v>
      </c>
      <c r="HN1089" s="19">
        <v>14.9</v>
      </c>
      <c r="HO1089" s="19">
        <v>14</v>
      </c>
      <c r="HP1089" s="19">
        <v>13.1</v>
      </c>
      <c r="HQ1089" s="19">
        <v>12.1</v>
      </c>
      <c r="HR1089" s="19">
        <v>11.7</v>
      </c>
      <c r="HS1089" s="19">
        <v>10.7</v>
      </c>
      <c r="HT1089" s="19">
        <v>9.7</v>
      </c>
      <c r="HU1089" s="19">
        <v>8.7</v>
      </c>
      <c r="HV1089" s="19">
        <v>7.7</v>
      </c>
      <c r="HW1089" s="19">
        <v>6.7</v>
      </c>
      <c r="HX1089" s="19">
        <v>5.7</v>
      </c>
      <c r="HY1089" s="19">
        <v>4.7</v>
      </c>
      <c r="HZ1089" s="19">
        <v>14.4</v>
      </c>
      <c r="IA1089" s="19">
        <v>13.4</v>
      </c>
      <c r="IB1089" s="19">
        <v>12.4</v>
      </c>
    </row>
    <row r="1090">
      <c r="A1090" s="2" t="s">
        <v>5447</v>
      </c>
      <c r="B1090" s="2" t="s">
        <v>761</v>
      </c>
      <c r="C1090" s="2" t="s">
        <v>762</v>
      </c>
      <c r="D1090" s="2" t="s">
        <v>3374</v>
      </c>
      <c r="E1090" s="2" t="s">
        <v>3375</v>
      </c>
      <c r="F1090" s="2" t="s">
        <v>4680</v>
      </c>
      <c r="G1090" s="2" t="s">
        <v>4680</v>
      </c>
      <c r="H1090" s="2" t="s">
        <v>4680</v>
      </c>
      <c r="I1090" s="2" t="s">
        <v>5448</v>
      </c>
      <c r="J1090" s="2" t="s">
        <v>741</v>
      </c>
      <c r="K1090" s="2" t="s">
        <v>955</v>
      </c>
      <c r="L1090" s="3">
        <v>165</v>
      </c>
      <c r="M1090" s="3">
        <v>173.25</v>
      </c>
      <c r="N1090" s="3">
        <v>349</v>
      </c>
      <c r="O1090" s="2" t="s">
        <v>230</v>
      </c>
      <c r="P1090" s="2" t="s">
        <v>231</v>
      </c>
      <c r="Q1090" s="2" t="s">
        <v>232</v>
      </c>
      <c r="R1090" s="2" t="s">
        <v>233</v>
      </c>
      <c r="S1090" s="2" t="s">
        <v>233</v>
      </c>
      <c r="T1090" s="2" t="s">
        <v>233</v>
      </c>
      <c r="U1090" s="2" t="s">
        <v>329</v>
      </c>
      <c r="V1090" s="2" t="s">
        <v>609</v>
      </c>
      <c r="W1090" s="2" t="s">
        <v>620</v>
      </c>
      <c r="X1090" s="2" t="s">
        <v>237</v>
      </c>
      <c r="Y1090" s="2" t="s">
        <v>5449</v>
      </c>
      <c r="Z1090" s="4">
        <v>187</v>
      </c>
      <c r="AA1090" s="4">
        <f>=ROUNDDOWN(14.3846153846154,0)</f>
      </c>
      <c r="AB1090" s="5">
        <v>13</v>
      </c>
      <c r="AC1090" s="2" t="s">
        <v>173</v>
      </c>
      <c r="AD1090" s="4">
        <v>100</v>
      </c>
      <c r="AE1090" s="4">
        <v>100</v>
      </c>
      <c r="AF1090" s="6">
        <v>76</v>
      </c>
      <c r="AG1090" s="6"/>
      <c r="AH1090" s="7">
        <v>0.2258</v>
      </c>
      <c r="AI1090" s="4"/>
      <c r="AJ1090" s="4">
        <f>=ROUNDDOWN({0},0)</f>
      </c>
      <c r="AK1090" s="5"/>
      <c r="AL1090" s="2" t="s">
        <v>233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/>
      <c r="AW1090" s="8"/>
      <c r="AX1090" s="4"/>
      <c r="AY1090" s="8"/>
      <c r="AZ1090" s="7"/>
      <c r="BA1090" s="7"/>
      <c r="BB1090" s="7"/>
      <c r="BC1090" s="4"/>
      <c r="BD1090" s="8"/>
      <c r="BE1090" s="4"/>
      <c r="BF1090" s="8"/>
      <c r="BG1090" s="7"/>
      <c r="BH1090" s="7"/>
      <c r="BI1090" s="7"/>
      <c r="BJ1090" s="4">
        <v>8</v>
      </c>
      <c r="BK1090" s="8">
        <v>1335.77</v>
      </c>
      <c r="BL1090" s="2" t="s">
        <v>1976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5450</v>
      </c>
      <c r="BV1090" s="2" t="s">
        <v>233</v>
      </c>
      <c r="BW1090" s="2" t="s">
        <v>233</v>
      </c>
      <c r="BX1090" s="2" t="s">
        <v>241</v>
      </c>
      <c r="BY1090" s="2" t="s">
        <v>242</v>
      </c>
      <c r="BZ1090" s="2" t="s">
        <v>230</v>
      </c>
      <c r="CA1090" s="2" t="s">
        <v>3007</v>
      </c>
      <c r="CB1090" s="2" t="s">
        <v>1795</v>
      </c>
      <c r="CC1090" s="2" t="s">
        <v>245</v>
      </c>
      <c r="CD1090" s="2" t="s">
        <v>233</v>
      </c>
      <c r="CE1090" s="4"/>
      <c r="CF1090" s="4">
        <v>187</v>
      </c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>
        <v>100</v>
      </c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>
        <v>192</v>
      </c>
      <c r="GD1090" s="4">
        <v>180</v>
      </c>
      <c r="GE1090" s="4">
        <v>166</v>
      </c>
      <c r="GF1090" s="4">
        <v>151</v>
      </c>
      <c r="GG1090" s="4">
        <v>129</v>
      </c>
      <c r="GH1090" s="4">
        <v>108</v>
      </c>
      <c r="GI1090" s="4">
        <v>95</v>
      </c>
      <c r="GJ1090" s="4">
        <v>85</v>
      </c>
      <c r="GK1090" s="4">
        <v>173</v>
      </c>
      <c r="GL1090" s="4">
        <v>161</v>
      </c>
      <c r="GM1090" s="4">
        <v>152</v>
      </c>
      <c r="GN1090" s="4">
        <v>140</v>
      </c>
      <c r="GO1090" s="4">
        <v>131</v>
      </c>
      <c r="GP1090" s="4">
        <v>122</v>
      </c>
      <c r="GQ1090" s="4">
        <v>109</v>
      </c>
      <c r="GR1090" s="4">
        <v>96</v>
      </c>
      <c r="GS1090" s="4">
        <v>83</v>
      </c>
      <c r="GT1090" s="4">
        <v>69</v>
      </c>
      <c r="GU1090" s="4">
        <v>56</v>
      </c>
      <c r="GV1090" s="4">
        <v>42</v>
      </c>
      <c r="GW1090" s="4">
        <v>28</v>
      </c>
      <c r="GX1090" s="4">
        <v>14</v>
      </c>
      <c r="GY1090" s="4"/>
      <c r="GZ1090" s="4"/>
      <c r="HA1090" s="4"/>
      <c r="HB1090" s="4"/>
      <c r="HC1090" s="19">
        <v>12</v>
      </c>
      <c r="HD1090" s="19">
        <v>10</v>
      </c>
      <c r="HE1090" s="19">
        <v>9.2</v>
      </c>
      <c r="HF1090" s="19">
        <v>9.4</v>
      </c>
      <c r="HG1090" s="19">
        <v>9.2</v>
      </c>
      <c r="HH1090" s="19">
        <v>9</v>
      </c>
      <c r="HI1090" s="19">
        <v>8.6</v>
      </c>
      <c r="HJ1090" s="19">
        <v>7.7</v>
      </c>
      <c r="HK1090" s="19">
        <v>17.3</v>
      </c>
      <c r="HL1090" s="19">
        <v>16.1</v>
      </c>
      <c r="HM1090" s="19">
        <v>13.8</v>
      </c>
      <c r="HN1090" s="19">
        <v>12.7</v>
      </c>
      <c r="HO1090" s="19">
        <v>10.9</v>
      </c>
      <c r="HP1090" s="19">
        <v>9.4</v>
      </c>
      <c r="HQ1090" s="19">
        <v>8.4</v>
      </c>
      <c r="HR1090" s="19">
        <v>6.9</v>
      </c>
      <c r="HS1090" s="19">
        <v>5.9</v>
      </c>
      <c r="HT1090" s="19">
        <v>4.9</v>
      </c>
      <c r="HU1090" s="19">
        <v>4</v>
      </c>
      <c r="HV1090" s="19">
        <v>3</v>
      </c>
      <c r="HW1090" s="19">
        <v>2</v>
      </c>
      <c r="HX1090" s="19">
        <v>1</v>
      </c>
      <c r="HY1090" s="20">
        <v>0</v>
      </c>
      <c r="HZ1090" s="20">
        <v>0</v>
      </c>
      <c r="IA1090" s="20">
        <v>0</v>
      </c>
      <c r="IB1090" s="20">
        <v>0</v>
      </c>
    </row>
    <row r="1091">
      <c r="A1091" s="2" t="s">
        <v>5451</v>
      </c>
      <c r="B1091" s="2" t="s">
        <v>279</v>
      </c>
      <c r="C1091" s="2" t="s">
        <v>223</v>
      </c>
      <c r="D1091" s="2" t="s">
        <v>281</v>
      </c>
      <c r="E1091" s="2" t="s">
        <v>282</v>
      </c>
      <c r="F1091" s="2" t="s">
        <v>5452</v>
      </c>
      <c r="G1091" s="2" t="s">
        <v>5452</v>
      </c>
      <c r="H1091" s="2" t="s">
        <v>5452</v>
      </c>
      <c r="I1091" s="2" t="s">
        <v>345</v>
      </c>
      <c r="J1091" s="2" t="s">
        <v>228</v>
      </c>
      <c r="K1091" s="2" t="s">
        <v>434</v>
      </c>
      <c r="L1091" s="3">
        <v>16.5</v>
      </c>
      <c r="M1091" s="3">
        <v>17.32</v>
      </c>
      <c r="N1091" s="3">
        <v>32.99</v>
      </c>
      <c r="O1091" s="2" t="s">
        <v>230</v>
      </c>
      <c r="P1091" s="2" t="s">
        <v>231</v>
      </c>
      <c r="Q1091" s="2" t="s">
        <v>232</v>
      </c>
      <c r="R1091" s="2" t="s">
        <v>233</v>
      </c>
      <c r="S1091" s="2" t="s">
        <v>5453</v>
      </c>
      <c r="T1091" s="2" t="s">
        <v>5454</v>
      </c>
      <c r="U1091" s="2" t="s">
        <v>233</v>
      </c>
      <c r="V1091" s="2" t="s">
        <v>236</v>
      </c>
      <c r="W1091" s="2" t="s">
        <v>237</v>
      </c>
      <c r="X1091" s="2" t="s">
        <v>233</v>
      </c>
      <c r="Y1091" s="2" t="s">
        <v>5317</v>
      </c>
      <c r="Z1091" s="4">
        <v>20</v>
      </c>
      <c r="AA1091" s="4">
        <f>=ROUNDDOWN(7.69230769230769,0)</f>
      </c>
      <c r="AB1091" s="5">
        <v>2.6</v>
      </c>
      <c r="AC1091" s="2" t="s">
        <v>139</v>
      </c>
      <c r="AD1091" s="4">
        <v>120</v>
      </c>
      <c r="AE1091" s="4">
        <v>120</v>
      </c>
      <c r="AF1091" s="6">
        <v>66</v>
      </c>
      <c r="AG1091" s="6"/>
      <c r="AH1091" s="7">
        <v>1</v>
      </c>
      <c r="AI1091" s="4"/>
      <c r="AJ1091" s="4">
        <f>=ROUNDDOWN({0},0)</f>
      </c>
      <c r="AK1091" s="5"/>
      <c r="AL1091" s="2" t="s">
        <v>233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233</v>
      </c>
      <c r="AW1091" s="8" t="s">
        <v>233</v>
      </c>
      <c r="AX1091" s="4" t="s">
        <v>233</v>
      </c>
      <c r="AY1091" s="8" t="s">
        <v>233</v>
      </c>
      <c r="AZ1091" s="7" t="s">
        <v>233</v>
      </c>
      <c r="BA1091" s="7" t="s">
        <v>233</v>
      </c>
      <c r="BB1091" s="7"/>
      <c r="BC1091" s="4" t="s">
        <v>233</v>
      </c>
      <c r="BD1091" s="8" t="s">
        <v>233</v>
      </c>
      <c r="BE1091" s="4" t="s">
        <v>233</v>
      </c>
      <c r="BF1091" s="8" t="s">
        <v>233</v>
      </c>
      <c r="BG1091" s="7" t="s">
        <v>233</v>
      </c>
      <c r="BH1091" s="7" t="s">
        <v>233</v>
      </c>
      <c r="BI1091" s="7"/>
      <c r="BJ1091" s="4">
        <v>10</v>
      </c>
      <c r="BK1091" s="8">
        <v>161.98</v>
      </c>
      <c r="BL1091" s="2" t="s">
        <v>5455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5456</v>
      </c>
      <c r="BV1091" s="2" t="s">
        <v>233</v>
      </c>
      <c r="BW1091" s="2" t="s">
        <v>233</v>
      </c>
      <c r="BX1091" s="2" t="s">
        <v>241</v>
      </c>
      <c r="BY1091" s="2" t="s">
        <v>242</v>
      </c>
      <c r="BZ1091" s="2" t="s">
        <v>230</v>
      </c>
      <c r="CA1091" s="2" t="s">
        <v>5457</v>
      </c>
      <c r="CB1091" s="2" t="s">
        <v>992</v>
      </c>
      <c r="CC1091" s="2" t="s">
        <v>245</v>
      </c>
      <c r="CD1091" s="2" t="s">
        <v>233</v>
      </c>
      <c r="CE1091" s="4">
        <v>20</v>
      </c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>
        <v>120</v>
      </c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>
        <v>21</v>
      </c>
      <c r="GD1091" s="4">
        <v>18</v>
      </c>
      <c r="GE1091" s="4">
        <v>135</v>
      </c>
      <c r="GF1091" s="4">
        <v>131</v>
      </c>
      <c r="GG1091" s="4">
        <v>123</v>
      </c>
      <c r="GH1091" s="4">
        <v>115</v>
      </c>
      <c r="GI1091" s="4">
        <v>109</v>
      </c>
      <c r="GJ1091" s="4">
        <v>106</v>
      </c>
      <c r="GK1091" s="4">
        <v>104</v>
      </c>
      <c r="GL1091" s="4">
        <v>101</v>
      </c>
      <c r="GM1091" s="4">
        <v>98</v>
      </c>
      <c r="GN1091" s="4">
        <v>95</v>
      </c>
      <c r="GO1091" s="4">
        <v>92</v>
      </c>
      <c r="GP1091" s="4">
        <v>89</v>
      </c>
      <c r="GQ1091" s="4">
        <v>86</v>
      </c>
      <c r="GR1091" s="4">
        <v>83</v>
      </c>
      <c r="GS1091" s="4">
        <v>80</v>
      </c>
      <c r="GT1091" s="4">
        <v>77</v>
      </c>
      <c r="GU1091" s="4">
        <v>74</v>
      </c>
      <c r="GV1091" s="4">
        <v>71</v>
      </c>
      <c r="GW1091" s="4">
        <v>68</v>
      </c>
      <c r="GX1091" s="4">
        <v>65</v>
      </c>
      <c r="GY1091" s="4">
        <v>62</v>
      </c>
      <c r="GZ1091" s="4">
        <v>59</v>
      </c>
      <c r="HA1091" s="4">
        <v>56</v>
      </c>
      <c r="HB1091" s="4">
        <v>53</v>
      </c>
      <c r="HC1091" s="19">
        <v>5.3</v>
      </c>
      <c r="HD1091" s="19">
        <v>3</v>
      </c>
      <c r="HE1091" s="19">
        <v>22.5</v>
      </c>
      <c r="HF1091" s="19">
        <v>21.8</v>
      </c>
      <c r="HG1091" s="19">
        <v>24.6</v>
      </c>
      <c r="HH1091" s="19">
        <v>28.8</v>
      </c>
      <c r="HI1091" s="19">
        <v>36.3</v>
      </c>
      <c r="HJ1091" s="19">
        <v>35.3</v>
      </c>
      <c r="HK1091" s="19">
        <v>34.7</v>
      </c>
      <c r="HL1091" s="19">
        <v>33.7</v>
      </c>
      <c r="HM1091" s="19">
        <v>32.7</v>
      </c>
      <c r="HN1091" s="19">
        <v>31.7</v>
      </c>
      <c r="HO1091" s="19">
        <v>30.7</v>
      </c>
      <c r="HP1091" s="19">
        <v>29.7</v>
      </c>
      <c r="HQ1091" s="19">
        <v>28.7</v>
      </c>
      <c r="HR1091" s="19">
        <v>27.7</v>
      </c>
      <c r="HS1091" s="19">
        <v>26.7</v>
      </c>
      <c r="HT1091" s="19">
        <v>25.7</v>
      </c>
      <c r="HU1091" s="19">
        <v>24.7</v>
      </c>
      <c r="HV1091" s="19">
        <v>23.7</v>
      </c>
      <c r="HW1091" s="19">
        <v>22.7</v>
      </c>
      <c r="HX1091" s="19">
        <v>21.7</v>
      </c>
      <c r="HY1091" s="19">
        <v>20.7</v>
      </c>
      <c r="HZ1091" s="19">
        <v>19.7</v>
      </c>
      <c r="IA1091" s="19">
        <v>18.7</v>
      </c>
      <c r="IB1091" s="19">
        <v>17.7</v>
      </c>
    </row>
    <row r="1092">
      <c r="A1092" s="2" t="s">
        <v>5458</v>
      </c>
      <c r="B1092" s="2" t="s">
        <v>279</v>
      </c>
      <c r="C1092" s="2" t="s">
        <v>223</v>
      </c>
      <c r="D1092" s="2" t="s">
        <v>281</v>
      </c>
      <c r="E1092" s="2" t="s">
        <v>282</v>
      </c>
      <c r="F1092" s="2" t="s">
        <v>5452</v>
      </c>
      <c r="G1092" s="2" t="s">
        <v>5452</v>
      </c>
      <c r="H1092" s="2" t="s">
        <v>5452</v>
      </c>
      <c r="I1092" s="2" t="s">
        <v>345</v>
      </c>
      <c r="J1092" s="2" t="s">
        <v>252</v>
      </c>
      <c r="K1092" s="2" t="s">
        <v>434</v>
      </c>
      <c r="L1092" s="3">
        <v>16.5</v>
      </c>
      <c r="M1092" s="3">
        <v>17.32</v>
      </c>
      <c r="N1092" s="3">
        <v>32.99</v>
      </c>
      <c r="O1092" s="2" t="s">
        <v>230</v>
      </c>
      <c r="P1092" s="2" t="s">
        <v>721</v>
      </c>
      <c r="Q1092" s="2" t="s">
        <v>232</v>
      </c>
      <c r="R1092" s="2" t="s">
        <v>233</v>
      </c>
      <c r="S1092" s="2" t="s">
        <v>5453</v>
      </c>
      <c r="T1092" s="2" t="s">
        <v>5454</v>
      </c>
      <c r="U1092" s="2" t="s">
        <v>233</v>
      </c>
      <c r="V1092" s="2" t="s">
        <v>236</v>
      </c>
      <c r="W1092" s="2" t="s">
        <v>237</v>
      </c>
      <c r="X1092" s="2" t="s">
        <v>233</v>
      </c>
      <c r="Y1092" s="2" t="s">
        <v>5317</v>
      </c>
      <c r="Z1092" s="4">
        <v>355</v>
      </c>
      <c r="AA1092" s="4">
        <f>=ROUNDDOWN(71,0)</f>
      </c>
      <c r="AB1092" s="5">
        <v>5</v>
      </c>
      <c r="AC1092" s="2" t="s">
        <v>233</v>
      </c>
      <c r="AD1092" s="4"/>
      <c r="AE1092" s="4"/>
      <c r="AF1092" s="6">
        <v>66</v>
      </c>
      <c r="AG1092" s="6"/>
      <c r="AH1092" s="7">
        <v>1</v>
      </c>
      <c r="AI1092" s="4"/>
      <c r="AJ1092" s="4">
        <f>=ROUNDDOWN({0},0)</f>
      </c>
      <c r="AK1092" s="5"/>
      <c r="AL1092" s="2" t="s">
        <v>233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233</v>
      </c>
      <c r="AW1092" s="8" t="s">
        <v>233</v>
      </c>
      <c r="AX1092" s="4" t="s">
        <v>233</v>
      </c>
      <c r="AY1092" s="8" t="s">
        <v>233</v>
      </c>
      <c r="AZ1092" s="7" t="s">
        <v>233</v>
      </c>
      <c r="BA1092" s="7" t="s">
        <v>233</v>
      </c>
      <c r="BB1092" s="7"/>
      <c r="BC1092" s="4" t="s">
        <v>233</v>
      </c>
      <c r="BD1092" s="8" t="s">
        <v>233</v>
      </c>
      <c r="BE1092" s="4" t="s">
        <v>233</v>
      </c>
      <c r="BF1092" s="8" t="s">
        <v>233</v>
      </c>
      <c r="BG1092" s="7" t="s">
        <v>233</v>
      </c>
      <c r="BH1092" s="7" t="s">
        <v>233</v>
      </c>
      <c r="BI1092" s="7"/>
      <c r="BJ1092" s="4">
        <v>13</v>
      </c>
      <c r="BK1092" s="8">
        <v>215.4</v>
      </c>
      <c r="BL1092" s="2" t="s">
        <v>674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5456</v>
      </c>
      <c r="BV1092" s="2" t="s">
        <v>233</v>
      </c>
      <c r="BW1092" s="2" t="s">
        <v>233</v>
      </c>
      <c r="BX1092" s="2" t="s">
        <v>241</v>
      </c>
      <c r="BY1092" s="2" t="s">
        <v>242</v>
      </c>
      <c r="BZ1092" s="2" t="s">
        <v>230</v>
      </c>
      <c r="CA1092" s="2" t="s">
        <v>5457</v>
      </c>
      <c r="CB1092" s="2" t="s">
        <v>1068</v>
      </c>
      <c r="CC1092" s="2" t="s">
        <v>245</v>
      </c>
      <c r="CD1092" s="2" t="s">
        <v>233</v>
      </c>
      <c r="CE1092" s="4">
        <v>355</v>
      </c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>
        <v>355</v>
      </c>
      <c r="GD1092" s="4">
        <v>352</v>
      </c>
      <c r="GE1092" s="4">
        <v>346</v>
      </c>
      <c r="GF1092" s="4">
        <v>339</v>
      </c>
      <c r="GG1092" s="4">
        <v>325</v>
      </c>
      <c r="GH1092" s="4">
        <v>312</v>
      </c>
      <c r="GI1092" s="4">
        <v>301</v>
      </c>
      <c r="GJ1092" s="4">
        <v>295</v>
      </c>
      <c r="GK1092" s="4">
        <v>291</v>
      </c>
      <c r="GL1092" s="4">
        <v>286</v>
      </c>
      <c r="GM1092" s="4">
        <v>281</v>
      </c>
      <c r="GN1092" s="4">
        <v>276</v>
      </c>
      <c r="GO1092" s="4">
        <v>271</v>
      </c>
      <c r="GP1092" s="4">
        <v>266</v>
      </c>
      <c r="GQ1092" s="4">
        <v>261</v>
      </c>
      <c r="GR1092" s="4">
        <v>256</v>
      </c>
      <c r="GS1092" s="4">
        <v>251</v>
      </c>
      <c r="GT1092" s="4">
        <v>246</v>
      </c>
      <c r="GU1092" s="4">
        <v>241</v>
      </c>
      <c r="GV1092" s="4">
        <v>236</v>
      </c>
      <c r="GW1092" s="4">
        <v>231</v>
      </c>
      <c r="GX1092" s="4">
        <v>226</v>
      </c>
      <c r="GY1092" s="4">
        <v>221</v>
      </c>
      <c r="GZ1092" s="4">
        <v>216</v>
      </c>
      <c r="HA1092" s="4">
        <v>211</v>
      </c>
      <c r="HB1092" s="4">
        <v>206</v>
      </c>
      <c r="HC1092" s="19">
        <v>44.4</v>
      </c>
      <c r="HD1092" s="19">
        <v>35.2</v>
      </c>
      <c r="HE1092" s="19">
        <v>31.5</v>
      </c>
      <c r="HF1092" s="19">
        <v>30.8</v>
      </c>
      <c r="HG1092" s="19">
        <v>40.6</v>
      </c>
      <c r="HH1092" s="19">
        <v>52</v>
      </c>
      <c r="HI1092" s="19">
        <v>60.2</v>
      </c>
      <c r="HJ1092" s="19">
        <v>59</v>
      </c>
      <c r="HK1092" s="19">
        <v>58.2</v>
      </c>
      <c r="HL1092" s="19">
        <v>57.2</v>
      </c>
      <c r="HM1092" s="19">
        <v>56.2</v>
      </c>
      <c r="HN1092" s="19">
        <v>55.2</v>
      </c>
      <c r="HO1092" s="19">
        <v>54.2</v>
      </c>
      <c r="HP1092" s="19">
        <v>53.2</v>
      </c>
      <c r="HQ1092" s="19">
        <v>52.2</v>
      </c>
      <c r="HR1092" s="19">
        <v>51.2</v>
      </c>
      <c r="HS1092" s="19">
        <v>50.2</v>
      </c>
      <c r="HT1092" s="19">
        <v>49.2</v>
      </c>
      <c r="HU1092" s="19">
        <v>48.2</v>
      </c>
      <c r="HV1092" s="19">
        <v>47.2</v>
      </c>
      <c r="HW1092" s="19">
        <v>46.2</v>
      </c>
      <c r="HX1092" s="19">
        <v>45.2</v>
      </c>
      <c r="HY1092" s="19">
        <v>44.2</v>
      </c>
      <c r="HZ1092" s="19">
        <v>43.2</v>
      </c>
      <c r="IA1092" s="19">
        <v>42.2</v>
      </c>
      <c r="IB1092" s="19">
        <v>41.2</v>
      </c>
    </row>
    <row r="1093">
      <c r="A1093" s="2" t="s">
        <v>5459</v>
      </c>
      <c r="B1093" s="2" t="s">
        <v>279</v>
      </c>
      <c r="C1093" s="2" t="s">
        <v>223</v>
      </c>
      <c r="D1093" s="2" t="s">
        <v>281</v>
      </c>
      <c r="E1093" s="2" t="s">
        <v>282</v>
      </c>
      <c r="F1093" s="2" t="s">
        <v>5452</v>
      </c>
      <c r="G1093" s="2" t="s">
        <v>5452</v>
      </c>
      <c r="H1093" s="2" t="s">
        <v>5452</v>
      </c>
      <c r="I1093" s="2" t="s">
        <v>345</v>
      </c>
      <c r="J1093" s="2" t="s">
        <v>336</v>
      </c>
      <c r="K1093" s="2" t="s">
        <v>434</v>
      </c>
      <c r="L1093" s="3">
        <v>19</v>
      </c>
      <c r="M1093" s="3">
        <v>19.95</v>
      </c>
      <c r="N1093" s="3">
        <v>37.99</v>
      </c>
      <c r="O1093" s="2" t="s">
        <v>230</v>
      </c>
      <c r="P1093" s="2" t="s">
        <v>231</v>
      </c>
      <c r="Q1093" s="2" t="s">
        <v>232</v>
      </c>
      <c r="R1093" s="2" t="s">
        <v>233</v>
      </c>
      <c r="S1093" s="2" t="s">
        <v>5453</v>
      </c>
      <c r="T1093" s="2" t="s">
        <v>5454</v>
      </c>
      <c r="U1093" s="2" t="s">
        <v>233</v>
      </c>
      <c r="V1093" s="2" t="s">
        <v>236</v>
      </c>
      <c r="W1093" s="2" t="s">
        <v>237</v>
      </c>
      <c r="X1093" s="2" t="s">
        <v>233</v>
      </c>
      <c r="Y1093" s="2" t="s">
        <v>5317</v>
      </c>
      <c r="Z1093" s="4">
        <v>209</v>
      </c>
      <c r="AA1093" s="4">
        <f>=ROUNDDOWN({0},0)</f>
      </c>
      <c r="AB1093" s="5">
        <v>9.5</v>
      </c>
      <c r="AC1093" s="2" t="s">
        <v>139</v>
      </c>
      <c r="AD1093" s="4">
        <v>190</v>
      </c>
      <c r="AE1093" s="4">
        <v>190</v>
      </c>
      <c r="AF1093" s="6">
        <v>66</v>
      </c>
      <c r="AG1093" s="6"/>
      <c r="AH1093" s="7">
        <v>1</v>
      </c>
      <c r="AI1093" s="4"/>
      <c r="AJ1093" s="4">
        <f>=ROUNDDOWN({0},0)</f>
      </c>
      <c r="AK1093" s="5"/>
      <c r="AL1093" s="2" t="s">
        <v>233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233</v>
      </c>
      <c r="AW1093" s="8" t="s">
        <v>233</v>
      </c>
      <c r="AX1093" s="4" t="s">
        <v>233</v>
      </c>
      <c r="AY1093" s="8" t="s">
        <v>233</v>
      </c>
      <c r="AZ1093" s="7" t="s">
        <v>233</v>
      </c>
      <c r="BA1093" s="7" t="s">
        <v>233</v>
      </c>
      <c r="BB1093" s="7"/>
      <c r="BC1093" s="4" t="s">
        <v>233</v>
      </c>
      <c r="BD1093" s="8" t="s">
        <v>233</v>
      </c>
      <c r="BE1093" s="4" t="s">
        <v>233</v>
      </c>
      <c r="BF1093" s="8" t="s">
        <v>233</v>
      </c>
      <c r="BG1093" s="7" t="s">
        <v>233</v>
      </c>
      <c r="BH1093" s="7" t="s">
        <v>233</v>
      </c>
      <c r="BI1093" s="7"/>
      <c r="BJ1093" s="4">
        <v>35</v>
      </c>
      <c r="BK1093" s="8">
        <v>661.68</v>
      </c>
      <c r="BL1093" s="2" t="s">
        <v>5460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5456</v>
      </c>
      <c r="BV1093" s="2" t="s">
        <v>233</v>
      </c>
      <c r="BW1093" s="2" t="s">
        <v>233</v>
      </c>
      <c r="BX1093" s="2" t="s">
        <v>241</v>
      </c>
      <c r="BY1093" s="2" t="s">
        <v>242</v>
      </c>
      <c r="BZ1093" s="2" t="s">
        <v>230</v>
      </c>
      <c r="CA1093" s="2" t="s">
        <v>5457</v>
      </c>
      <c r="CB1093" s="2" t="s">
        <v>881</v>
      </c>
      <c r="CC1093" s="2" t="s">
        <v>245</v>
      </c>
      <c r="CD1093" s="2" t="s">
        <v>233</v>
      </c>
      <c r="CE1093" s="4">
        <v>209</v>
      </c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>
        <v>190</v>
      </c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>
        <v>211</v>
      </c>
      <c r="GD1093" s="4">
        <v>203</v>
      </c>
      <c r="GE1093" s="4">
        <v>382</v>
      </c>
      <c r="GF1093" s="4">
        <v>369</v>
      </c>
      <c r="GG1093" s="4">
        <v>342</v>
      </c>
      <c r="GH1093" s="4">
        <v>317</v>
      </c>
      <c r="GI1093" s="4">
        <v>296</v>
      </c>
      <c r="GJ1093" s="4">
        <v>285</v>
      </c>
      <c r="GK1093" s="4">
        <v>277</v>
      </c>
      <c r="GL1093" s="4">
        <v>267</v>
      </c>
      <c r="GM1093" s="4">
        <v>257</v>
      </c>
      <c r="GN1093" s="4">
        <v>247</v>
      </c>
      <c r="GO1093" s="4">
        <v>237</v>
      </c>
      <c r="GP1093" s="4">
        <v>227</v>
      </c>
      <c r="GQ1093" s="4">
        <v>217</v>
      </c>
      <c r="GR1093" s="4">
        <v>207</v>
      </c>
      <c r="GS1093" s="4">
        <v>197</v>
      </c>
      <c r="GT1093" s="4">
        <v>187</v>
      </c>
      <c r="GU1093" s="4">
        <v>177</v>
      </c>
      <c r="GV1093" s="4">
        <v>167</v>
      </c>
      <c r="GW1093" s="4">
        <v>157</v>
      </c>
      <c r="GX1093" s="4">
        <v>147</v>
      </c>
      <c r="GY1093" s="4">
        <v>137</v>
      </c>
      <c r="GZ1093" s="4">
        <v>127</v>
      </c>
      <c r="HA1093" s="4">
        <v>117</v>
      </c>
      <c r="HB1093" s="4">
        <v>107</v>
      </c>
      <c r="HC1093" s="19">
        <v>14.1</v>
      </c>
      <c r="HD1093" s="19">
        <v>10.7</v>
      </c>
      <c r="HE1093" s="19">
        <v>17.4</v>
      </c>
      <c r="HF1093" s="19">
        <v>17.6</v>
      </c>
      <c r="HG1093" s="19">
        <v>21.4</v>
      </c>
      <c r="HH1093" s="19">
        <v>26.4</v>
      </c>
      <c r="HI1093" s="19">
        <v>29.6</v>
      </c>
      <c r="HJ1093" s="19">
        <v>28.5</v>
      </c>
      <c r="HK1093" s="19">
        <v>27.7</v>
      </c>
      <c r="HL1093" s="19">
        <v>26.7</v>
      </c>
      <c r="HM1093" s="19">
        <v>25.7</v>
      </c>
      <c r="HN1093" s="19">
        <v>24.7</v>
      </c>
      <c r="HO1093" s="19">
        <v>23.7</v>
      </c>
      <c r="HP1093" s="19">
        <v>22.7</v>
      </c>
      <c r="HQ1093" s="19">
        <v>21.7</v>
      </c>
      <c r="HR1093" s="19">
        <v>20.7</v>
      </c>
      <c r="HS1093" s="19">
        <v>19.7</v>
      </c>
      <c r="HT1093" s="19">
        <v>18.7</v>
      </c>
      <c r="HU1093" s="19">
        <v>17.7</v>
      </c>
      <c r="HV1093" s="19">
        <v>16.7</v>
      </c>
      <c r="HW1093" s="19">
        <v>15.7</v>
      </c>
      <c r="HX1093" s="19">
        <v>14.7</v>
      </c>
      <c r="HY1093" s="19">
        <v>13.7</v>
      </c>
      <c r="HZ1093" s="19">
        <v>12.7</v>
      </c>
      <c r="IA1093" s="19">
        <v>11.7</v>
      </c>
      <c r="IB1093" s="19">
        <v>10.7</v>
      </c>
    </row>
    <row r="1094">
      <c r="A1094" s="2" t="s">
        <v>5461</v>
      </c>
      <c r="B1094" s="2" t="s">
        <v>279</v>
      </c>
      <c r="C1094" s="2" t="s">
        <v>223</v>
      </c>
      <c r="D1094" s="2" t="s">
        <v>281</v>
      </c>
      <c r="E1094" s="2" t="s">
        <v>282</v>
      </c>
      <c r="F1094" s="2" t="s">
        <v>5452</v>
      </c>
      <c r="G1094" s="2" t="s">
        <v>5452</v>
      </c>
      <c r="H1094" s="2" t="s">
        <v>5452</v>
      </c>
      <c r="I1094" s="2" t="s">
        <v>345</v>
      </c>
      <c r="J1094" s="2" t="s">
        <v>256</v>
      </c>
      <c r="K1094" s="2" t="s">
        <v>434</v>
      </c>
      <c r="L1094" s="3">
        <v>21.5</v>
      </c>
      <c r="M1094" s="3">
        <v>22.58</v>
      </c>
      <c r="N1094" s="3">
        <v>42.99</v>
      </c>
      <c r="O1094" s="2" t="s">
        <v>230</v>
      </c>
      <c r="P1094" s="2" t="s">
        <v>231</v>
      </c>
      <c r="Q1094" s="2" t="s">
        <v>232</v>
      </c>
      <c r="R1094" s="2" t="s">
        <v>233</v>
      </c>
      <c r="S1094" s="2" t="s">
        <v>5453</v>
      </c>
      <c r="T1094" s="2" t="s">
        <v>5454</v>
      </c>
      <c r="U1094" s="2" t="s">
        <v>233</v>
      </c>
      <c r="V1094" s="2" t="s">
        <v>236</v>
      </c>
      <c r="W1094" s="2" t="s">
        <v>237</v>
      </c>
      <c r="X1094" s="2" t="s">
        <v>233</v>
      </c>
      <c r="Y1094" s="2" t="s">
        <v>5317</v>
      </c>
      <c r="Z1094" s="4">
        <v>47</v>
      </c>
      <c r="AA1094" s="4">
        <f>=ROUNDDOWN(5.875,0)</f>
      </c>
      <c r="AB1094" s="5">
        <v>8</v>
      </c>
      <c r="AC1094" s="2" t="s">
        <v>139</v>
      </c>
      <c r="AD1094" s="4">
        <v>190</v>
      </c>
      <c r="AE1094" s="4">
        <v>190</v>
      </c>
      <c r="AF1094" s="6">
        <v>66</v>
      </c>
      <c r="AG1094" s="6"/>
      <c r="AH1094" s="7">
        <v>1</v>
      </c>
      <c r="AI1094" s="4"/>
      <c r="AJ1094" s="4">
        <f>=ROUNDDOWN({0},0)</f>
      </c>
      <c r="AK1094" s="5"/>
      <c r="AL1094" s="2" t="s">
        <v>233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233</v>
      </c>
      <c r="AW1094" s="8" t="s">
        <v>233</v>
      </c>
      <c r="AX1094" s="4" t="s">
        <v>233</v>
      </c>
      <c r="AY1094" s="8" t="s">
        <v>233</v>
      </c>
      <c r="AZ1094" s="7" t="s">
        <v>233</v>
      </c>
      <c r="BA1094" s="7" t="s">
        <v>233</v>
      </c>
      <c r="BB1094" s="7"/>
      <c r="BC1094" s="4" t="s">
        <v>233</v>
      </c>
      <c r="BD1094" s="8" t="s">
        <v>233</v>
      </c>
      <c r="BE1094" s="4" t="s">
        <v>233</v>
      </c>
      <c r="BF1094" s="8" t="s">
        <v>233</v>
      </c>
      <c r="BG1094" s="7" t="s">
        <v>233</v>
      </c>
      <c r="BH1094" s="7" t="s">
        <v>233</v>
      </c>
      <c r="BI1094" s="7"/>
      <c r="BJ1094" s="4">
        <v>35</v>
      </c>
      <c r="BK1094" s="8">
        <v>785.5</v>
      </c>
      <c r="BL1094" s="2" t="s">
        <v>5462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5456</v>
      </c>
      <c r="BV1094" s="2" t="s">
        <v>233</v>
      </c>
      <c r="BW1094" s="2" t="s">
        <v>233</v>
      </c>
      <c r="BX1094" s="2" t="s">
        <v>241</v>
      </c>
      <c r="BY1094" s="2" t="s">
        <v>242</v>
      </c>
      <c r="BZ1094" s="2" t="s">
        <v>230</v>
      </c>
      <c r="CA1094" s="2" t="s">
        <v>5457</v>
      </c>
      <c r="CB1094" s="2" t="s">
        <v>3000</v>
      </c>
      <c r="CC1094" s="2" t="s">
        <v>245</v>
      </c>
      <c r="CD1094" s="2" t="s">
        <v>233</v>
      </c>
      <c r="CE1094" s="4">
        <v>47</v>
      </c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>
        <v>190</v>
      </c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>
        <v>50</v>
      </c>
      <c r="GD1094" s="4">
        <v>43</v>
      </c>
      <c r="GE1094" s="4">
        <v>225</v>
      </c>
      <c r="GF1094" s="4">
        <v>215</v>
      </c>
      <c r="GG1094" s="4">
        <v>195</v>
      </c>
      <c r="GH1094" s="4">
        <v>177</v>
      </c>
      <c r="GI1094" s="4">
        <v>161</v>
      </c>
      <c r="GJ1094" s="4">
        <v>153</v>
      </c>
      <c r="GK1094" s="4">
        <v>147</v>
      </c>
      <c r="GL1094" s="4">
        <v>139</v>
      </c>
      <c r="GM1094" s="4">
        <v>131</v>
      </c>
      <c r="GN1094" s="4">
        <v>123</v>
      </c>
      <c r="GO1094" s="4">
        <v>115</v>
      </c>
      <c r="GP1094" s="4">
        <v>107</v>
      </c>
      <c r="GQ1094" s="4">
        <v>99</v>
      </c>
      <c r="GR1094" s="4">
        <v>91</v>
      </c>
      <c r="GS1094" s="4">
        <v>83</v>
      </c>
      <c r="GT1094" s="4">
        <v>75</v>
      </c>
      <c r="GU1094" s="4">
        <v>67</v>
      </c>
      <c r="GV1094" s="4">
        <v>59</v>
      </c>
      <c r="GW1094" s="4">
        <v>51</v>
      </c>
      <c r="GX1094" s="4">
        <v>43</v>
      </c>
      <c r="GY1094" s="4">
        <v>35</v>
      </c>
      <c r="GZ1094" s="4">
        <v>27</v>
      </c>
      <c r="HA1094" s="4">
        <v>19</v>
      </c>
      <c r="HB1094" s="4">
        <v>11</v>
      </c>
      <c r="HC1094" s="19">
        <v>4.5</v>
      </c>
      <c r="HD1094" s="19">
        <v>3.1</v>
      </c>
      <c r="HE1094" s="19">
        <v>14.1</v>
      </c>
      <c r="HF1094" s="19">
        <v>13.4</v>
      </c>
      <c r="HG1094" s="19">
        <v>16.3</v>
      </c>
      <c r="HH1094" s="19">
        <v>17.7</v>
      </c>
      <c r="HI1094" s="19">
        <v>20.1</v>
      </c>
      <c r="HJ1094" s="19">
        <v>19.1</v>
      </c>
      <c r="HK1094" s="19">
        <v>18.4</v>
      </c>
      <c r="HL1094" s="19">
        <v>17.4</v>
      </c>
      <c r="HM1094" s="19">
        <v>16.4</v>
      </c>
      <c r="HN1094" s="19">
        <v>15.4</v>
      </c>
      <c r="HO1094" s="19">
        <v>14.4</v>
      </c>
      <c r="HP1094" s="19">
        <v>13.4</v>
      </c>
      <c r="HQ1094" s="19">
        <v>12.4</v>
      </c>
      <c r="HR1094" s="19">
        <v>11.4</v>
      </c>
      <c r="HS1094" s="19">
        <v>10.4</v>
      </c>
      <c r="HT1094" s="19">
        <v>9.4</v>
      </c>
      <c r="HU1094" s="19">
        <v>8.4</v>
      </c>
      <c r="HV1094" s="19">
        <v>7.4</v>
      </c>
      <c r="HW1094" s="19">
        <v>6.4</v>
      </c>
      <c r="HX1094" s="19">
        <v>5.4</v>
      </c>
      <c r="HY1094" s="19">
        <v>4.4</v>
      </c>
      <c r="HZ1094" s="19">
        <v>3.4</v>
      </c>
      <c r="IA1094" s="19">
        <v>2.4</v>
      </c>
      <c r="IB1094" s="19">
        <v>1.4</v>
      </c>
    </row>
    <row r="1095">
      <c r="A1095" s="2" t="s">
        <v>5463</v>
      </c>
      <c r="B1095" s="2" t="s">
        <v>279</v>
      </c>
      <c r="C1095" s="2" t="s">
        <v>223</v>
      </c>
      <c r="D1095" s="2" t="s">
        <v>281</v>
      </c>
      <c r="E1095" s="2" t="s">
        <v>282</v>
      </c>
      <c r="F1095" s="2" t="s">
        <v>5452</v>
      </c>
      <c r="G1095" s="2" t="s">
        <v>5452</v>
      </c>
      <c r="H1095" s="2" t="s">
        <v>5452</v>
      </c>
      <c r="I1095" s="2" t="s">
        <v>345</v>
      </c>
      <c r="J1095" s="2" t="s">
        <v>228</v>
      </c>
      <c r="K1095" s="2" t="s">
        <v>300</v>
      </c>
      <c r="L1095" s="3">
        <v>16.5</v>
      </c>
      <c r="M1095" s="3">
        <v>17.32</v>
      </c>
      <c r="N1095" s="3">
        <v>32.99</v>
      </c>
      <c r="O1095" s="2" t="s">
        <v>230</v>
      </c>
      <c r="P1095" s="2" t="s">
        <v>231</v>
      </c>
      <c r="Q1095" s="2" t="s">
        <v>232</v>
      </c>
      <c r="R1095" s="2" t="s">
        <v>233</v>
      </c>
      <c r="S1095" s="2" t="s">
        <v>5464</v>
      </c>
      <c r="T1095" s="2" t="s">
        <v>5454</v>
      </c>
      <c r="U1095" s="2" t="s">
        <v>233</v>
      </c>
      <c r="V1095" s="2" t="s">
        <v>236</v>
      </c>
      <c r="W1095" s="2" t="s">
        <v>237</v>
      </c>
      <c r="X1095" s="2" t="s">
        <v>233</v>
      </c>
      <c r="Y1095" s="2" t="s">
        <v>238</v>
      </c>
      <c r="Z1095" s="4">
        <v>210</v>
      </c>
      <c r="AA1095" s="4">
        <f>=ROUNDDOWN(17.5,0)</f>
      </c>
      <c r="AB1095" s="5">
        <v>12</v>
      </c>
      <c r="AC1095" s="2" t="s">
        <v>152</v>
      </c>
      <c r="AD1095" s="4">
        <v>180</v>
      </c>
      <c r="AE1095" s="4">
        <v>180</v>
      </c>
      <c r="AF1095" s="6">
        <v>66</v>
      </c>
      <c r="AG1095" s="6"/>
      <c r="AH1095" s="7">
        <v>1</v>
      </c>
      <c r="AI1095" s="4"/>
      <c r="AJ1095" s="4">
        <f>=ROUNDDOWN({0},0)</f>
      </c>
      <c r="AK1095" s="5"/>
      <c r="AL1095" s="2" t="s">
        <v>233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233</v>
      </c>
      <c r="AW1095" s="8" t="s">
        <v>233</v>
      </c>
      <c r="AX1095" s="4" t="s">
        <v>233</v>
      </c>
      <c r="AY1095" s="8" t="s">
        <v>233</v>
      </c>
      <c r="AZ1095" s="7" t="s">
        <v>233</v>
      </c>
      <c r="BA1095" s="7" t="s">
        <v>233</v>
      </c>
      <c r="BB1095" s="7"/>
      <c r="BC1095" s="4" t="s">
        <v>233</v>
      </c>
      <c r="BD1095" s="8" t="s">
        <v>233</v>
      </c>
      <c r="BE1095" s="4" t="s">
        <v>233</v>
      </c>
      <c r="BF1095" s="8" t="s">
        <v>233</v>
      </c>
      <c r="BG1095" s="7" t="s">
        <v>233</v>
      </c>
      <c r="BH1095" s="7" t="s">
        <v>233</v>
      </c>
      <c r="BI1095" s="7"/>
      <c r="BJ1095" s="4">
        <v>8</v>
      </c>
      <c r="BK1095" s="8">
        <v>128.59</v>
      </c>
      <c r="BL1095" s="2" t="s">
        <v>3534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5456</v>
      </c>
      <c r="BV1095" s="2" t="s">
        <v>233</v>
      </c>
      <c r="BW1095" s="2" t="s">
        <v>233</v>
      </c>
      <c r="BX1095" s="2" t="s">
        <v>241</v>
      </c>
      <c r="BY1095" s="2" t="s">
        <v>242</v>
      </c>
      <c r="BZ1095" s="2" t="s">
        <v>230</v>
      </c>
      <c r="CA1095" s="2" t="s">
        <v>5457</v>
      </c>
      <c r="CB1095" s="2" t="s">
        <v>3678</v>
      </c>
      <c r="CC1095" s="2" t="s">
        <v>245</v>
      </c>
      <c r="CD1095" s="2" t="s">
        <v>233</v>
      </c>
      <c r="CE1095" s="4">
        <v>210</v>
      </c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>
        <v>180</v>
      </c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>
        <v>211</v>
      </c>
      <c r="GD1095" s="4">
        <v>150</v>
      </c>
      <c r="GE1095" s="4">
        <v>137</v>
      </c>
      <c r="GF1095" s="4">
        <v>123</v>
      </c>
      <c r="GG1095" s="4">
        <v>281</v>
      </c>
      <c r="GH1095" s="4">
        <v>260</v>
      </c>
      <c r="GI1095" s="4">
        <v>241</v>
      </c>
      <c r="GJ1095" s="4">
        <v>228</v>
      </c>
      <c r="GK1095" s="4">
        <v>217</v>
      </c>
      <c r="GL1095" s="4">
        <v>205</v>
      </c>
      <c r="GM1095" s="4">
        <v>193</v>
      </c>
      <c r="GN1095" s="4">
        <v>181</v>
      </c>
      <c r="GO1095" s="4">
        <v>169</v>
      </c>
      <c r="GP1095" s="4">
        <v>157</v>
      </c>
      <c r="GQ1095" s="4">
        <v>145</v>
      </c>
      <c r="GR1095" s="4">
        <v>133</v>
      </c>
      <c r="GS1095" s="4">
        <v>121</v>
      </c>
      <c r="GT1095" s="4">
        <v>109</v>
      </c>
      <c r="GU1095" s="4">
        <v>97</v>
      </c>
      <c r="GV1095" s="4">
        <v>85</v>
      </c>
      <c r="GW1095" s="4">
        <v>73</v>
      </c>
      <c r="GX1095" s="4">
        <v>61</v>
      </c>
      <c r="GY1095" s="4">
        <v>49</v>
      </c>
      <c r="GZ1095" s="4">
        <v>37</v>
      </c>
      <c r="HA1095" s="4">
        <v>25</v>
      </c>
      <c r="HB1095" s="4">
        <v>13</v>
      </c>
      <c r="HC1095" s="19">
        <v>7.5</v>
      </c>
      <c r="HD1095" s="19">
        <v>8.3</v>
      </c>
      <c r="HE1095" s="19">
        <v>7.2</v>
      </c>
      <c r="HF1095" s="19">
        <v>6.5</v>
      </c>
      <c r="HG1095" s="19">
        <v>17.6</v>
      </c>
      <c r="HH1095" s="19">
        <v>18.6</v>
      </c>
      <c r="HI1095" s="19">
        <v>20.1</v>
      </c>
      <c r="HJ1095" s="19">
        <v>19</v>
      </c>
      <c r="HK1095" s="19">
        <v>18.1</v>
      </c>
      <c r="HL1095" s="19">
        <v>17.1</v>
      </c>
      <c r="HM1095" s="19">
        <v>16.1</v>
      </c>
      <c r="HN1095" s="19">
        <v>15.1</v>
      </c>
      <c r="HO1095" s="19">
        <v>14.1</v>
      </c>
      <c r="HP1095" s="19">
        <v>13.1</v>
      </c>
      <c r="HQ1095" s="19">
        <v>12.1</v>
      </c>
      <c r="HR1095" s="19">
        <v>11.1</v>
      </c>
      <c r="HS1095" s="19">
        <v>10.1</v>
      </c>
      <c r="HT1095" s="19">
        <v>9.1</v>
      </c>
      <c r="HU1095" s="19">
        <v>8.1</v>
      </c>
      <c r="HV1095" s="19">
        <v>7.1</v>
      </c>
      <c r="HW1095" s="19">
        <v>6.1</v>
      </c>
      <c r="HX1095" s="19">
        <v>5.1</v>
      </c>
      <c r="HY1095" s="19">
        <v>4.1</v>
      </c>
      <c r="HZ1095" s="19">
        <v>3.1</v>
      </c>
      <c r="IA1095" s="19">
        <v>2.1</v>
      </c>
      <c r="IB1095" s="19">
        <v>1</v>
      </c>
    </row>
    <row r="1096">
      <c r="A1096" s="2" t="s">
        <v>5465</v>
      </c>
      <c r="B1096" s="2" t="s">
        <v>279</v>
      </c>
      <c r="C1096" s="2" t="s">
        <v>223</v>
      </c>
      <c r="D1096" s="2" t="s">
        <v>281</v>
      </c>
      <c r="E1096" s="2" t="s">
        <v>282</v>
      </c>
      <c r="F1096" s="2" t="s">
        <v>5452</v>
      </c>
      <c r="G1096" s="2" t="s">
        <v>5452</v>
      </c>
      <c r="H1096" s="2" t="s">
        <v>5452</v>
      </c>
      <c r="I1096" s="2" t="s">
        <v>345</v>
      </c>
      <c r="J1096" s="2" t="s">
        <v>252</v>
      </c>
      <c r="K1096" s="2" t="s">
        <v>300</v>
      </c>
      <c r="L1096" s="3">
        <v>16.5</v>
      </c>
      <c r="M1096" s="3">
        <v>17.32</v>
      </c>
      <c r="N1096" s="3">
        <v>32.99</v>
      </c>
      <c r="O1096" s="2" t="s">
        <v>230</v>
      </c>
      <c r="P1096" s="2" t="s">
        <v>231</v>
      </c>
      <c r="Q1096" s="2" t="s">
        <v>232</v>
      </c>
      <c r="R1096" s="2" t="s">
        <v>233</v>
      </c>
      <c r="S1096" s="2" t="s">
        <v>5464</v>
      </c>
      <c r="T1096" s="2" t="s">
        <v>5454</v>
      </c>
      <c r="U1096" s="2" t="s">
        <v>233</v>
      </c>
      <c r="V1096" s="2" t="s">
        <v>236</v>
      </c>
      <c r="W1096" s="2" t="s">
        <v>237</v>
      </c>
      <c r="X1096" s="2" t="s">
        <v>233</v>
      </c>
      <c r="Y1096" s="2" t="s">
        <v>5317</v>
      </c>
      <c r="Z1096" s="4">
        <v>364</v>
      </c>
      <c r="AA1096" s="4">
        <f>=ROUNDDOWN(30.3333333333333,0)</f>
      </c>
      <c r="AB1096" s="5">
        <v>12</v>
      </c>
      <c r="AC1096" s="2" t="s">
        <v>152</v>
      </c>
      <c r="AD1096" s="4">
        <v>190</v>
      </c>
      <c r="AE1096" s="4">
        <v>190</v>
      </c>
      <c r="AF1096" s="6">
        <v>66</v>
      </c>
      <c r="AG1096" s="6"/>
      <c r="AH1096" s="7">
        <v>1</v>
      </c>
      <c r="AI1096" s="4"/>
      <c r="AJ1096" s="4">
        <f>=ROUNDDOWN({0},0)</f>
      </c>
      <c r="AK1096" s="5"/>
      <c r="AL1096" s="2" t="s">
        <v>233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233</v>
      </c>
      <c r="AW1096" s="8" t="s">
        <v>233</v>
      </c>
      <c r="AX1096" s="4" t="s">
        <v>233</v>
      </c>
      <c r="AY1096" s="8" t="s">
        <v>233</v>
      </c>
      <c r="AZ1096" s="7" t="s">
        <v>233</v>
      </c>
      <c r="BA1096" s="7" t="s">
        <v>233</v>
      </c>
      <c r="BB1096" s="7"/>
      <c r="BC1096" s="4" t="s">
        <v>233</v>
      </c>
      <c r="BD1096" s="8" t="s">
        <v>233</v>
      </c>
      <c r="BE1096" s="4" t="s">
        <v>233</v>
      </c>
      <c r="BF1096" s="8" t="s">
        <v>233</v>
      </c>
      <c r="BG1096" s="7" t="s">
        <v>233</v>
      </c>
      <c r="BH1096" s="7" t="s">
        <v>233</v>
      </c>
      <c r="BI1096" s="7"/>
      <c r="BJ1096" s="4">
        <v>39</v>
      </c>
      <c r="BK1096" s="8">
        <v>628.91</v>
      </c>
      <c r="BL1096" s="2" t="s">
        <v>1874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5456</v>
      </c>
      <c r="BV1096" s="2" t="s">
        <v>233</v>
      </c>
      <c r="BW1096" s="2" t="s">
        <v>233</v>
      </c>
      <c r="BX1096" s="2" t="s">
        <v>241</v>
      </c>
      <c r="BY1096" s="2" t="s">
        <v>242</v>
      </c>
      <c r="BZ1096" s="2" t="s">
        <v>230</v>
      </c>
      <c r="CA1096" s="2" t="s">
        <v>5457</v>
      </c>
      <c r="CB1096" s="2" t="s">
        <v>993</v>
      </c>
      <c r="CC1096" s="2" t="s">
        <v>245</v>
      </c>
      <c r="CD1096" s="2" t="s">
        <v>233</v>
      </c>
      <c r="CE1096" s="4">
        <v>364</v>
      </c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>
        <v>190</v>
      </c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>
        <v>371</v>
      </c>
      <c r="GD1096" s="4">
        <v>324</v>
      </c>
      <c r="GE1096" s="4">
        <v>296</v>
      </c>
      <c r="GF1096" s="4">
        <v>282</v>
      </c>
      <c r="GG1096" s="4">
        <v>450</v>
      </c>
      <c r="GH1096" s="4">
        <v>429</v>
      </c>
      <c r="GI1096" s="4">
        <v>410</v>
      </c>
      <c r="GJ1096" s="4">
        <v>382</v>
      </c>
      <c r="GK1096" s="4">
        <v>377</v>
      </c>
      <c r="GL1096" s="4">
        <v>371</v>
      </c>
      <c r="GM1096" s="4">
        <v>362</v>
      </c>
      <c r="GN1096" s="4">
        <v>350</v>
      </c>
      <c r="GO1096" s="4">
        <v>338</v>
      </c>
      <c r="GP1096" s="4">
        <v>326</v>
      </c>
      <c r="GQ1096" s="4">
        <v>314</v>
      </c>
      <c r="GR1096" s="4">
        <v>302</v>
      </c>
      <c r="GS1096" s="4">
        <v>290</v>
      </c>
      <c r="GT1096" s="4">
        <v>278</v>
      </c>
      <c r="GU1096" s="4">
        <v>266</v>
      </c>
      <c r="GV1096" s="4">
        <v>254</v>
      </c>
      <c r="GW1096" s="4">
        <v>242</v>
      </c>
      <c r="GX1096" s="4">
        <v>230</v>
      </c>
      <c r="GY1096" s="4">
        <v>218</v>
      </c>
      <c r="GZ1096" s="4">
        <v>206</v>
      </c>
      <c r="HA1096" s="4">
        <v>194</v>
      </c>
      <c r="HB1096" s="4">
        <v>182</v>
      </c>
      <c r="HC1096" s="19">
        <v>13.3</v>
      </c>
      <c r="HD1096" s="19">
        <v>15.4</v>
      </c>
      <c r="HE1096" s="19">
        <v>15.6</v>
      </c>
      <c r="HF1096" s="19">
        <v>12.8</v>
      </c>
      <c r="HG1096" s="19">
        <v>25</v>
      </c>
      <c r="HH1096" s="19">
        <v>30.6</v>
      </c>
      <c r="HI1096" s="19">
        <v>34.2</v>
      </c>
      <c r="HJ1096" s="19">
        <v>47.8</v>
      </c>
      <c r="HK1096" s="19">
        <v>37.7</v>
      </c>
      <c r="HL1096" s="19">
        <v>33.7</v>
      </c>
      <c r="HM1096" s="19">
        <v>30.2</v>
      </c>
      <c r="HN1096" s="19">
        <v>29.2</v>
      </c>
      <c r="HO1096" s="19">
        <v>28.2</v>
      </c>
      <c r="HP1096" s="19">
        <v>27.2</v>
      </c>
      <c r="HQ1096" s="19">
        <v>26.2</v>
      </c>
      <c r="HR1096" s="19">
        <v>25.2</v>
      </c>
      <c r="HS1096" s="19">
        <v>24.2</v>
      </c>
      <c r="HT1096" s="19">
        <v>23.2</v>
      </c>
      <c r="HU1096" s="19">
        <v>22.2</v>
      </c>
      <c r="HV1096" s="19">
        <v>21.2</v>
      </c>
      <c r="HW1096" s="19">
        <v>20.2</v>
      </c>
      <c r="HX1096" s="19">
        <v>19.2</v>
      </c>
      <c r="HY1096" s="19">
        <v>18.2</v>
      </c>
      <c r="HZ1096" s="19">
        <v>17.2</v>
      </c>
      <c r="IA1096" s="19">
        <v>16.2</v>
      </c>
      <c r="IB1096" s="19">
        <v>14</v>
      </c>
    </row>
    <row r="1097">
      <c r="A1097" s="2" t="s">
        <v>5466</v>
      </c>
      <c r="B1097" s="2" t="s">
        <v>279</v>
      </c>
      <c r="C1097" s="2" t="s">
        <v>223</v>
      </c>
      <c r="D1097" s="2" t="s">
        <v>281</v>
      </c>
      <c r="E1097" s="2" t="s">
        <v>282</v>
      </c>
      <c r="F1097" s="2" t="s">
        <v>5452</v>
      </c>
      <c r="G1097" s="2" t="s">
        <v>5452</v>
      </c>
      <c r="H1097" s="2" t="s">
        <v>5452</v>
      </c>
      <c r="I1097" s="2" t="s">
        <v>345</v>
      </c>
      <c r="J1097" s="2" t="s">
        <v>336</v>
      </c>
      <c r="K1097" s="2" t="s">
        <v>300</v>
      </c>
      <c r="L1097" s="3">
        <v>19</v>
      </c>
      <c r="M1097" s="3">
        <v>19.95</v>
      </c>
      <c r="N1097" s="3">
        <v>37.99</v>
      </c>
      <c r="O1097" s="2" t="s">
        <v>230</v>
      </c>
      <c r="P1097" s="2" t="s">
        <v>231</v>
      </c>
      <c r="Q1097" s="2" t="s">
        <v>232</v>
      </c>
      <c r="R1097" s="2" t="s">
        <v>233</v>
      </c>
      <c r="S1097" s="2" t="s">
        <v>5464</v>
      </c>
      <c r="T1097" s="2" t="s">
        <v>5454</v>
      </c>
      <c r="U1097" s="2" t="s">
        <v>233</v>
      </c>
      <c r="V1097" s="2" t="s">
        <v>236</v>
      </c>
      <c r="W1097" s="2" t="s">
        <v>237</v>
      </c>
      <c r="X1097" s="2" t="s">
        <v>233</v>
      </c>
      <c r="Y1097" s="2" t="s">
        <v>5317</v>
      </c>
      <c r="Z1097" s="4">
        <v>531</v>
      </c>
      <c r="AA1097" s="4">
        <f>=ROUNDDOWN(35.4,0)</f>
      </c>
      <c r="AB1097" s="5">
        <v>15</v>
      </c>
      <c r="AC1097" s="2" t="s">
        <v>233</v>
      </c>
      <c r="AD1097" s="4"/>
      <c r="AE1097" s="4"/>
      <c r="AF1097" s="6">
        <v>66</v>
      </c>
      <c r="AG1097" s="6"/>
      <c r="AH1097" s="7">
        <v>1</v>
      </c>
      <c r="AI1097" s="4"/>
      <c r="AJ1097" s="4">
        <f>=ROUNDDOWN({0},0)</f>
      </c>
      <c r="AK1097" s="5"/>
      <c r="AL1097" s="2" t="s">
        <v>233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233</v>
      </c>
      <c r="AW1097" s="8" t="s">
        <v>233</v>
      </c>
      <c r="AX1097" s="4" t="s">
        <v>233</v>
      </c>
      <c r="AY1097" s="8" t="s">
        <v>233</v>
      </c>
      <c r="AZ1097" s="7" t="s">
        <v>233</v>
      </c>
      <c r="BA1097" s="7" t="s">
        <v>233</v>
      </c>
      <c r="BB1097" s="7"/>
      <c r="BC1097" s="4" t="s">
        <v>233</v>
      </c>
      <c r="BD1097" s="8" t="s">
        <v>233</v>
      </c>
      <c r="BE1097" s="4" t="s">
        <v>233</v>
      </c>
      <c r="BF1097" s="8" t="s">
        <v>233</v>
      </c>
      <c r="BG1097" s="7" t="s">
        <v>233</v>
      </c>
      <c r="BH1097" s="7" t="s">
        <v>233</v>
      </c>
      <c r="BI1097" s="7"/>
      <c r="BJ1097" s="4">
        <v>67</v>
      </c>
      <c r="BK1097" s="8">
        <v>1349.18</v>
      </c>
      <c r="BL1097" s="2" t="s">
        <v>5467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5456</v>
      </c>
      <c r="BV1097" s="2" t="s">
        <v>233</v>
      </c>
      <c r="BW1097" s="2" t="s">
        <v>233</v>
      </c>
      <c r="BX1097" s="2" t="s">
        <v>241</v>
      </c>
      <c r="BY1097" s="2" t="s">
        <v>242</v>
      </c>
      <c r="BZ1097" s="2" t="s">
        <v>230</v>
      </c>
      <c r="CA1097" s="2" t="s">
        <v>5457</v>
      </c>
      <c r="CB1097" s="2" t="s">
        <v>4254</v>
      </c>
      <c r="CC1097" s="2" t="s">
        <v>245</v>
      </c>
      <c r="CD1097" s="2" t="s">
        <v>233</v>
      </c>
      <c r="CE1097" s="4">
        <v>531</v>
      </c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>
        <v>537</v>
      </c>
      <c r="GD1097" s="4">
        <v>526</v>
      </c>
      <c r="GE1097" s="4">
        <v>513</v>
      </c>
      <c r="GF1097" s="4">
        <v>496</v>
      </c>
      <c r="GG1097" s="4">
        <v>461</v>
      </c>
      <c r="GH1097" s="4">
        <v>428</v>
      </c>
      <c r="GI1097" s="4">
        <v>400</v>
      </c>
      <c r="GJ1097" s="4">
        <v>384</v>
      </c>
      <c r="GK1097" s="4">
        <v>371</v>
      </c>
      <c r="GL1097" s="4">
        <v>356</v>
      </c>
      <c r="GM1097" s="4">
        <v>341</v>
      </c>
      <c r="GN1097" s="4">
        <v>326</v>
      </c>
      <c r="GO1097" s="4">
        <v>311</v>
      </c>
      <c r="GP1097" s="4">
        <v>296</v>
      </c>
      <c r="GQ1097" s="4">
        <v>281</v>
      </c>
      <c r="GR1097" s="4">
        <v>266</v>
      </c>
      <c r="GS1097" s="4">
        <v>251</v>
      </c>
      <c r="GT1097" s="4">
        <v>236</v>
      </c>
      <c r="GU1097" s="4">
        <v>221</v>
      </c>
      <c r="GV1097" s="4">
        <v>206</v>
      </c>
      <c r="GW1097" s="4">
        <v>191</v>
      </c>
      <c r="GX1097" s="4">
        <v>176</v>
      </c>
      <c r="GY1097" s="4">
        <v>161</v>
      </c>
      <c r="GZ1097" s="4">
        <v>146</v>
      </c>
      <c r="HA1097" s="4">
        <v>131</v>
      </c>
      <c r="HB1097" s="4">
        <v>116</v>
      </c>
      <c r="HC1097" s="19">
        <v>28.3</v>
      </c>
      <c r="HD1097" s="19">
        <v>21.9</v>
      </c>
      <c r="HE1097" s="19">
        <v>18.3</v>
      </c>
      <c r="HF1097" s="19">
        <v>17.7</v>
      </c>
      <c r="HG1097" s="19">
        <v>21</v>
      </c>
      <c r="HH1097" s="19">
        <v>23.8</v>
      </c>
      <c r="HI1097" s="19">
        <v>26.7</v>
      </c>
      <c r="HJ1097" s="19">
        <v>27.4</v>
      </c>
      <c r="HK1097" s="19">
        <v>24.7</v>
      </c>
      <c r="HL1097" s="19">
        <v>23.7</v>
      </c>
      <c r="HM1097" s="19">
        <v>22.7</v>
      </c>
      <c r="HN1097" s="19">
        <v>21.7</v>
      </c>
      <c r="HO1097" s="19">
        <v>20.7</v>
      </c>
      <c r="HP1097" s="19">
        <v>19.7</v>
      </c>
      <c r="HQ1097" s="19">
        <v>18.7</v>
      </c>
      <c r="HR1097" s="19">
        <v>17.7</v>
      </c>
      <c r="HS1097" s="19">
        <v>16.7</v>
      </c>
      <c r="HT1097" s="19">
        <v>15.7</v>
      </c>
      <c r="HU1097" s="19">
        <v>14.7</v>
      </c>
      <c r="HV1097" s="19">
        <v>13.7</v>
      </c>
      <c r="HW1097" s="19">
        <v>12.7</v>
      </c>
      <c r="HX1097" s="19">
        <v>11.7</v>
      </c>
      <c r="HY1097" s="19">
        <v>10.7</v>
      </c>
      <c r="HZ1097" s="19">
        <v>9.7</v>
      </c>
      <c r="IA1097" s="19">
        <v>8.7</v>
      </c>
      <c r="IB1097" s="19">
        <v>7.3</v>
      </c>
    </row>
    <row r="1098">
      <c r="A1098" s="2" t="s">
        <v>5468</v>
      </c>
      <c r="B1098" s="2" t="s">
        <v>279</v>
      </c>
      <c r="C1098" s="2" t="s">
        <v>223</v>
      </c>
      <c r="D1098" s="2" t="s">
        <v>281</v>
      </c>
      <c r="E1098" s="2" t="s">
        <v>282</v>
      </c>
      <c r="F1098" s="2" t="s">
        <v>5452</v>
      </c>
      <c r="G1098" s="2" t="s">
        <v>5452</v>
      </c>
      <c r="H1098" s="2" t="s">
        <v>5452</v>
      </c>
      <c r="I1098" s="2" t="s">
        <v>345</v>
      </c>
      <c r="J1098" s="2" t="s">
        <v>256</v>
      </c>
      <c r="K1098" s="2" t="s">
        <v>300</v>
      </c>
      <c r="L1098" s="3">
        <v>21.5</v>
      </c>
      <c r="M1098" s="3">
        <v>22.58</v>
      </c>
      <c r="N1098" s="3">
        <v>42.99</v>
      </c>
      <c r="O1098" s="2" t="s">
        <v>230</v>
      </c>
      <c r="P1098" s="2" t="s">
        <v>231</v>
      </c>
      <c r="Q1098" s="2" t="s">
        <v>232</v>
      </c>
      <c r="R1098" s="2" t="s">
        <v>233</v>
      </c>
      <c r="S1098" s="2" t="s">
        <v>5464</v>
      </c>
      <c r="T1098" s="2" t="s">
        <v>5454</v>
      </c>
      <c r="U1098" s="2" t="s">
        <v>233</v>
      </c>
      <c r="V1098" s="2" t="s">
        <v>236</v>
      </c>
      <c r="W1098" s="2" t="s">
        <v>237</v>
      </c>
      <c r="X1098" s="2" t="s">
        <v>233</v>
      </c>
      <c r="Y1098" s="2" t="s">
        <v>5317</v>
      </c>
      <c r="Z1098" s="4">
        <v>427</v>
      </c>
      <c r="AA1098" s="4">
        <f>=ROUNDDOWN(26.6875,0)</f>
      </c>
      <c r="AB1098" s="5">
        <v>16</v>
      </c>
      <c r="AC1098" s="2" t="s">
        <v>152</v>
      </c>
      <c r="AD1098" s="4">
        <v>40</v>
      </c>
      <c r="AE1098" s="4">
        <v>40</v>
      </c>
      <c r="AF1098" s="6">
        <v>66</v>
      </c>
      <c r="AG1098" s="6"/>
      <c r="AH1098" s="7">
        <v>1</v>
      </c>
      <c r="AI1098" s="4"/>
      <c r="AJ1098" s="4">
        <f>=ROUNDDOWN({0},0)</f>
      </c>
      <c r="AK1098" s="5"/>
      <c r="AL1098" s="2" t="s">
        <v>233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233</v>
      </c>
      <c r="AW1098" s="8" t="s">
        <v>233</v>
      </c>
      <c r="AX1098" s="4" t="s">
        <v>233</v>
      </c>
      <c r="AY1098" s="8" t="s">
        <v>233</v>
      </c>
      <c r="AZ1098" s="7" t="s">
        <v>233</v>
      </c>
      <c r="BA1098" s="7" t="s">
        <v>233</v>
      </c>
      <c r="BB1098" s="7"/>
      <c r="BC1098" s="4" t="s">
        <v>233</v>
      </c>
      <c r="BD1098" s="8" t="s">
        <v>233</v>
      </c>
      <c r="BE1098" s="4" t="s">
        <v>233</v>
      </c>
      <c r="BF1098" s="8" t="s">
        <v>233</v>
      </c>
      <c r="BG1098" s="7" t="s">
        <v>233</v>
      </c>
      <c r="BH1098" s="7" t="s">
        <v>233</v>
      </c>
      <c r="BI1098" s="7"/>
      <c r="BJ1098" s="4">
        <v>51</v>
      </c>
      <c r="BK1098" s="8">
        <v>1181.67</v>
      </c>
      <c r="BL1098" s="2" t="s">
        <v>5469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5456</v>
      </c>
      <c r="BV1098" s="2" t="s">
        <v>233</v>
      </c>
      <c r="BW1098" s="2" t="s">
        <v>233</v>
      </c>
      <c r="BX1098" s="2" t="s">
        <v>241</v>
      </c>
      <c r="BY1098" s="2" t="s">
        <v>242</v>
      </c>
      <c r="BZ1098" s="2" t="s">
        <v>230</v>
      </c>
      <c r="CA1098" s="2" t="s">
        <v>5457</v>
      </c>
      <c r="CB1098" s="2" t="s">
        <v>5470</v>
      </c>
      <c r="CC1098" s="2" t="s">
        <v>245</v>
      </c>
      <c r="CD1098" s="2" t="s">
        <v>233</v>
      </c>
      <c r="CE1098" s="4">
        <v>427</v>
      </c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>
        <v>40</v>
      </c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>
        <v>434</v>
      </c>
      <c r="GD1098" s="4">
        <v>384</v>
      </c>
      <c r="GE1098" s="4">
        <v>368</v>
      </c>
      <c r="GF1098" s="4">
        <v>350</v>
      </c>
      <c r="GG1098" s="4">
        <v>359</v>
      </c>
      <c r="GH1098" s="4">
        <v>330</v>
      </c>
      <c r="GI1098" s="4">
        <v>304</v>
      </c>
      <c r="GJ1098" s="4">
        <v>288</v>
      </c>
      <c r="GK1098" s="4">
        <v>274</v>
      </c>
      <c r="GL1098" s="4">
        <v>258</v>
      </c>
      <c r="GM1098" s="4">
        <v>242</v>
      </c>
      <c r="GN1098" s="4">
        <v>226</v>
      </c>
      <c r="GO1098" s="4">
        <v>210</v>
      </c>
      <c r="GP1098" s="4">
        <v>194</v>
      </c>
      <c r="GQ1098" s="4">
        <v>178</v>
      </c>
      <c r="GR1098" s="4">
        <v>162</v>
      </c>
      <c r="GS1098" s="4">
        <v>146</v>
      </c>
      <c r="GT1098" s="4">
        <v>130</v>
      </c>
      <c r="GU1098" s="4">
        <v>114</v>
      </c>
      <c r="GV1098" s="4">
        <v>98</v>
      </c>
      <c r="GW1098" s="4">
        <v>82</v>
      </c>
      <c r="GX1098" s="4">
        <v>66</v>
      </c>
      <c r="GY1098" s="4">
        <v>50</v>
      </c>
      <c r="GZ1098" s="4">
        <v>34</v>
      </c>
      <c r="HA1098" s="4">
        <v>18</v>
      </c>
      <c r="HB1098" s="4">
        <v>2</v>
      </c>
      <c r="HC1098" s="19">
        <v>15</v>
      </c>
      <c r="HD1098" s="19">
        <v>16</v>
      </c>
      <c r="HE1098" s="19">
        <v>14.2</v>
      </c>
      <c r="HF1098" s="19">
        <v>13.5</v>
      </c>
      <c r="HG1098" s="19">
        <v>17.1</v>
      </c>
      <c r="HH1098" s="19">
        <v>18.3</v>
      </c>
      <c r="HI1098" s="19">
        <v>19</v>
      </c>
      <c r="HJ1098" s="19">
        <v>18</v>
      </c>
      <c r="HK1098" s="19">
        <v>17.1</v>
      </c>
      <c r="HL1098" s="19">
        <v>16.1</v>
      </c>
      <c r="HM1098" s="19">
        <v>15.1</v>
      </c>
      <c r="HN1098" s="19">
        <v>14.1</v>
      </c>
      <c r="HO1098" s="19">
        <v>13.1</v>
      </c>
      <c r="HP1098" s="19">
        <v>12.1</v>
      </c>
      <c r="HQ1098" s="19">
        <v>11.1</v>
      </c>
      <c r="HR1098" s="19">
        <v>10.1</v>
      </c>
      <c r="HS1098" s="19">
        <v>9.1</v>
      </c>
      <c r="HT1098" s="19">
        <v>8.1</v>
      </c>
      <c r="HU1098" s="19">
        <v>7.1</v>
      </c>
      <c r="HV1098" s="19">
        <v>6.1</v>
      </c>
      <c r="HW1098" s="19">
        <v>5.1</v>
      </c>
      <c r="HX1098" s="19">
        <v>4.1</v>
      </c>
      <c r="HY1098" s="19">
        <v>3.1</v>
      </c>
      <c r="HZ1098" s="19">
        <v>2.1</v>
      </c>
      <c r="IA1098" s="19">
        <v>1.1</v>
      </c>
      <c r="IB1098" s="19">
        <v>0.1</v>
      </c>
    </row>
    <row r="1099">
      <c r="A1099" s="2" t="s">
        <v>5471</v>
      </c>
      <c r="B1099" s="2" t="s">
        <v>279</v>
      </c>
      <c r="C1099" s="2" t="s">
        <v>223</v>
      </c>
      <c r="D1099" s="2" t="s">
        <v>281</v>
      </c>
      <c r="E1099" s="2" t="s">
        <v>282</v>
      </c>
      <c r="F1099" s="2" t="s">
        <v>5452</v>
      </c>
      <c r="G1099" s="2" t="s">
        <v>5452</v>
      </c>
      <c r="H1099" s="2" t="s">
        <v>5452</v>
      </c>
      <c r="I1099" s="2" t="s">
        <v>345</v>
      </c>
      <c r="J1099" s="2" t="s">
        <v>285</v>
      </c>
      <c r="K1099" s="2" t="s">
        <v>300</v>
      </c>
      <c r="L1099" s="3">
        <v>21.5</v>
      </c>
      <c r="M1099" s="3">
        <v>22.58</v>
      </c>
      <c r="N1099" s="3">
        <v>42.99</v>
      </c>
      <c r="O1099" s="2" t="s">
        <v>230</v>
      </c>
      <c r="P1099" s="2" t="s">
        <v>231</v>
      </c>
      <c r="Q1099" s="2" t="s">
        <v>232</v>
      </c>
      <c r="R1099" s="2" t="s">
        <v>233</v>
      </c>
      <c r="S1099" s="2" t="s">
        <v>5464</v>
      </c>
      <c r="T1099" s="2" t="s">
        <v>5454</v>
      </c>
      <c r="U1099" s="2" t="s">
        <v>233</v>
      </c>
      <c r="V1099" s="2" t="s">
        <v>236</v>
      </c>
      <c r="W1099" s="2" t="s">
        <v>237</v>
      </c>
      <c r="X1099" s="2" t="s">
        <v>233</v>
      </c>
      <c r="Y1099" s="2" t="s">
        <v>5317</v>
      </c>
      <c r="Z1099" s="4">
        <v>88</v>
      </c>
      <c r="AA1099" s="4">
        <f>=ROUNDDOWN(32.5925925925926,0)</f>
      </c>
      <c r="AB1099" s="5">
        <v>2.7</v>
      </c>
      <c r="AC1099" s="2" t="s">
        <v>152</v>
      </c>
      <c r="AD1099" s="4">
        <v>90</v>
      </c>
      <c r="AE1099" s="4">
        <v>90</v>
      </c>
      <c r="AF1099" s="6">
        <v>66</v>
      </c>
      <c r="AG1099" s="6"/>
      <c r="AH1099" s="7">
        <v>1</v>
      </c>
      <c r="AI1099" s="4"/>
      <c r="AJ1099" s="4">
        <f>=ROUNDDOWN({0},0)</f>
      </c>
      <c r="AK1099" s="5"/>
      <c r="AL1099" s="2" t="s">
        <v>233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233</v>
      </c>
      <c r="AW1099" s="8" t="s">
        <v>233</v>
      </c>
      <c r="AX1099" s="4" t="s">
        <v>233</v>
      </c>
      <c r="AY1099" s="8" t="s">
        <v>233</v>
      </c>
      <c r="AZ1099" s="7" t="s">
        <v>233</v>
      </c>
      <c r="BA1099" s="7" t="s">
        <v>233</v>
      </c>
      <c r="BB1099" s="7"/>
      <c r="BC1099" s="4" t="s">
        <v>233</v>
      </c>
      <c r="BD1099" s="8" t="s">
        <v>233</v>
      </c>
      <c r="BE1099" s="4" t="s">
        <v>233</v>
      </c>
      <c r="BF1099" s="8" t="s">
        <v>233</v>
      </c>
      <c r="BG1099" s="7" t="s">
        <v>233</v>
      </c>
      <c r="BH1099" s="7" t="s">
        <v>233</v>
      </c>
      <c r="BI1099" s="7"/>
      <c r="BJ1099" s="4">
        <v>12</v>
      </c>
      <c r="BK1099" s="8">
        <v>260.06</v>
      </c>
      <c r="BL1099" s="2" t="s">
        <v>5472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5456</v>
      </c>
      <c r="BV1099" s="2" t="s">
        <v>233</v>
      </c>
      <c r="BW1099" s="2" t="s">
        <v>233</v>
      </c>
      <c r="BX1099" s="2" t="s">
        <v>241</v>
      </c>
      <c r="BY1099" s="2" t="s">
        <v>242</v>
      </c>
      <c r="BZ1099" s="2" t="s">
        <v>230</v>
      </c>
      <c r="CA1099" s="2" t="s">
        <v>5457</v>
      </c>
      <c r="CB1099" s="2" t="s">
        <v>5473</v>
      </c>
      <c r="CC1099" s="2" t="s">
        <v>245</v>
      </c>
      <c r="CD1099" s="2" t="s">
        <v>233</v>
      </c>
      <c r="CE1099" s="4">
        <v>88</v>
      </c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>
        <v>90</v>
      </c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>
        <v>90</v>
      </c>
      <c r="GD1099" s="4">
        <v>78</v>
      </c>
      <c r="GE1099" s="4">
        <v>74</v>
      </c>
      <c r="GF1099" s="4">
        <v>70</v>
      </c>
      <c r="GG1099" s="4">
        <v>152</v>
      </c>
      <c r="GH1099" s="4">
        <v>144</v>
      </c>
      <c r="GI1099" s="4">
        <v>137</v>
      </c>
      <c r="GJ1099" s="4">
        <v>133</v>
      </c>
      <c r="GK1099" s="4">
        <v>130</v>
      </c>
      <c r="GL1099" s="4">
        <v>127</v>
      </c>
      <c r="GM1099" s="4">
        <v>124</v>
      </c>
      <c r="GN1099" s="4">
        <v>121</v>
      </c>
      <c r="GO1099" s="4">
        <v>118</v>
      </c>
      <c r="GP1099" s="4">
        <v>115</v>
      </c>
      <c r="GQ1099" s="4">
        <v>112</v>
      </c>
      <c r="GR1099" s="4">
        <v>109</v>
      </c>
      <c r="GS1099" s="4">
        <v>106</v>
      </c>
      <c r="GT1099" s="4">
        <v>103</v>
      </c>
      <c r="GU1099" s="4">
        <v>100</v>
      </c>
      <c r="GV1099" s="4">
        <v>97</v>
      </c>
      <c r="GW1099" s="4">
        <v>94</v>
      </c>
      <c r="GX1099" s="4">
        <v>91</v>
      </c>
      <c r="GY1099" s="4">
        <v>88</v>
      </c>
      <c r="GZ1099" s="4">
        <v>85</v>
      </c>
      <c r="HA1099" s="4">
        <v>82</v>
      </c>
      <c r="HB1099" s="4">
        <v>79</v>
      </c>
      <c r="HC1099" s="19">
        <v>12.9</v>
      </c>
      <c r="HD1099" s="19">
        <v>13</v>
      </c>
      <c r="HE1099" s="19">
        <v>10.6</v>
      </c>
      <c r="HF1099" s="19">
        <v>10</v>
      </c>
      <c r="HG1099" s="19">
        <v>25.3</v>
      </c>
      <c r="HH1099" s="19">
        <v>36</v>
      </c>
      <c r="HI1099" s="19">
        <v>45.7</v>
      </c>
      <c r="HJ1099" s="19">
        <v>44.3</v>
      </c>
      <c r="HK1099" s="19">
        <v>43.3</v>
      </c>
      <c r="HL1099" s="19">
        <v>42.3</v>
      </c>
      <c r="HM1099" s="19">
        <v>41.3</v>
      </c>
      <c r="HN1099" s="19">
        <v>40.3</v>
      </c>
      <c r="HO1099" s="19">
        <v>39.3</v>
      </c>
      <c r="HP1099" s="19">
        <v>38.3</v>
      </c>
      <c r="HQ1099" s="19">
        <v>37.3</v>
      </c>
      <c r="HR1099" s="19">
        <v>36.3</v>
      </c>
      <c r="HS1099" s="19">
        <v>35.3</v>
      </c>
      <c r="HT1099" s="19">
        <v>34.3</v>
      </c>
      <c r="HU1099" s="19">
        <v>33.3</v>
      </c>
      <c r="HV1099" s="19">
        <v>32.3</v>
      </c>
      <c r="HW1099" s="19">
        <v>31.3</v>
      </c>
      <c r="HX1099" s="19">
        <v>30.3</v>
      </c>
      <c r="HY1099" s="19">
        <v>29.3</v>
      </c>
      <c r="HZ1099" s="19">
        <v>28.3</v>
      </c>
      <c r="IA1099" s="19">
        <v>27.3</v>
      </c>
      <c r="IB1099" s="19">
        <v>26.3</v>
      </c>
    </row>
    <row r="1100">
      <c r="A1100" s="2" t="s">
        <v>5474</v>
      </c>
      <c r="B1100" s="2" t="s">
        <v>279</v>
      </c>
      <c r="C1100" s="2" t="s">
        <v>223</v>
      </c>
      <c r="D1100" s="2" t="s">
        <v>281</v>
      </c>
      <c r="E1100" s="2" t="s">
        <v>282</v>
      </c>
      <c r="F1100" s="2" t="s">
        <v>5452</v>
      </c>
      <c r="G1100" s="2" t="s">
        <v>5452</v>
      </c>
      <c r="H1100" s="2" t="s">
        <v>5452</v>
      </c>
      <c r="I1100" s="2" t="s">
        <v>345</v>
      </c>
      <c r="J1100" s="2" t="s">
        <v>228</v>
      </c>
      <c r="K1100" s="2" t="s">
        <v>452</v>
      </c>
      <c r="L1100" s="3">
        <v>16.5</v>
      </c>
      <c r="M1100" s="3">
        <v>17.32</v>
      </c>
      <c r="N1100" s="3">
        <v>32.99</v>
      </c>
      <c r="O1100" s="2" t="s">
        <v>230</v>
      </c>
      <c r="P1100" s="2" t="s">
        <v>721</v>
      </c>
      <c r="Q1100" s="2" t="s">
        <v>232</v>
      </c>
      <c r="R1100" s="2" t="s">
        <v>233</v>
      </c>
      <c r="S1100" s="2" t="s">
        <v>5475</v>
      </c>
      <c r="T1100" s="2" t="s">
        <v>5454</v>
      </c>
      <c r="U1100" s="2" t="s">
        <v>233</v>
      </c>
      <c r="V1100" s="2" t="s">
        <v>236</v>
      </c>
      <c r="W1100" s="2" t="s">
        <v>237</v>
      </c>
      <c r="X1100" s="2" t="s">
        <v>233</v>
      </c>
      <c r="Y1100" s="2" t="s">
        <v>238</v>
      </c>
      <c r="Z1100" s="4">
        <v>75</v>
      </c>
      <c r="AA1100" s="4">
        <f>=ROUNDDOWN(75,0)</f>
      </c>
      <c r="AB1100" s="5">
        <v>1</v>
      </c>
      <c r="AC1100" s="2" t="s">
        <v>233</v>
      </c>
      <c r="AD1100" s="4"/>
      <c r="AE1100" s="4"/>
      <c r="AF1100" s="6">
        <v>66</v>
      </c>
      <c r="AG1100" s="6"/>
      <c r="AH1100" s="7">
        <v>1</v>
      </c>
      <c r="AI1100" s="4"/>
      <c r="AJ1100" s="4">
        <f>=ROUNDDOWN({0},0)</f>
      </c>
      <c r="AK1100" s="5"/>
      <c r="AL1100" s="2" t="s">
        <v>233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233</v>
      </c>
      <c r="AW1100" s="8" t="s">
        <v>233</v>
      </c>
      <c r="AX1100" s="4" t="s">
        <v>233</v>
      </c>
      <c r="AY1100" s="8" t="s">
        <v>233</v>
      </c>
      <c r="AZ1100" s="7" t="s">
        <v>233</v>
      </c>
      <c r="BA1100" s="7" t="s">
        <v>233</v>
      </c>
      <c r="BB1100" s="7"/>
      <c r="BC1100" s="4" t="s">
        <v>233</v>
      </c>
      <c r="BD1100" s="8" t="s">
        <v>233</v>
      </c>
      <c r="BE1100" s="4" t="s">
        <v>233</v>
      </c>
      <c r="BF1100" s="8" t="s">
        <v>233</v>
      </c>
      <c r="BG1100" s="7" t="s">
        <v>233</v>
      </c>
      <c r="BH1100" s="7" t="s">
        <v>233</v>
      </c>
      <c r="BI1100" s="7"/>
      <c r="BJ1100" s="4">
        <v>3</v>
      </c>
      <c r="BK1100" s="8">
        <v>58.77</v>
      </c>
      <c r="BL1100" s="2" t="s">
        <v>5476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5456</v>
      </c>
      <c r="BV1100" s="2" t="s">
        <v>233</v>
      </c>
      <c r="BW1100" s="2" t="s">
        <v>233</v>
      </c>
      <c r="BX1100" s="2" t="s">
        <v>241</v>
      </c>
      <c r="BY1100" s="2" t="s">
        <v>242</v>
      </c>
      <c r="BZ1100" s="2" t="s">
        <v>230</v>
      </c>
      <c r="CA1100" s="2" t="s">
        <v>5457</v>
      </c>
      <c r="CB1100" s="2" t="s">
        <v>4291</v>
      </c>
      <c r="CC1100" s="2" t="s">
        <v>245</v>
      </c>
      <c r="CD1100" s="2" t="s">
        <v>233</v>
      </c>
      <c r="CE1100" s="4">
        <v>75</v>
      </c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>
        <v>75</v>
      </c>
      <c r="GD1100" s="4">
        <v>74</v>
      </c>
      <c r="GE1100" s="4">
        <v>73</v>
      </c>
      <c r="GF1100" s="4">
        <v>72</v>
      </c>
      <c r="GG1100" s="4">
        <v>69</v>
      </c>
      <c r="GH1100" s="4">
        <v>66</v>
      </c>
      <c r="GI1100" s="4">
        <v>64</v>
      </c>
      <c r="GJ1100" s="4">
        <v>63</v>
      </c>
      <c r="GK1100" s="4">
        <v>62</v>
      </c>
      <c r="GL1100" s="4">
        <v>61</v>
      </c>
      <c r="GM1100" s="4">
        <v>60</v>
      </c>
      <c r="GN1100" s="4">
        <v>59</v>
      </c>
      <c r="GO1100" s="4">
        <v>58</v>
      </c>
      <c r="GP1100" s="4">
        <v>57</v>
      </c>
      <c r="GQ1100" s="4">
        <v>56</v>
      </c>
      <c r="GR1100" s="4">
        <v>55</v>
      </c>
      <c r="GS1100" s="4">
        <v>54</v>
      </c>
      <c r="GT1100" s="4">
        <v>53</v>
      </c>
      <c r="GU1100" s="4">
        <v>52</v>
      </c>
      <c r="GV1100" s="4">
        <v>51</v>
      </c>
      <c r="GW1100" s="4">
        <v>50</v>
      </c>
      <c r="GX1100" s="4">
        <v>49</v>
      </c>
      <c r="GY1100" s="4">
        <v>48</v>
      </c>
      <c r="GZ1100" s="4">
        <v>47</v>
      </c>
      <c r="HA1100" s="4">
        <v>46</v>
      </c>
      <c r="HB1100" s="4">
        <v>45</v>
      </c>
      <c r="HC1100" s="19">
        <v>37.5</v>
      </c>
      <c r="HD1100" s="19">
        <v>37</v>
      </c>
      <c r="HE1100" s="19">
        <v>36.5</v>
      </c>
      <c r="HF1100" s="19">
        <v>36</v>
      </c>
      <c r="HG1100" s="19">
        <v>34.5</v>
      </c>
      <c r="HH1100" s="19">
        <v>66</v>
      </c>
      <c r="HI1100" s="9"/>
      <c r="HJ1100" s="19">
        <v>63</v>
      </c>
      <c r="HK1100" s="19">
        <v>62</v>
      </c>
      <c r="HL1100" s="19">
        <v>61</v>
      </c>
      <c r="HM1100" s="19">
        <v>60</v>
      </c>
      <c r="HN1100" s="19">
        <v>59</v>
      </c>
      <c r="HO1100" s="19">
        <v>58</v>
      </c>
      <c r="HP1100" s="19">
        <v>57</v>
      </c>
      <c r="HQ1100" s="19">
        <v>56</v>
      </c>
      <c r="HR1100" s="19">
        <v>55</v>
      </c>
      <c r="HS1100" s="19">
        <v>54</v>
      </c>
      <c r="HT1100" s="19">
        <v>53</v>
      </c>
      <c r="HU1100" s="19">
        <v>52</v>
      </c>
      <c r="HV1100" s="19">
        <v>51</v>
      </c>
      <c r="HW1100" s="19">
        <v>50</v>
      </c>
      <c r="HX1100" s="19">
        <v>49</v>
      </c>
      <c r="HY1100" s="19">
        <v>48</v>
      </c>
      <c r="HZ1100" s="19">
        <v>47</v>
      </c>
      <c r="IA1100" s="19">
        <v>46</v>
      </c>
      <c r="IB1100" s="19">
        <v>45</v>
      </c>
    </row>
    <row r="1101">
      <c r="A1101" s="2" t="s">
        <v>5477</v>
      </c>
      <c r="B1101" s="2" t="s">
        <v>279</v>
      </c>
      <c r="C1101" s="2" t="s">
        <v>223</v>
      </c>
      <c r="D1101" s="2" t="s">
        <v>281</v>
      </c>
      <c r="E1101" s="2" t="s">
        <v>282</v>
      </c>
      <c r="F1101" s="2" t="s">
        <v>5452</v>
      </c>
      <c r="G1101" s="2" t="s">
        <v>5452</v>
      </c>
      <c r="H1101" s="2" t="s">
        <v>5452</v>
      </c>
      <c r="I1101" s="2" t="s">
        <v>345</v>
      </c>
      <c r="J1101" s="2" t="s">
        <v>252</v>
      </c>
      <c r="K1101" s="2" t="s">
        <v>452</v>
      </c>
      <c r="L1101" s="3">
        <v>16.5</v>
      </c>
      <c r="M1101" s="3">
        <v>17.32</v>
      </c>
      <c r="N1101" s="3">
        <v>32.99</v>
      </c>
      <c r="O1101" s="2" t="s">
        <v>230</v>
      </c>
      <c r="P1101" s="2" t="s">
        <v>231</v>
      </c>
      <c r="Q1101" s="2" t="s">
        <v>232</v>
      </c>
      <c r="R1101" s="2" t="s">
        <v>233</v>
      </c>
      <c r="S1101" s="2" t="s">
        <v>5475</v>
      </c>
      <c r="T1101" s="2" t="s">
        <v>5454</v>
      </c>
      <c r="U1101" s="2" t="s">
        <v>233</v>
      </c>
      <c r="V1101" s="2" t="s">
        <v>236</v>
      </c>
      <c r="W1101" s="2" t="s">
        <v>237</v>
      </c>
      <c r="X1101" s="2" t="s">
        <v>233</v>
      </c>
      <c r="Y1101" s="2" t="s">
        <v>238</v>
      </c>
      <c r="Z1101" s="4">
        <v>216</v>
      </c>
      <c r="AA1101" s="4">
        <f>=ROUNDDOWN(93.9130434782609,0)</f>
      </c>
      <c r="AB1101" s="5">
        <v>2.3</v>
      </c>
      <c r="AC1101" s="2" t="s">
        <v>233</v>
      </c>
      <c r="AD1101" s="4"/>
      <c r="AE1101" s="4"/>
      <c r="AF1101" s="6">
        <v>66</v>
      </c>
      <c r="AG1101" s="6"/>
      <c r="AH1101" s="7">
        <v>1</v>
      </c>
      <c r="AI1101" s="4"/>
      <c r="AJ1101" s="4">
        <f>=ROUNDDOWN({0},0)</f>
      </c>
      <c r="AK1101" s="5"/>
      <c r="AL1101" s="2" t="s">
        <v>233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233</v>
      </c>
      <c r="AW1101" s="8" t="s">
        <v>233</v>
      </c>
      <c r="AX1101" s="4" t="s">
        <v>233</v>
      </c>
      <c r="AY1101" s="8" t="s">
        <v>233</v>
      </c>
      <c r="AZ1101" s="7" t="s">
        <v>233</v>
      </c>
      <c r="BA1101" s="7" t="s">
        <v>233</v>
      </c>
      <c r="BB1101" s="7"/>
      <c r="BC1101" s="4" t="s">
        <v>233</v>
      </c>
      <c r="BD1101" s="8" t="s">
        <v>233</v>
      </c>
      <c r="BE1101" s="4" t="s">
        <v>233</v>
      </c>
      <c r="BF1101" s="8" t="s">
        <v>233</v>
      </c>
      <c r="BG1101" s="7" t="s">
        <v>233</v>
      </c>
      <c r="BH1101" s="7" t="s">
        <v>233</v>
      </c>
      <c r="BI1101" s="7"/>
      <c r="BJ1101" s="4">
        <v>11</v>
      </c>
      <c r="BK1101" s="8">
        <v>180.4</v>
      </c>
      <c r="BL1101" s="2" t="s">
        <v>1803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5456</v>
      </c>
      <c r="BV1101" s="2" t="s">
        <v>233</v>
      </c>
      <c r="BW1101" s="2" t="s">
        <v>233</v>
      </c>
      <c r="BX1101" s="2" t="s">
        <v>241</v>
      </c>
      <c r="BY1101" s="2" t="s">
        <v>242</v>
      </c>
      <c r="BZ1101" s="2" t="s">
        <v>230</v>
      </c>
      <c r="CA1101" s="2" t="s">
        <v>5457</v>
      </c>
      <c r="CB1101" s="2" t="s">
        <v>5478</v>
      </c>
      <c r="CC1101" s="2" t="s">
        <v>245</v>
      </c>
      <c r="CD1101" s="2" t="s">
        <v>233</v>
      </c>
      <c r="CE1101" s="4">
        <v>216</v>
      </c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>
        <v>217</v>
      </c>
      <c r="GD1101" s="4">
        <v>215</v>
      </c>
      <c r="GE1101" s="4">
        <v>213</v>
      </c>
      <c r="GF1101" s="4">
        <v>210</v>
      </c>
      <c r="GG1101" s="4">
        <v>205</v>
      </c>
      <c r="GH1101" s="4">
        <v>200</v>
      </c>
      <c r="GI1101" s="4">
        <v>196</v>
      </c>
      <c r="GJ1101" s="4">
        <v>194</v>
      </c>
      <c r="GK1101" s="4">
        <v>192</v>
      </c>
      <c r="GL1101" s="4">
        <v>190</v>
      </c>
      <c r="GM1101" s="4">
        <v>188</v>
      </c>
      <c r="GN1101" s="4">
        <v>186</v>
      </c>
      <c r="GO1101" s="4">
        <v>184</v>
      </c>
      <c r="GP1101" s="4">
        <v>182</v>
      </c>
      <c r="GQ1101" s="4">
        <v>180</v>
      </c>
      <c r="GR1101" s="4">
        <v>178</v>
      </c>
      <c r="GS1101" s="4">
        <v>176</v>
      </c>
      <c r="GT1101" s="4">
        <v>174</v>
      </c>
      <c r="GU1101" s="4">
        <v>172</v>
      </c>
      <c r="GV1101" s="4">
        <v>170</v>
      </c>
      <c r="GW1101" s="4">
        <v>168</v>
      </c>
      <c r="GX1101" s="4">
        <v>166</v>
      </c>
      <c r="GY1101" s="4">
        <v>164</v>
      </c>
      <c r="GZ1101" s="4">
        <v>162</v>
      </c>
      <c r="HA1101" s="4">
        <v>160</v>
      </c>
      <c r="HB1101" s="4">
        <v>158</v>
      </c>
      <c r="HC1101" s="19">
        <v>72.3</v>
      </c>
      <c r="HD1101" s="19">
        <v>53.8</v>
      </c>
      <c r="HE1101" s="19">
        <v>53.3</v>
      </c>
      <c r="HF1101" s="19">
        <v>52.5</v>
      </c>
      <c r="HG1101" s="19">
        <v>68.3</v>
      </c>
      <c r="HH1101" s="19">
        <v>100</v>
      </c>
      <c r="HI1101" s="19">
        <v>98</v>
      </c>
      <c r="HJ1101" s="19">
        <v>97</v>
      </c>
      <c r="HK1101" s="19">
        <v>96</v>
      </c>
      <c r="HL1101" s="19">
        <v>95</v>
      </c>
      <c r="HM1101" s="19">
        <v>94</v>
      </c>
      <c r="HN1101" s="19">
        <v>93</v>
      </c>
      <c r="HO1101" s="19">
        <v>92</v>
      </c>
      <c r="HP1101" s="19">
        <v>91</v>
      </c>
      <c r="HQ1101" s="19">
        <v>90</v>
      </c>
      <c r="HR1101" s="19">
        <v>89</v>
      </c>
      <c r="HS1101" s="19">
        <v>88</v>
      </c>
      <c r="HT1101" s="19">
        <v>87</v>
      </c>
      <c r="HU1101" s="19">
        <v>86</v>
      </c>
      <c r="HV1101" s="19">
        <v>85</v>
      </c>
      <c r="HW1101" s="19">
        <v>84</v>
      </c>
      <c r="HX1101" s="19">
        <v>83</v>
      </c>
      <c r="HY1101" s="19">
        <v>82</v>
      </c>
      <c r="HZ1101" s="19">
        <v>81</v>
      </c>
      <c r="IA1101" s="19">
        <v>80</v>
      </c>
      <c r="IB1101" s="19">
        <v>79</v>
      </c>
    </row>
    <row r="1102">
      <c r="A1102" s="2" t="s">
        <v>5479</v>
      </c>
      <c r="B1102" s="2" t="s">
        <v>279</v>
      </c>
      <c r="C1102" s="2" t="s">
        <v>223</v>
      </c>
      <c r="D1102" s="2" t="s">
        <v>281</v>
      </c>
      <c r="E1102" s="2" t="s">
        <v>282</v>
      </c>
      <c r="F1102" s="2" t="s">
        <v>5452</v>
      </c>
      <c r="G1102" s="2" t="s">
        <v>5452</v>
      </c>
      <c r="H1102" s="2" t="s">
        <v>5452</v>
      </c>
      <c r="I1102" s="2" t="s">
        <v>345</v>
      </c>
      <c r="J1102" s="2" t="s">
        <v>336</v>
      </c>
      <c r="K1102" s="2" t="s">
        <v>452</v>
      </c>
      <c r="L1102" s="3">
        <v>19</v>
      </c>
      <c r="M1102" s="3">
        <v>19.95</v>
      </c>
      <c r="N1102" s="3">
        <v>37.99</v>
      </c>
      <c r="O1102" s="2" t="s">
        <v>230</v>
      </c>
      <c r="P1102" s="2" t="s">
        <v>231</v>
      </c>
      <c r="Q1102" s="2" t="s">
        <v>232</v>
      </c>
      <c r="R1102" s="2" t="s">
        <v>233</v>
      </c>
      <c r="S1102" s="2" t="s">
        <v>5475</v>
      </c>
      <c r="T1102" s="2" t="s">
        <v>5454</v>
      </c>
      <c r="U1102" s="2" t="s">
        <v>233</v>
      </c>
      <c r="V1102" s="2" t="s">
        <v>236</v>
      </c>
      <c r="W1102" s="2" t="s">
        <v>237</v>
      </c>
      <c r="X1102" s="2" t="s">
        <v>233</v>
      </c>
      <c r="Y1102" s="2" t="s">
        <v>5480</v>
      </c>
      <c r="Z1102" s="4">
        <v>339</v>
      </c>
      <c r="AA1102" s="4">
        <f>=ROUNDDOWN(30.8181818181818,0)</f>
      </c>
      <c r="AB1102" s="5">
        <v>11</v>
      </c>
      <c r="AC1102" s="2" t="s">
        <v>152</v>
      </c>
      <c r="AD1102" s="4">
        <v>196</v>
      </c>
      <c r="AE1102" s="4">
        <v>196</v>
      </c>
      <c r="AF1102" s="6">
        <v>66</v>
      </c>
      <c r="AG1102" s="6"/>
      <c r="AH1102" s="7">
        <v>1</v>
      </c>
      <c r="AI1102" s="4"/>
      <c r="AJ1102" s="4">
        <f>=ROUNDDOWN({0},0)</f>
      </c>
      <c r="AK1102" s="5"/>
      <c r="AL1102" s="2" t="s">
        <v>233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233</v>
      </c>
      <c r="AW1102" s="8" t="s">
        <v>233</v>
      </c>
      <c r="AX1102" s="4" t="s">
        <v>233</v>
      </c>
      <c r="AY1102" s="8" t="s">
        <v>233</v>
      </c>
      <c r="AZ1102" s="7" t="s">
        <v>233</v>
      </c>
      <c r="BA1102" s="7" t="s">
        <v>233</v>
      </c>
      <c r="BB1102" s="7"/>
      <c r="BC1102" s="4" t="s">
        <v>233</v>
      </c>
      <c r="BD1102" s="8" t="s">
        <v>233</v>
      </c>
      <c r="BE1102" s="4" t="s">
        <v>233</v>
      </c>
      <c r="BF1102" s="8" t="s">
        <v>233</v>
      </c>
      <c r="BG1102" s="7" t="s">
        <v>233</v>
      </c>
      <c r="BH1102" s="7" t="s">
        <v>233</v>
      </c>
      <c r="BI1102" s="7"/>
      <c r="BJ1102" s="4">
        <v>41</v>
      </c>
      <c r="BK1102" s="8">
        <v>838.1</v>
      </c>
      <c r="BL1102" s="2" t="s">
        <v>5481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5456</v>
      </c>
      <c r="BV1102" s="2" t="s">
        <v>233</v>
      </c>
      <c r="BW1102" s="2" t="s">
        <v>233</v>
      </c>
      <c r="BX1102" s="2" t="s">
        <v>241</v>
      </c>
      <c r="BY1102" s="2" t="s">
        <v>242</v>
      </c>
      <c r="BZ1102" s="2" t="s">
        <v>230</v>
      </c>
      <c r="CA1102" s="2" t="s">
        <v>5457</v>
      </c>
      <c r="CB1102" s="2" t="s">
        <v>5482</v>
      </c>
      <c r="CC1102" s="2" t="s">
        <v>245</v>
      </c>
      <c r="CD1102" s="2" t="s">
        <v>233</v>
      </c>
      <c r="CE1102" s="4">
        <v>339</v>
      </c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>
        <v>196</v>
      </c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>
        <v>345</v>
      </c>
      <c r="GD1102" s="4">
        <v>332</v>
      </c>
      <c r="GE1102" s="4">
        <v>320</v>
      </c>
      <c r="GF1102" s="4">
        <v>306</v>
      </c>
      <c r="GG1102" s="4">
        <v>472</v>
      </c>
      <c r="GH1102" s="4">
        <v>444</v>
      </c>
      <c r="GI1102" s="4">
        <v>421</v>
      </c>
      <c r="GJ1102" s="4">
        <v>409</v>
      </c>
      <c r="GK1102" s="4">
        <v>400</v>
      </c>
      <c r="GL1102" s="4">
        <v>389</v>
      </c>
      <c r="GM1102" s="4">
        <v>378</v>
      </c>
      <c r="GN1102" s="4">
        <v>367</v>
      </c>
      <c r="GO1102" s="4">
        <v>356</v>
      </c>
      <c r="GP1102" s="4">
        <v>345</v>
      </c>
      <c r="GQ1102" s="4">
        <v>334</v>
      </c>
      <c r="GR1102" s="4">
        <v>323</v>
      </c>
      <c r="GS1102" s="4">
        <v>312</v>
      </c>
      <c r="GT1102" s="4">
        <v>301</v>
      </c>
      <c r="GU1102" s="4">
        <v>290</v>
      </c>
      <c r="GV1102" s="4">
        <v>279</v>
      </c>
      <c r="GW1102" s="4">
        <v>268</v>
      </c>
      <c r="GX1102" s="4">
        <v>257</v>
      </c>
      <c r="GY1102" s="4">
        <v>246</v>
      </c>
      <c r="GZ1102" s="4">
        <v>235</v>
      </c>
      <c r="HA1102" s="4">
        <v>224</v>
      </c>
      <c r="HB1102" s="4">
        <v>213</v>
      </c>
      <c r="HC1102" s="19">
        <v>20.3</v>
      </c>
      <c r="HD1102" s="19">
        <v>15.8</v>
      </c>
      <c r="HE1102" s="19">
        <v>13.3</v>
      </c>
      <c r="HF1102" s="19">
        <v>13.3</v>
      </c>
      <c r="HG1102" s="19">
        <v>26.2</v>
      </c>
      <c r="HH1102" s="19">
        <v>31.7</v>
      </c>
      <c r="HI1102" s="19">
        <v>38.3</v>
      </c>
      <c r="HJ1102" s="19">
        <v>40.9</v>
      </c>
      <c r="HK1102" s="19">
        <v>36.4</v>
      </c>
      <c r="HL1102" s="19">
        <v>35.4</v>
      </c>
      <c r="HM1102" s="19">
        <v>34.4</v>
      </c>
      <c r="HN1102" s="19">
        <v>33.4</v>
      </c>
      <c r="HO1102" s="19">
        <v>32.4</v>
      </c>
      <c r="HP1102" s="19">
        <v>31.4</v>
      </c>
      <c r="HQ1102" s="19">
        <v>30.4</v>
      </c>
      <c r="HR1102" s="19">
        <v>29.4</v>
      </c>
      <c r="HS1102" s="19">
        <v>28.4</v>
      </c>
      <c r="HT1102" s="19">
        <v>27.4</v>
      </c>
      <c r="HU1102" s="19">
        <v>26.4</v>
      </c>
      <c r="HV1102" s="19">
        <v>25.4</v>
      </c>
      <c r="HW1102" s="19">
        <v>24.4</v>
      </c>
      <c r="HX1102" s="19">
        <v>23.4</v>
      </c>
      <c r="HY1102" s="19">
        <v>22.4</v>
      </c>
      <c r="HZ1102" s="19">
        <v>21.4</v>
      </c>
      <c r="IA1102" s="19">
        <v>20.4</v>
      </c>
      <c r="IB1102" s="19">
        <v>19.4</v>
      </c>
    </row>
    <row r="1103">
      <c r="A1103" s="2" t="s">
        <v>5483</v>
      </c>
      <c r="B1103" s="2" t="s">
        <v>279</v>
      </c>
      <c r="C1103" s="2" t="s">
        <v>223</v>
      </c>
      <c r="D1103" s="2" t="s">
        <v>281</v>
      </c>
      <c r="E1103" s="2" t="s">
        <v>282</v>
      </c>
      <c r="F1103" s="2" t="s">
        <v>5452</v>
      </c>
      <c r="G1103" s="2" t="s">
        <v>5452</v>
      </c>
      <c r="H1103" s="2" t="s">
        <v>5452</v>
      </c>
      <c r="I1103" s="2" t="s">
        <v>345</v>
      </c>
      <c r="J1103" s="2" t="s">
        <v>256</v>
      </c>
      <c r="K1103" s="2" t="s">
        <v>452</v>
      </c>
      <c r="L1103" s="3">
        <v>21.5</v>
      </c>
      <c r="M1103" s="3">
        <v>22.58</v>
      </c>
      <c r="N1103" s="3">
        <v>42.99</v>
      </c>
      <c r="O1103" s="2" t="s">
        <v>230</v>
      </c>
      <c r="P1103" s="2" t="s">
        <v>231</v>
      </c>
      <c r="Q1103" s="2" t="s">
        <v>232</v>
      </c>
      <c r="R1103" s="2" t="s">
        <v>233</v>
      </c>
      <c r="S1103" s="2" t="s">
        <v>5475</v>
      </c>
      <c r="T1103" s="2" t="s">
        <v>5454</v>
      </c>
      <c r="U1103" s="2" t="s">
        <v>233</v>
      </c>
      <c r="V1103" s="2" t="s">
        <v>236</v>
      </c>
      <c r="W1103" s="2" t="s">
        <v>237</v>
      </c>
      <c r="X1103" s="2" t="s">
        <v>233</v>
      </c>
      <c r="Y1103" s="2" t="s">
        <v>238</v>
      </c>
      <c r="Z1103" s="4">
        <v>96</v>
      </c>
      <c r="AA1103" s="4">
        <f>=ROUNDDOWN(11.1627906976744,0)</f>
      </c>
      <c r="AB1103" s="5">
        <v>8.6</v>
      </c>
      <c r="AC1103" s="2" t="s">
        <v>152</v>
      </c>
      <c r="AD1103" s="4">
        <v>199</v>
      </c>
      <c r="AE1103" s="4">
        <v>199</v>
      </c>
      <c r="AF1103" s="6">
        <v>66</v>
      </c>
      <c r="AG1103" s="6"/>
      <c r="AH1103" s="7">
        <v>1</v>
      </c>
      <c r="AI1103" s="4"/>
      <c r="AJ1103" s="4">
        <f>=ROUNDDOWN({0},0)</f>
      </c>
      <c r="AK1103" s="5"/>
      <c r="AL1103" s="2" t="s">
        <v>233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233</v>
      </c>
      <c r="AW1103" s="8" t="s">
        <v>233</v>
      </c>
      <c r="AX1103" s="4" t="s">
        <v>233</v>
      </c>
      <c r="AY1103" s="8" t="s">
        <v>233</v>
      </c>
      <c r="AZ1103" s="7" t="s">
        <v>233</v>
      </c>
      <c r="BA1103" s="7" t="s">
        <v>233</v>
      </c>
      <c r="BB1103" s="7"/>
      <c r="BC1103" s="4" t="s">
        <v>233</v>
      </c>
      <c r="BD1103" s="8" t="s">
        <v>233</v>
      </c>
      <c r="BE1103" s="4" t="s">
        <v>233</v>
      </c>
      <c r="BF1103" s="8" t="s">
        <v>233</v>
      </c>
      <c r="BG1103" s="7" t="s">
        <v>233</v>
      </c>
      <c r="BH1103" s="7" t="s">
        <v>233</v>
      </c>
      <c r="BI1103" s="7"/>
      <c r="BJ1103" s="4">
        <v>27</v>
      </c>
      <c r="BK1103" s="8">
        <v>599.54</v>
      </c>
      <c r="BL1103" s="2" t="s">
        <v>5484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5456</v>
      </c>
      <c r="BV1103" s="2" t="s">
        <v>233</v>
      </c>
      <c r="BW1103" s="2" t="s">
        <v>233</v>
      </c>
      <c r="BX1103" s="2" t="s">
        <v>241</v>
      </c>
      <c r="BY1103" s="2" t="s">
        <v>242</v>
      </c>
      <c r="BZ1103" s="2" t="s">
        <v>230</v>
      </c>
      <c r="CA1103" s="2" t="s">
        <v>5457</v>
      </c>
      <c r="CB1103" s="2" t="s">
        <v>583</v>
      </c>
      <c r="CC1103" s="2" t="s">
        <v>245</v>
      </c>
      <c r="CD1103" s="2" t="s">
        <v>233</v>
      </c>
      <c r="CE1103" s="4">
        <v>96</v>
      </c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>
        <v>199</v>
      </c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>
        <v>103</v>
      </c>
      <c r="GD1103" s="4">
        <v>94</v>
      </c>
      <c r="GE1103" s="4">
        <v>85</v>
      </c>
      <c r="GF1103" s="4">
        <v>74</v>
      </c>
      <c r="GG1103" s="4">
        <v>250</v>
      </c>
      <c r="GH1103" s="4">
        <v>229</v>
      </c>
      <c r="GI1103" s="4">
        <v>211</v>
      </c>
      <c r="GJ1103" s="4">
        <v>202</v>
      </c>
      <c r="GK1103" s="4">
        <v>195</v>
      </c>
      <c r="GL1103" s="4">
        <v>186</v>
      </c>
      <c r="GM1103" s="4">
        <v>177</v>
      </c>
      <c r="GN1103" s="4">
        <v>168</v>
      </c>
      <c r="GO1103" s="4">
        <v>159</v>
      </c>
      <c r="GP1103" s="4">
        <v>150</v>
      </c>
      <c r="GQ1103" s="4">
        <v>141</v>
      </c>
      <c r="GR1103" s="4">
        <v>132</v>
      </c>
      <c r="GS1103" s="4">
        <v>123</v>
      </c>
      <c r="GT1103" s="4">
        <v>114</v>
      </c>
      <c r="GU1103" s="4">
        <v>105</v>
      </c>
      <c r="GV1103" s="4">
        <v>96</v>
      </c>
      <c r="GW1103" s="4">
        <v>87</v>
      </c>
      <c r="GX1103" s="4">
        <v>78</v>
      </c>
      <c r="GY1103" s="4">
        <v>69</v>
      </c>
      <c r="GZ1103" s="4">
        <v>60</v>
      </c>
      <c r="HA1103" s="4">
        <v>51</v>
      </c>
      <c r="HB1103" s="4">
        <v>42</v>
      </c>
      <c r="HC1103" s="19">
        <v>7.9</v>
      </c>
      <c r="HD1103" s="19">
        <v>5.9</v>
      </c>
      <c r="HE1103" s="19">
        <v>4.7</v>
      </c>
      <c r="HF1103" s="19">
        <v>4.1</v>
      </c>
      <c r="HG1103" s="19">
        <v>17.9</v>
      </c>
      <c r="HH1103" s="19">
        <v>20.8</v>
      </c>
      <c r="HI1103" s="19">
        <v>26.4</v>
      </c>
      <c r="HJ1103" s="19">
        <v>25.3</v>
      </c>
      <c r="HK1103" s="19">
        <v>21.7</v>
      </c>
      <c r="HL1103" s="19">
        <v>20.7</v>
      </c>
      <c r="HM1103" s="19">
        <v>19.7</v>
      </c>
      <c r="HN1103" s="19">
        <v>18.7</v>
      </c>
      <c r="HO1103" s="19">
        <v>17.7</v>
      </c>
      <c r="HP1103" s="19">
        <v>16.7</v>
      </c>
      <c r="HQ1103" s="19">
        <v>15.7</v>
      </c>
      <c r="HR1103" s="19">
        <v>14.7</v>
      </c>
      <c r="HS1103" s="19">
        <v>13.7</v>
      </c>
      <c r="HT1103" s="19">
        <v>12.7</v>
      </c>
      <c r="HU1103" s="19">
        <v>11.7</v>
      </c>
      <c r="HV1103" s="19">
        <v>10.7</v>
      </c>
      <c r="HW1103" s="19">
        <v>9.7</v>
      </c>
      <c r="HX1103" s="19">
        <v>8.7</v>
      </c>
      <c r="HY1103" s="19">
        <v>7.7</v>
      </c>
      <c r="HZ1103" s="19">
        <v>6.7</v>
      </c>
      <c r="IA1103" s="19">
        <v>5.7</v>
      </c>
      <c r="IB1103" s="19">
        <v>4.7</v>
      </c>
    </row>
    <row r="1104">
      <c r="A1104" s="2" t="s">
        <v>5485</v>
      </c>
      <c r="B1104" s="2" t="s">
        <v>279</v>
      </c>
      <c r="C1104" s="2" t="s">
        <v>223</v>
      </c>
      <c r="D1104" s="2" t="s">
        <v>281</v>
      </c>
      <c r="E1104" s="2" t="s">
        <v>282</v>
      </c>
      <c r="F1104" s="2" t="s">
        <v>5452</v>
      </c>
      <c r="G1104" s="2" t="s">
        <v>5452</v>
      </c>
      <c r="H1104" s="2" t="s">
        <v>5452</v>
      </c>
      <c r="I1104" s="2" t="s">
        <v>345</v>
      </c>
      <c r="J1104" s="2" t="s">
        <v>228</v>
      </c>
      <c r="K1104" s="2" t="s">
        <v>642</v>
      </c>
      <c r="L1104" s="3">
        <v>16.5</v>
      </c>
      <c r="M1104" s="3">
        <v>17.32</v>
      </c>
      <c r="N1104" s="3">
        <v>32.99</v>
      </c>
      <c r="O1104" s="2" t="s">
        <v>230</v>
      </c>
      <c r="P1104" s="2" t="s">
        <v>231</v>
      </c>
      <c r="Q1104" s="2" t="s">
        <v>232</v>
      </c>
      <c r="R1104" s="2" t="s">
        <v>233</v>
      </c>
      <c r="S1104" s="2" t="s">
        <v>5486</v>
      </c>
      <c r="T1104" s="2" t="s">
        <v>5454</v>
      </c>
      <c r="U1104" s="2" t="s">
        <v>781</v>
      </c>
      <c r="V1104" s="2" t="s">
        <v>236</v>
      </c>
      <c r="W1104" s="2" t="s">
        <v>237</v>
      </c>
      <c r="X1104" s="2" t="s">
        <v>620</v>
      </c>
      <c r="Y1104" s="2" t="s">
        <v>5487</v>
      </c>
      <c r="Z1104" s="4">
        <v>116</v>
      </c>
      <c r="AA1104" s="4">
        <f>=ROUNDDOWN(46.4,0)</f>
      </c>
      <c r="AB1104" s="5">
        <v>2.5</v>
      </c>
      <c r="AC1104" s="2" t="s">
        <v>152</v>
      </c>
      <c r="AD1104" s="4">
        <v>30</v>
      </c>
      <c r="AE1104" s="4">
        <v>30</v>
      </c>
      <c r="AF1104" s="6">
        <v>66</v>
      </c>
      <c r="AG1104" s="6"/>
      <c r="AH1104" s="7">
        <v>1</v>
      </c>
      <c r="AI1104" s="4"/>
      <c r="AJ1104" s="4">
        <f>=ROUNDDOWN({0},0)</f>
      </c>
      <c r="AK1104" s="5"/>
      <c r="AL1104" s="2" t="s">
        <v>233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233</v>
      </c>
      <c r="AW1104" s="8" t="s">
        <v>233</v>
      </c>
      <c r="AX1104" s="4" t="s">
        <v>233</v>
      </c>
      <c r="AY1104" s="8" t="s">
        <v>233</v>
      </c>
      <c r="AZ1104" s="7" t="s">
        <v>233</v>
      </c>
      <c r="BA1104" s="7" t="s">
        <v>233</v>
      </c>
      <c r="BB1104" s="7"/>
      <c r="BC1104" s="4" t="s">
        <v>233</v>
      </c>
      <c r="BD1104" s="8" t="s">
        <v>233</v>
      </c>
      <c r="BE1104" s="4" t="s">
        <v>233</v>
      </c>
      <c r="BF1104" s="8" t="s">
        <v>233</v>
      </c>
      <c r="BG1104" s="7" t="s">
        <v>233</v>
      </c>
      <c r="BH1104" s="7" t="s">
        <v>233</v>
      </c>
      <c r="BI1104" s="7"/>
      <c r="BJ1104" s="4">
        <v>9</v>
      </c>
      <c r="BK1104" s="8">
        <v>144.46</v>
      </c>
      <c r="BL1104" s="2" t="s">
        <v>1803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5456</v>
      </c>
      <c r="BV1104" s="2" t="s">
        <v>233</v>
      </c>
      <c r="BW1104" s="2" t="s">
        <v>233</v>
      </c>
      <c r="BX1104" s="2" t="s">
        <v>241</v>
      </c>
      <c r="BY1104" s="2" t="s">
        <v>242</v>
      </c>
      <c r="BZ1104" s="2" t="s">
        <v>230</v>
      </c>
      <c r="CA1104" s="2" t="s">
        <v>5487</v>
      </c>
      <c r="CB1104" s="2" t="s">
        <v>5488</v>
      </c>
      <c r="CC1104" s="2" t="s">
        <v>245</v>
      </c>
      <c r="CD1104" s="2" t="s">
        <v>233</v>
      </c>
      <c r="CE1104" s="4">
        <v>116</v>
      </c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>
        <v>30</v>
      </c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>
        <v>117</v>
      </c>
      <c r="GD1104" s="4">
        <v>114</v>
      </c>
      <c r="GE1104" s="4">
        <v>111</v>
      </c>
      <c r="GF1104" s="4">
        <v>107</v>
      </c>
      <c r="GG1104" s="4">
        <v>129</v>
      </c>
      <c r="GH1104" s="4">
        <v>121</v>
      </c>
      <c r="GI1104" s="4">
        <v>115</v>
      </c>
      <c r="GJ1104" s="4">
        <v>112</v>
      </c>
      <c r="GK1104" s="4">
        <v>110</v>
      </c>
      <c r="GL1104" s="4">
        <v>107</v>
      </c>
      <c r="GM1104" s="4">
        <v>104</v>
      </c>
      <c r="GN1104" s="4">
        <v>101</v>
      </c>
      <c r="GO1104" s="4">
        <v>98</v>
      </c>
      <c r="GP1104" s="4">
        <v>95</v>
      </c>
      <c r="GQ1104" s="4">
        <v>92</v>
      </c>
      <c r="GR1104" s="4">
        <v>89</v>
      </c>
      <c r="GS1104" s="4">
        <v>86</v>
      </c>
      <c r="GT1104" s="4">
        <v>83</v>
      </c>
      <c r="GU1104" s="4">
        <v>80</v>
      </c>
      <c r="GV1104" s="4">
        <v>77</v>
      </c>
      <c r="GW1104" s="4">
        <v>74</v>
      </c>
      <c r="GX1104" s="4">
        <v>71</v>
      </c>
      <c r="GY1104" s="4">
        <v>68</v>
      </c>
      <c r="GZ1104" s="4">
        <v>65</v>
      </c>
      <c r="HA1104" s="4">
        <v>62</v>
      </c>
      <c r="HB1104" s="4">
        <v>59</v>
      </c>
      <c r="HC1104" s="19">
        <v>29.3</v>
      </c>
      <c r="HD1104" s="19">
        <v>19</v>
      </c>
      <c r="HE1104" s="19">
        <v>18.5</v>
      </c>
      <c r="HF1104" s="19">
        <v>17.8</v>
      </c>
      <c r="HG1104" s="19">
        <v>25.8</v>
      </c>
      <c r="HH1104" s="19">
        <v>30.3</v>
      </c>
      <c r="HI1104" s="19">
        <v>38.3</v>
      </c>
      <c r="HJ1104" s="19">
        <v>37.3</v>
      </c>
      <c r="HK1104" s="19">
        <v>36.7</v>
      </c>
      <c r="HL1104" s="19">
        <v>35.7</v>
      </c>
      <c r="HM1104" s="19">
        <v>34.7</v>
      </c>
      <c r="HN1104" s="19">
        <v>33.7</v>
      </c>
      <c r="HO1104" s="19">
        <v>32.7</v>
      </c>
      <c r="HP1104" s="19">
        <v>31.7</v>
      </c>
      <c r="HQ1104" s="19">
        <v>30.7</v>
      </c>
      <c r="HR1104" s="19">
        <v>29.7</v>
      </c>
      <c r="HS1104" s="19">
        <v>28.7</v>
      </c>
      <c r="HT1104" s="19">
        <v>27.7</v>
      </c>
      <c r="HU1104" s="19">
        <v>26.7</v>
      </c>
      <c r="HV1104" s="19">
        <v>25.7</v>
      </c>
      <c r="HW1104" s="19">
        <v>24.7</v>
      </c>
      <c r="HX1104" s="19">
        <v>23.7</v>
      </c>
      <c r="HY1104" s="19">
        <v>22.7</v>
      </c>
      <c r="HZ1104" s="19">
        <v>21.7</v>
      </c>
      <c r="IA1104" s="19">
        <v>20.7</v>
      </c>
      <c r="IB1104" s="19">
        <v>19.7</v>
      </c>
    </row>
    <row r="1105">
      <c r="A1105" s="2" t="s">
        <v>5489</v>
      </c>
      <c r="B1105" s="2" t="s">
        <v>279</v>
      </c>
      <c r="C1105" s="2" t="s">
        <v>223</v>
      </c>
      <c r="D1105" s="2" t="s">
        <v>281</v>
      </c>
      <c r="E1105" s="2" t="s">
        <v>282</v>
      </c>
      <c r="F1105" s="2" t="s">
        <v>5452</v>
      </c>
      <c r="G1105" s="2" t="s">
        <v>5452</v>
      </c>
      <c r="H1105" s="2" t="s">
        <v>5452</v>
      </c>
      <c r="I1105" s="2" t="s">
        <v>345</v>
      </c>
      <c r="J1105" s="2" t="s">
        <v>252</v>
      </c>
      <c r="K1105" s="2" t="s">
        <v>642</v>
      </c>
      <c r="L1105" s="3">
        <v>16.5</v>
      </c>
      <c r="M1105" s="3">
        <v>17.32</v>
      </c>
      <c r="N1105" s="3">
        <v>32.99</v>
      </c>
      <c r="O1105" s="2" t="s">
        <v>230</v>
      </c>
      <c r="P1105" s="2" t="s">
        <v>231</v>
      </c>
      <c r="Q1105" s="2" t="s">
        <v>232</v>
      </c>
      <c r="R1105" s="2" t="s">
        <v>233</v>
      </c>
      <c r="S1105" s="2" t="s">
        <v>5486</v>
      </c>
      <c r="T1105" s="2" t="s">
        <v>5454</v>
      </c>
      <c r="U1105" s="2" t="s">
        <v>287</v>
      </c>
      <c r="V1105" s="2" t="s">
        <v>236</v>
      </c>
      <c r="W1105" s="2" t="s">
        <v>237</v>
      </c>
      <c r="X1105" s="2" t="s">
        <v>620</v>
      </c>
      <c r="Y1105" s="2" t="s">
        <v>5487</v>
      </c>
      <c r="Z1105" s="4">
        <v>123</v>
      </c>
      <c r="AA1105" s="4">
        <f>=ROUNDDOWN(26.7391304347826,0)</f>
      </c>
      <c r="AB1105" s="5">
        <v>4.6</v>
      </c>
      <c r="AC1105" s="2" t="s">
        <v>152</v>
      </c>
      <c r="AD1105" s="4">
        <v>70</v>
      </c>
      <c r="AE1105" s="4">
        <v>70</v>
      </c>
      <c r="AF1105" s="6">
        <v>66</v>
      </c>
      <c r="AG1105" s="6"/>
      <c r="AH1105" s="7">
        <v>1</v>
      </c>
      <c r="AI1105" s="4"/>
      <c r="AJ1105" s="4">
        <f>=ROUNDDOWN({0},0)</f>
      </c>
      <c r="AK1105" s="5"/>
      <c r="AL1105" s="2" t="s">
        <v>233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233</v>
      </c>
      <c r="AW1105" s="8" t="s">
        <v>233</v>
      </c>
      <c r="AX1105" s="4" t="s">
        <v>233</v>
      </c>
      <c r="AY1105" s="8" t="s">
        <v>233</v>
      </c>
      <c r="AZ1105" s="7" t="s">
        <v>233</v>
      </c>
      <c r="BA1105" s="7" t="s">
        <v>233</v>
      </c>
      <c r="BB1105" s="7"/>
      <c r="BC1105" s="4" t="s">
        <v>233</v>
      </c>
      <c r="BD1105" s="8" t="s">
        <v>233</v>
      </c>
      <c r="BE1105" s="4" t="s">
        <v>233</v>
      </c>
      <c r="BF1105" s="8" t="s">
        <v>233</v>
      </c>
      <c r="BG1105" s="7" t="s">
        <v>233</v>
      </c>
      <c r="BH1105" s="7" t="s">
        <v>233</v>
      </c>
      <c r="BI1105" s="7"/>
      <c r="BJ1105" s="4">
        <v>17</v>
      </c>
      <c r="BK1105" s="8">
        <v>279.46</v>
      </c>
      <c r="BL1105" s="2" t="s">
        <v>5490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5456</v>
      </c>
      <c r="BV1105" s="2" t="s">
        <v>233</v>
      </c>
      <c r="BW1105" s="2" t="s">
        <v>233</v>
      </c>
      <c r="BX1105" s="2" t="s">
        <v>241</v>
      </c>
      <c r="BY1105" s="2" t="s">
        <v>242</v>
      </c>
      <c r="BZ1105" s="2" t="s">
        <v>230</v>
      </c>
      <c r="CA1105" s="2" t="s">
        <v>5487</v>
      </c>
      <c r="CB1105" s="2" t="s">
        <v>4388</v>
      </c>
      <c r="CC1105" s="2" t="s">
        <v>245</v>
      </c>
      <c r="CD1105" s="2" t="s">
        <v>233</v>
      </c>
      <c r="CE1105" s="4">
        <v>123</v>
      </c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>
        <v>70</v>
      </c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>
        <v>125</v>
      </c>
      <c r="GD1105" s="4">
        <v>120</v>
      </c>
      <c r="GE1105" s="4">
        <v>114</v>
      </c>
      <c r="GF1105" s="4">
        <v>107</v>
      </c>
      <c r="GG1105" s="4">
        <v>163</v>
      </c>
      <c r="GH1105" s="4">
        <v>150</v>
      </c>
      <c r="GI1105" s="4">
        <v>139</v>
      </c>
      <c r="GJ1105" s="4">
        <v>133</v>
      </c>
      <c r="GK1105" s="4">
        <v>129</v>
      </c>
      <c r="GL1105" s="4">
        <v>124</v>
      </c>
      <c r="GM1105" s="4">
        <v>119</v>
      </c>
      <c r="GN1105" s="4">
        <v>114</v>
      </c>
      <c r="GO1105" s="4">
        <v>109</v>
      </c>
      <c r="GP1105" s="4">
        <v>104</v>
      </c>
      <c r="GQ1105" s="4">
        <v>99</v>
      </c>
      <c r="GR1105" s="4">
        <v>94</v>
      </c>
      <c r="GS1105" s="4">
        <v>89</v>
      </c>
      <c r="GT1105" s="4">
        <v>84</v>
      </c>
      <c r="GU1105" s="4">
        <v>79</v>
      </c>
      <c r="GV1105" s="4">
        <v>74</v>
      </c>
      <c r="GW1105" s="4">
        <v>69</v>
      </c>
      <c r="GX1105" s="4">
        <v>64</v>
      </c>
      <c r="GY1105" s="4">
        <v>59</v>
      </c>
      <c r="GZ1105" s="4">
        <v>54</v>
      </c>
      <c r="HA1105" s="4">
        <v>49</v>
      </c>
      <c r="HB1105" s="4">
        <v>44</v>
      </c>
      <c r="HC1105" s="19">
        <v>15.6</v>
      </c>
      <c r="HD1105" s="19">
        <v>12</v>
      </c>
      <c r="HE1105" s="19">
        <v>10.4</v>
      </c>
      <c r="HF1105" s="19">
        <v>9.7</v>
      </c>
      <c r="HG1105" s="19">
        <v>20.4</v>
      </c>
      <c r="HH1105" s="19">
        <v>25</v>
      </c>
      <c r="HI1105" s="19">
        <v>27.8</v>
      </c>
      <c r="HJ1105" s="19">
        <v>26.6</v>
      </c>
      <c r="HK1105" s="19">
        <v>25.8</v>
      </c>
      <c r="HL1105" s="19">
        <v>24.8</v>
      </c>
      <c r="HM1105" s="19">
        <v>23.8</v>
      </c>
      <c r="HN1105" s="19">
        <v>22.8</v>
      </c>
      <c r="HO1105" s="19">
        <v>21.8</v>
      </c>
      <c r="HP1105" s="19">
        <v>20.8</v>
      </c>
      <c r="HQ1105" s="19">
        <v>19.8</v>
      </c>
      <c r="HR1105" s="19">
        <v>18.8</v>
      </c>
      <c r="HS1105" s="19">
        <v>17.8</v>
      </c>
      <c r="HT1105" s="19">
        <v>16.8</v>
      </c>
      <c r="HU1105" s="19">
        <v>15.8</v>
      </c>
      <c r="HV1105" s="19">
        <v>14.8</v>
      </c>
      <c r="HW1105" s="19">
        <v>13.8</v>
      </c>
      <c r="HX1105" s="19">
        <v>12.8</v>
      </c>
      <c r="HY1105" s="19">
        <v>11.8</v>
      </c>
      <c r="HZ1105" s="19">
        <v>10.8</v>
      </c>
      <c r="IA1105" s="19">
        <v>9.8</v>
      </c>
      <c r="IB1105" s="19">
        <v>8.8</v>
      </c>
    </row>
    <row r="1106">
      <c r="A1106" s="2" t="s">
        <v>5491</v>
      </c>
      <c r="B1106" s="2" t="s">
        <v>279</v>
      </c>
      <c r="C1106" s="2" t="s">
        <v>223</v>
      </c>
      <c r="D1106" s="2" t="s">
        <v>281</v>
      </c>
      <c r="E1106" s="2" t="s">
        <v>282</v>
      </c>
      <c r="F1106" s="2" t="s">
        <v>5452</v>
      </c>
      <c r="G1106" s="2" t="s">
        <v>5452</v>
      </c>
      <c r="H1106" s="2" t="s">
        <v>5452</v>
      </c>
      <c r="I1106" s="2" t="s">
        <v>345</v>
      </c>
      <c r="J1106" s="2" t="s">
        <v>336</v>
      </c>
      <c r="K1106" s="2" t="s">
        <v>642</v>
      </c>
      <c r="L1106" s="3">
        <v>19</v>
      </c>
      <c r="M1106" s="3">
        <v>19.95</v>
      </c>
      <c r="N1106" s="3">
        <v>37.99</v>
      </c>
      <c r="O1106" s="2" t="s">
        <v>230</v>
      </c>
      <c r="P1106" s="2" t="s">
        <v>231</v>
      </c>
      <c r="Q1106" s="2" t="s">
        <v>232</v>
      </c>
      <c r="R1106" s="2" t="s">
        <v>233</v>
      </c>
      <c r="S1106" s="2" t="s">
        <v>5486</v>
      </c>
      <c r="T1106" s="2" t="s">
        <v>5454</v>
      </c>
      <c r="U1106" s="2" t="s">
        <v>287</v>
      </c>
      <c r="V1106" s="2" t="s">
        <v>236</v>
      </c>
      <c r="W1106" s="2" t="s">
        <v>237</v>
      </c>
      <c r="X1106" s="2" t="s">
        <v>620</v>
      </c>
      <c r="Y1106" s="2" t="s">
        <v>5487</v>
      </c>
      <c r="Z1106" s="4">
        <v>172</v>
      </c>
      <c r="AA1106" s="4">
        <f>=ROUNDDOWN(17.3737373737374,0)</f>
      </c>
      <c r="AB1106" s="5">
        <v>9.9</v>
      </c>
      <c r="AC1106" s="2" t="s">
        <v>152</v>
      </c>
      <c r="AD1106" s="4">
        <v>240</v>
      </c>
      <c r="AE1106" s="4">
        <v>240</v>
      </c>
      <c r="AF1106" s="6">
        <v>66</v>
      </c>
      <c r="AG1106" s="6"/>
      <c r="AH1106" s="7">
        <v>1</v>
      </c>
      <c r="AI1106" s="4"/>
      <c r="AJ1106" s="4">
        <f>=ROUNDDOWN({0},0)</f>
      </c>
      <c r="AK1106" s="5"/>
      <c r="AL1106" s="2" t="s">
        <v>233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233</v>
      </c>
      <c r="AW1106" s="8" t="s">
        <v>233</v>
      </c>
      <c r="AX1106" s="4" t="s">
        <v>233</v>
      </c>
      <c r="AY1106" s="8" t="s">
        <v>233</v>
      </c>
      <c r="AZ1106" s="7" t="s">
        <v>233</v>
      </c>
      <c r="BA1106" s="7" t="s">
        <v>233</v>
      </c>
      <c r="BB1106" s="7"/>
      <c r="BC1106" s="4" t="s">
        <v>233</v>
      </c>
      <c r="BD1106" s="8" t="s">
        <v>233</v>
      </c>
      <c r="BE1106" s="4" t="s">
        <v>233</v>
      </c>
      <c r="BF1106" s="8" t="s">
        <v>233</v>
      </c>
      <c r="BG1106" s="7" t="s">
        <v>233</v>
      </c>
      <c r="BH1106" s="7" t="s">
        <v>233</v>
      </c>
      <c r="BI1106" s="7"/>
      <c r="BJ1106" s="4">
        <v>43</v>
      </c>
      <c r="BK1106" s="8">
        <v>825.15</v>
      </c>
      <c r="BL1106" s="2" t="s">
        <v>314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5456</v>
      </c>
      <c r="BV1106" s="2" t="s">
        <v>233</v>
      </c>
      <c r="BW1106" s="2" t="s">
        <v>233</v>
      </c>
      <c r="BX1106" s="2" t="s">
        <v>241</v>
      </c>
      <c r="BY1106" s="2" t="s">
        <v>242</v>
      </c>
      <c r="BZ1106" s="2" t="s">
        <v>230</v>
      </c>
      <c r="CA1106" s="2" t="s">
        <v>5487</v>
      </c>
      <c r="CB1106" s="2" t="s">
        <v>2976</v>
      </c>
      <c r="CC1106" s="2" t="s">
        <v>245</v>
      </c>
      <c r="CD1106" s="2" t="s">
        <v>233</v>
      </c>
      <c r="CE1106" s="4">
        <v>172</v>
      </c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>
        <v>240</v>
      </c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>
        <v>179</v>
      </c>
      <c r="GD1106" s="4">
        <v>168</v>
      </c>
      <c r="GE1106" s="4">
        <v>157</v>
      </c>
      <c r="GF1106" s="4">
        <v>144</v>
      </c>
      <c r="GG1106" s="4">
        <v>357</v>
      </c>
      <c r="GH1106" s="4">
        <v>332</v>
      </c>
      <c r="GI1106" s="4">
        <v>311</v>
      </c>
      <c r="GJ1106" s="4">
        <v>300</v>
      </c>
      <c r="GK1106" s="4">
        <v>292</v>
      </c>
      <c r="GL1106" s="4">
        <v>282</v>
      </c>
      <c r="GM1106" s="4">
        <v>272</v>
      </c>
      <c r="GN1106" s="4">
        <v>262</v>
      </c>
      <c r="GO1106" s="4">
        <v>252</v>
      </c>
      <c r="GP1106" s="4">
        <v>242</v>
      </c>
      <c r="GQ1106" s="4">
        <v>232</v>
      </c>
      <c r="GR1106" s="4">
        <v>222</v>
      </c>
      <c r="GS1106" s="4">
        <v>212</v>
      </c>
      <c r="GT1106" s="4">
        <v>202</v>
      </c>
      <c r="GU1106" s="4">
        <v>192</v>
      </c>
      <c r="GV1106" s="4">
        <v>182</v>
      </c>
      <c r="GW1106" s="4">
        <v>172</v>
      </c>
      <c r="GX1106" s="4">
        <v>162</v>
      </c>
      <c r="GY1106" s="4">
        <v>152</v>
      </c>
      <c r="GZ1106" s="4">
        <v>142</v>
      </c>
      <c r="HA1106" s="4">
        <v>132</v>
      </c>
      <c r="HB1106" s="4">
        <v>122</v>
      </c>
      <c r="HC1106" s="19">
        <v>11.2</v>
      </c>
      <c r="HD1106" s="19">
        <v>8.8</v>
      </c>
      <c r="HE1106" s="19">
        <v>7.1</v>
      </c>
      <c r="HF1106" s="19">
        <v>6.9</v>
      </c>
      <c r="HG1106" s="19">
        <v>22.3</v>
      </c>
      <c r="HH1106" s="19">
        <v>27.7</v>
      </c>
      <c r="HI1106" s="19">
        <v>31.1</v>
      </c>
      <c r="HJ1106" s="19">
        <v>30</v>
      </c>
      <c r="HK1106" s="19">
        <v>29.2</v>
      </c>
      <c r="HL1106" s="19">
        <v>28.2</v>
      </c>
      <c r="HM1106" s="19">
        <v>27.2</v>
      </c>
      <c r="HN1106" s="19">
        <v>26.2</v>
      </c>
      <c r="HO1106" s="19">
        <v>25.2</v>
      </c>
      <c r="HP1106" s="19">
        <v>24.2</v>
      </c>
      <c r="HQ1106" s="19">
        <v>23.2</v>
      </c>
      <c r="HR1106" s="19">
        <v>22.2</v>
      </c>
      <c r="HS1106" s="19">
        <v>21.2</v>
      </c>
      <c r="HT1106" s="19">
        <v>20.2</v>
      </c>
      <c r="HU1106" s="19">
        <v>19.2</v>
      </c>
      <c r="HV1106" s="19">
        <v>18.2</v>
      </c>
      <c r="HW1106" s="19">
        <v>17.2</v>
      </c>
      <c r="HX1106" s="19">
        <v>16.2</v>
      </c>
      <c r="HY1106" s="19">
        <v>15.2</v>
      </c>
      <c r="HZ1106" s="19">
        <v>14.2</v>
      </c>
      <c r="IA1106" s="19">
        <v>13.2</v>
      </c>
      <c r="IB1106" s="19">
        <v>12.2</v>
      </c>
    </row>
    <row r="1107">
      <c r="A1107" s="2" t="s">
        <v>5492</v>
      </c>
      <c r="B1107" s="2" t="s">
        <v>279</v>
      </c>
      <c r="C1107" s="2" t="s">
        <v>223</v>
      </c>
      <c r="D1107" s="2" t="s">
        <v>281</v>
      </c>
      <c r="E1107" s="2" t="s">
        <v>282</v>
      </c>
      <c r="F1107" s="2" t="s">
        <v>5452</v>
      </c>
      <c r="G1107" s="2" t="s">
        <v>5452</v>
      </c>
      <c r="H1107" s="2" t="s">
        <v>5452</v>
      </c>
      <c r="I1107" s="2" t="s">
        <v>345</v>
      </c>
      <c r="J1107" s="2" t="s">
        <v>256</v>
      </c>
      <c r="K1107" s="2" t="s">
        <v>642</v>
      </c>
      <c r="L1107" s="3">
        <v>21.5</v>
      </c>
      <c r="M1107" s="3">
        <v>22.58</v>
      </c>
      <c r="N1107" s="3">
        <v>42.99</v>
      </c>
      <c r="O1107" s="2" t="s">
        <v>230</v>
      </c>
      <c r="P1107" s="2" t="s">
        <v>231</v>
      </c>
      <c r="Q1107" s="2" t="s">
        <v>232</v>
      </c>
      <c r="R1107" s="2" t="s">
        <v>233</v>
      </c>
      <c r="S1107" s="2" t="s">
        <v>5486</v>
      </c>
      <c r="T1107" s="2" t="s">
        <v>5454</v>
      </c>
      <c r="U1107" s="2" t="s">
        <v>287</v>
      </c>
      <c r="V1107" s="2" t="s">
        <v>236</v>
      </c>
      <c r="W1107" s="2" t="s">
        <v>237</v>
      </c>
      <c r="X1107" s="2" t="s">
        <v>620</v>
      </c>
      <c r="Y1107" s="2" t="s">
        <v>5487</v>
      </c>
      <c r="Z1107" s="4">
        <v>84</v>
      </c>
      <c r="AA1107" s="4">
        <f>=ROUNDDOWN(10.1204819277108,0)</f>
      </c>
      <c r="AB1107" s="5">
        <v>8.3</v>
      </c>
      <c r="AC1107" s="2" t="s">
        <v>152</v>
      </c>
      <c r="AD1107" s="4">
        <v>160</v>
      </c>
      <c r="AE1107" s="4">
        <v>160</v>
      </c>
      <c r="AF1107" s="6">
        <v>66</v>
      </c>
      <c r="AG1107" s="6"/>
      <c r="AH1107" s="7">
        <v>1</v>
      </c>
      <c r="AI1107" s="4"/>
      <c r="AJ1107" s="4">
        <f>=ROUNDDOWN({0},0)</f>
      </c>
      <c r="AK1107" s="5"/>
      <c r="AL1107" s="2" t="s">
        <v>233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233</v>
      </c>
      <c r="AW1107" s="8" t="s">
        <v>233</v>
      </c>
      <c r="AX1107" s="4" t="s">
        <v>233</v>
      </c>
      <c r="AY1107" s="8" t="s">
        <v>233</v>
      </c>
      <c r="AZ1107" s="7" t="s">
        <v>233</v>
      </c>
      <c r="BA1107" s="7" t="s">
        <v>233</v>
      </c>
      <c r="BB1107" s="7"/>
      <c r="BC1107" s="4" t="s">
        <v>233</v>
      </c>
      <c r="BD1107" s="8" t="s">
        <v>233</v>
      </c>
      <c r="BE1107" s="4" t="s">
        <v>233</v>
      </c>
      <c r="BF1107" s="8" t="s">
        <v>233</v>
      </c>
      <c r="BG1107" s="7" t="s">
        <v>233</v>
      </c>
      <c r="BH1107" s="7" t="s">
        <v>233</v>
      </c>
      <c r="BI1107" s="7"/>
      <c r="BJ1107" s="4">
        <v>42</v>
      </c>
      <c r="BK1107" s="8">
        <v>988.85</v>
      </c>
      <c r="BL1107" s="2" t="s">
        <v>5493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5456</v>
      </c>
      <c r="BV1107" s="2" t="s">
        <v>233</v>
      </c>
      <c r="BW1107" s="2" t="s">
        <v>233</v>
      </c>
      <c r="BX1107" s="2" t="s">
        <v>241</v>
      </c>
      <c r="BY1107" s="2" t="s">
        <v>242</v>
      </c>
      <c r="BZ1107" s="2" t="s">
        <v>230</v>
      </c>
      <c r="CA1107" s="2" t="s">
        <v>5487</v>
      </c>
      <c r="CB1107" s="2" t="s">
        <v>5494</v>
      </c>
      <c r="CC1107" s="2" t="s">
        <v>245</v>
      </c>
      <c r="CD1107" s="2" t="s">
        <v>233</v>
      </c>
      <c r="CE1107" s="4">
        <v>84</v>
      </c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>
        <v>160</v>
      </c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>
        <v>87</v>
      </c>
      <c r="GD1107" s="4">
        <v>80</v>
      </c>
      <c r="GE1107" s="4">
        <v>72</v>
      </c>
      <c r="GF1107" s="4">
        <v>62</v>
      </c>
      <c r="GG1107" s="4">
        <v>202</v>
      </c>
      <c r="GH1107" s="4">
        <v>184</v>
      </c>
      <c r="GI1107" s="4">
        <v>168</v>
      </c>
      <c r="GJ1107" s="4">
        <v>160</v>
      </c>
      <c r="GK1107" s="4">
        <v>154</v>
      </c>
      <c r="GL1107" s="4">
        <v>146</v>
      </c>
      <c r="GM1107" s="4">
        <v>138</v>
      </c>
      <c r="GN1107" s="4">
        <v>130</v>
      </c>
      <c r="GO1107" s="4">
        <v>122</v>
      </c>
      <c r="GP1107" s="4">
        <v>114</v>
      </c>
      <c r="GQ1107" s="4">
        <v>106</v>
      </c>
      <c r="GR1107" s="4">
        <v>98</v>
      </c>
      <c r="GS1107" s="4">
        <v>90</v>
      </c>
      <c r="GT1107" s="4">
        <v>82</v>
      </c>
      <c r="GU1107" s="4">
        <v>74</v>
      </c>
      <c r="GV1107" s="4">
        <v>66</v>
      </c>
      <c r="GW1107" s="4">
        <v>58</v>
      </c>
      <c r="GX1107" s="4">
        <v>50</v>
      </c>
      <c r="GY1107" s="4">
        <v>42</v>
      </c>
      <c r="GZ1107" s="4">
        <v>34</v>
      </c>
      <c r="HA1107" s="4">
        <v>26</v>
      </c>
      <c r="HB1107" s="4">
        <v>18</v>
      </c>
      <c r="HC1107" s="19">
        <v>7.9</v>
      </c>
      <c r="HD1107" s="19">
        <v>5.7</v>
      </c>
      <c r="HE1107" s="19">
        <v>4.5</v>
      </c>
      <c r="HF1107" s="19">
        <v>3.9</v>
      </c>
      <c r="HG1107" s="19">
        <v>16.8</v>
      </c>
      <c r="HH1107" s="19">
        <v>18.4</v>
      </c>
      <c r="HI1107" s="19">
        <v>21</v>
      </c>
      <c r="HJ1107" s="19">
        <v>20</v>
      </c>
      <c r="HK1107" s="19">
        <v>19.3</v>
      </c>
      <c r="HL1107" s="19">
        <v>18.3</v>
      </c>
      <c r="HM1107" s="19">
        <v>17.3</v>
      </c>
      <c r="HN1107" s="19">
        <v>16.3</v>
      </c>
      <c r="HO1107" s="19">
        <v>15.3</v>
      </c>
      <c r="HP1107" s="19">
        <v>14.3</v>
      </c>
      <c r="HQ1107" s="19">
        <v>13.3</v>
      </c>
      <c r="HR1107" s="19">
        <v>12.3</v>
      </c>
      <c r="HS1107" s="19">
        <v>11.3</v>
      </c>
      <c r="HT1107" s="19">
        <v>10.3</v>
      </c>
      <c r="HU1107" s="19">
        <v>9.3</v>
      </c>
      <c r="HV1107" s="19">
        <v>8.3</v>
      </c>
      <c r="HW1107" s="19">
        <v>7.3</v>
      </c>
      <c r="HX1107" s="19">
        <v>6.3</v>
      </c>
      <c r="HY1107" s="19">
        <v>5.3</v>
      </c>
      <c r="HZ1107" s="19">
        <v>4.3</v>
      </c>
      <c r="IA1107" s="19">
        <v>3.3</v>
      </c>
      <c r="IB1107" s="19">
        <v>2.3</v>
      </c>
    </row>
    <row r="1108">
      <c r="A1108" s="2" t="s">
        <v>5495</v>
      </c>
      <c r="B1108" s="2" t="s">
        <v>279</v>
      </c>
      <c r="C1108" s="2" t="s">
        <v>223</v>
      </c>
      <c r="D1108" s="2" t="s">
        <v>281</v>
      </c>
      <c r="E1108" s="2" t="s">
        <v>282</v>
      </c>
      <c r="F1108" s="2" t="s">
        <v>5452</v>
      </c>
      <c r="G1108" s="2" t="s">
        <v>5452</v>
      </c>
      <c r="H1108" s="2" t="s">
        <v>5452</v>
      </c>
      <c r="I1108" s="2" t="s">
        <v>345</v>
      </c>
      <c r="J1108" s="2" t="s">
        <v>228</v>
      </c>
      <c r="K1108" s="2" t="s">
        <v>266</v>
      </c>
      <c r="L1108" s="3">
        <v>16.5</v>
      </c>
      <c r="M1108" s="3">
        <v>17.32</v>
      </c>
      <c r="N1108" s="3">
        <v>32.99</v>
      </c>
      <c r="O1108" s="2" t="s">
        <v>230</v>
      </c>
      <c r="P1108" s="2" t="s">
        <v>231</v>
      </c>
      <c r="Q1108" s="2" t="s">
        <v>232</v>
      </c>
      <c r="R1108" s="2" t="s">
        <v>233</v>
      </c>
      <c r="S1108" s="2" t="s">
        <v>5496</v>
      </c>
      <c r="T1108" s="2" t="s">
        <v>5454</v>
      </c>
      <c r="U1108" s="2" t="s">
        <v>233</v>
      </c>
      <c r="V1108" s="2" t="s">
        <v>236</v>
      </c>
      <c r="W1108" s="2" t="s">
        <v>237</v>
      </c>
      <c r="X1108" s="2" t="s">
        <v>233</v>
      </c>
      <c r="Y1108" s="2" t="s">
        <v>5317</v>
      </c>
      <c r="Z1108" s="4">
        <v>185</v>
      </c>
      <c r="AA1108" s="4">
        <f>=ROUNDDOWN(68.5185185185185,0)</f>
      </c>
      <c r="AB1108" s="5">
        <v>2.7</v>
      </c>
      <c r="AC1108" s="2" t="s">
        <v>152</v>
      </c>
      <c r="AD1108" s="4">
        <v>20</v>
      </c>
      <c r="AE1108" s="4">
        <v>20</v>
      </c>
      <c r="AF1108" s="6">
        <v>66</v>
      </c>
      <c r="AG1108" s="6"/>
      <c r="AH1108" s="7">
        <v>1</v>
      </c>
      <c r="AI1108" s="4"/>
      <c r="AJ1108" s="4">
        <f>=ROUNDDOWN({0},0)</f>
      </c>
      <c r="AK1108" s="5"/>
      <c r="AL1108" s="2" t="s">
        <v>233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233</v>
      </c>
      <c r="AW1108" s="8" t="s">
        <v>233</v>
      </c>
      <c r="AX1108" s="4" t="s">
        <v>233</v>
      </c>
      <c r="AY1108" s="8" t="s">
        <v>233</v>
      </c>
      <c r="AZ1108" s="7" t="s">
        <v>233</v>
      </c>
      <c r="BA1108" s="7" t="s">
        <v>233</v>
      </c>
      <c r="BB1108" s="7"/>
      <c r="BC1108" s="4" t="s">
        <v>233</v>
      </c>
      <c r="BD1108" s="8" t="s">
        <v>233</v>
      </c>
      <c r="BE1108" s="4" t="s">
        <v>233</v>
      </c>
      <c r="BF1108" s="8" t="s">
        <v>233</v>
      </c>
      <c r="BG1108" s="7" t="s">
        <v>233</v>
      </c>
      <c r="BH1108" s="7" t="s">
        <v>233</v>
      </c>
      <c r="BI1108" s="7"/>
      <c r="BJ1108" s="4">
        <v>4</v>
      </c>
      <c r="BK1108" s="8">
        <v>69.26</v>
      </c>
      <c r="BL1108" s="2" t="s">
        <v>5497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5456</v>
      </c>
      <c r="BV1108" s="2" t="s">
        <v>233</v>
      </c>
      <c r="BW1108" s="2" t="s">
        <v>233</v>
      </c>
      <c r="BX1108" s="2" t="s">
        <v>241</v>
      </c>
      <c r="BY1108" s="2" t="s">
        <v>242</v>
      </c>
      <c r="BZ1108" s="2" t="s">
        <v>230</v>
      </c>
      <c r="CA1108" s="2" t="s">
        <v>5457</v>
      </c>
      <c r="CB1108" s="2" t="s">
        <v>5498</v>
      </c>
      <c r="CC1108" s="2" t="s">
        <v>245</v>
      </c>
      <c r="CD1108" s="2" t="s">
        <v>233</v>
      </c>
      <c r="CE1108" s="4">
        <v>185</v>
      </c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>
        <v>20</v>
      </c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>
        <v>185</v>
      </c>
      <c r="GD1108" s="4">
        <v>183</v>
      </c>
      <c r="GE1108" s="4">
        <v>180</v>
      </c>
      <c r="GF1108" s="4">
        <v>176</v>
      </c>
      <c r="GG1108" s="4">
        <v>188</v>
      </c>
      <c r="GH1108" s="4">
        <v>180</v>
      </c>
      <c r="GI1108" s="4">
        <v>174</v>
      </c>
      <c r="GJ1108" s="4">
        <v>171</v>
      </c>
      <c r="GK1108" s="4">
        <v>169</v>
      </c>
      <c r="GL1108" s="4">
        <v>166</v>
      </c>
      <c r="GM1108" s="4">
        <v>163</v>
      </c>
      <c r="GN1108" s="4">
        <v>160</v>
      </c>
      <c r="GO1108" s="4">
        <v>157</v>
      </c>
      <c r="GP1108" s="4">
        <v>154</v>
      </c>
      <c r="GQ1108" s="4">
        <v>151</v>
      </c>
      <c r="GR1108" s="4">
        <v>148</v>
      </c>
      <c r="GS1108" s="4">
        <v>145</v>
      </c>
      <c r="GT1108" s="4">
        <v>142</v>
      </c>
      <c r="GU1108" s="4">
        <v>139</v>
      </c>
      <c r="GV1108" s="4">
        <v>136</v>
      </c>
      <c r="GW1108" s="4">
        <v>133</v>
      </c>
      <c r="GX1108" s="4">
        <v>130</v>
      </c>
      <c r="GY1108" s="4">
        <v>127</v>
      </c>
      <c r="GZ1108" s="4">
        <v>124</v>
      </c>
      <c r="HA1108" s="4">
        <v>121</v>
      </c>
      <c r="HB1108" s="4">
        <v>118</v>
      </c>
      <c r="HC1108" s="19">
        <v>46.3</v>
      </c>
      <c r="HD1108" s="19">
        <v>30.5</v>
      </c>
      <c r="HE1108" s="19">
        <v>30</v>
      </c>
      <c r="HF1108" s="19">
        <v>29.3</v>
      </c>
      <c r="HG1108" s="19">
        <v>37.6</v>
      </c>
      <c r="HH1108" s="19">
        <v>45</v>
      </c>
      <c r="HI1108" s="19">
        <v>58</v>
      </c>
      <c r="HJ1108" s="19">
        <v>57</v>
      </c>
      <c r="HK1108" s="19">
        <v>56.3</v>
      </c>
      <c r="HL1108" s="19">
        <v>55.3</v>
      </c>
      <c r="HM1108" s="19">
        <v>54.3</v>
      </c>
      <c r="HN1108" s="19">
        <v>53.3</v>
      </c>
      <c r="HO1108" s="19">
        <v>52.3</v>
      </c>
      <c r="HP1108" s="19">
        <v>51.3</v>
      </c>
      <c r="HQ1108" s="19">
        <v>50.3</v>
      </c>
      <c r="HR1108" s="19">
        <v>49.3</v>
      </c>
      <c r="HS1108" s="19">
        <v>48.3</v>
      </c>
      <c r="HT1108" s="19">
        <v>47.3</v>
      </c>
      <c r="HU1108" s="19">
        <v>46.3</v>
      </c>
      <c r="HV1108" s="19">
        <v>45.3</v>
      </c>
      <c r="HW1108" s="19">
        <v>44.3</v>
      </c>
      <c r="HX1108" s="19">
        <v>43.3</v>
      </c>
      <c r="HY1108" s="19">
        <v>42.3</v>
      </c>
      <c r="HZ1108" s="19">
        <v>41.3</v>
      </c>
      <c r="IA1108" s="19">
        <v>40.3</v>
      </c>
      <c r="IB1108" s="19">
        <v>39.3</v>
      </c>
    </row>
    <row r="1109">
      <c r="A1109" s="2" t="s">
        <v>5499</v>
      </c>
      <c r="B1109" s="2" t="s">
        <v>279</v>
      </c>
      <c r="C1109" s="2" t="s">
        <v>223</v>
      </c>
      <c r="D1109" s="2" t="s">
        <v>281</v>
      </c>
      <c r="E1109" s="2" t="s">
        <v>282</v>
      </c>
      <c r="F1109" s="2" t="s">
        <v>5452</v>
      </c>
      <c r="G1109" s="2" t="s">
        <v>5452</v>
      </c>
      <c r="H1109" s="2" t="s">
        <v>5452</v>
      </c>
      <c r="I1109" s="2" t="s">
        <v>345</v>
      </c>
      <c r="J1109" s="2" t="s">
        <v>252</v>
      </c>
      <c r="K1109" s="2" t="s">
        <v>266</v>
      </c>
      <c r="L1109" s="3">
        <v>16.5</v>
      </c>
      <c r="M1109" s="3">
        <v>17.32</v>
      </c>
      <c r="N1109" s="3">
        <v>32.99</v>
      </c>
      <c r="O1109" s="2" t="s">
        <v>230</v>
      </c>
      <c r="P1109" s="2" t="s">
        <v>231</v>
      </c>
      <c r="Q1109" s="2" t="s">
        <v>232</v>
      </c>
      <c r="R1109" s="2" t="s">
        <v>233</v>
      </c>
      <c r="S1109" s="2" t="s">
        <v>5496</v>
      </c>
      <c r="T1109" s="2" t="s">
        <v>5454</v>
      </c>
      <c r="U1109" s="2" t="s">
        <v>233</v>
      </c>
      <c r="V1109" s="2" t="s">
        <v>236</v>
      </c>
      <c r="W1109" s="2" t="s">
        <v>237</v>
      </c>
      <c r="X1109" s="2" t="s">
        <v>233</v>
      </c>
      <c r="Y1109" s="2" t="s">
        <v>5317</v>
      </c>
      <c r="Z1109" s="4">
        <v>105</v>
      </c>
      <c r="AA1109" s="4">
        <f>=ROUNDDOWN(17.5,0)</f>
      </c>
      <c r="AB1109" s="5">
        <v>6</v>
      </c>
      <c r="AC1109" s="2" t="s">
        <v>152</v>
      </c>
      <c r="AD1109" s="4">
        <v>190</v>
      </c>
      <c r="AE1109" s="4">
        <v>190</v>
      </c>
      <c r="AF1109" s="6">
        <v>66</v>
      </c>
      <c r="AG1109" s="6"/>
      <c r="AH1109" s="7">
        <v>1</v>
      </c>
      <c r="AI1109" s="4"/>
      <c r="AJ1109" s="4">
        <f>=ROUNDDOWN({0},0)</f>
      </c>
      <c r="AK1109" s="5"/>
      <c r="AL1109" s="2" t="s">
        <v>233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233</v>
      </c>
      <c r="AW1109" s="8" t="s">
        <v>233</v>
      </c>
      <c r="AX1109" s="4" t="s">
        <v>233</v>
      </c>
      <c r="AY1109" s="8" t="s">
        <v>233</v>
      </c>
      <c r="AZ1109" s="7" t="s">
        <v>233</v>
      </c>
      <c r="BA1109" s="7" t="s">
        <v>233</v>
      </c>
      <c r="BB1109" s="7"/>
      <c r="BC1109" s="4" t="s">
        <v>233</v>
      </c>
      <c r="BD1109" s="8" t="s">
        <v>233</v>
      </c>
      <c r="BE1109" s="4" t="s">
        <v>233</v>
      </c>
      <c r="BF1109" s="8" t="s">
        <v>233</v>
      </c>
      <c r="BG1109" s="7" t="s">
        <v>233</v>
      </c>
      <c r="BH1109" s="7" t="s">
        <v>233</v>
      </c>
      <c r="BI1109" s="7"/>
      <c r="BJ1109" s="4">
        <v>21</v>
      </c>
      <c r="BK1109" s="8">
        <v>355.42</v>
      </c>
      <c r="BL1109" s="2" t="s">
        <v>2630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5456</v>
      </c>
      <c r="BV1109" s="2" t="s">
        <v>233</v>
      </c>
      <c r="BW1109" s="2" t="s">
        <v>233</v>
      </c>
      <c r="BX1109" s="2" t="s">
        <v>241</v>
      </c>
      <c r="BY1109" s="2" t="s">
        <v>242</v>
      </c>
      <c r="BZ1109" s="2" t="s">
        <v>230</v>
      </c>
      <c r="CA1109" s="2" t="s">
        <v>5457</v>
      </c>
      <c r="CB1109" s="2" t="s">
        <v>906</v>
      </c>
      <c r="CC1109" s="2" t="s">
        <v>245</v>
      </c>
      <c r="CD1109" s="2" t="s">
        <v>233</v>
      </c>
      <c r="CE1109" s="4">
        <v>105</v>
      </c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>
        <v>190</v>
      </c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>
        <v>106</v>
      </c>
      <c r="GD1109" s="4">
        <v>101</v>
      </c>
      <c r="GE1109" s="4">
        <v>94</v>
      </c>
      <c r="GF1109" s="4">
        <v>86</v>
      </c>
      <c r="GG1109" s="4">
        <v>260</v>
      </c>
      <c r="GH1109" s="4">
        <v>245</v>
      </c>
      <c r="GI1109" s="4">
        <v>232</v>
      </c>
      <c r="GJ1109" s="4">
        <v>225</v>
      </c>
      <c r="GK1109" s="4">
        <v>220</v>
      </c>
      <c r="GL1109" s="4">
        <v>214</v>
      </c>
      <c r="GM1109" s="4">
        <v>208</v>
      </c>
      <c r="GN1109" s="4">
        <v>202</v>
      </c>
      <c r="GO1109" s="4">
        <v>196</v>
      </c>
      <c r="GP1109" s="4">
        <v>190</v>
      </c>
      <c r="GQ1109" s="4">
        <v>184</v>
      </c>
      <c r="GR1109" s="4">
        <v>178</v>
      </c>
      <c r="GS1109" s="4">
        <v>172</v>
      </c>
      <c r="GT1109" s="4">
        <v>166</v>
      </c>
      <c r="GU1109" s="4">
        <v>160</v>
      </c>
      <c r="GV1109" s="4">
        <v>154</v>
      </c>
      <c r="GW1109" s="4">
        <v>148</v>
      </c>
      <c r="GX1109" s="4">
        <v>142</v>
      </c>
      <c r="GY1109" s="4">
        <v>136</v>
      </c>
      <c r="GZ1109" s="4">
        <v>130</v>
      </c>
      <c r="HA1109" s="4">
        <v>124</v>
      </c>
      <c r="HB1109" s="4">
        <v>118</v>
      </c>
      <c r="HC1109" s="19">
        <v>11.8</v>
      </c>
      <c r="HD1109" s="19">
        <v>8.4</v>
      </c>
      <c r="HE1109" s="19">
        <v>7.2</v>
      </c>
      <c r="HF1109" s="19">
        <v>6.6</v>
      </c>
      <c r="HG1109" s="19">
        <v>26</v>
      </c>
      <c r="HH1109" s="19">
        <v>30.6</v>
      </c>
      <c r="HI1109" s="19">
        <v>38.7</v>
      </c>
      <c r="HJ1109" s="19">
        <v>37.5</v>
      </c>
      <c r="HK1109" s="19">
        <v>36.7</v>
      </c>
      <c r="HL1109" s="19">
        <v>35.7</v>
      </c>
      <c r="HM1109" s="19">
        <v>34.7</v>
      </c>
      <c r="HN1109" s="19">
        <v>33.7</v>
      </c>
      <c r="HO1109" s="19">
        <v>32.7</v>
      </c>
      <c r="HP1109" s="19">
        <v>31.7</v>
      </c>
      <c r="HQ1109" s="19">
        <v>30.7</v>
      </c>
      <c r="HR1109" s="19">
        <v>29.7</v>
      </c>
      <c r="HS1109" s="19">
        <v>28.7</v>
      </c>
      <c r="HT1109" s="19">
        <v>27.7</v>
      </c>
      <c r="HU1109" s="19">
        <v>26.7</v>
      </c>
      <c r="HV1109" s="19">
        <v>25.7</v>
      </c>
      <c r="HW1109" s="19">
        <v>24.7</v>
      </c>
      <c r="HX1109" s="19">
        <v>23.7</v>
      </c>
      <c r="HY1109" s="19">
        <v>22.7</v>
      </c>
      <c r="HZ1109" s="19">
        <v>21.7</v>
      </c>
      <c r="IA1109" s="19">
        <v>20.7</v>
      </c>
      <c r="IB1109" s="19">
        <v>19.7</v>
      </c>
    </row>
    <row r="1110">
      <c r="A1110" s="2" t="s">
        <v>5500</v>
      </c>
      <c r="B1110" s="2" t="s">
        <v>279</v>
      </c>
      <c r="C1110" s="2" t="s">
        <v>223</v>
      </c>
      <c r="D1110" s="2" t="s">
        <v>281</v>
      </c>
      <c r="E1110" s="2" t="s">
        <v>282</v>
      </c>
      <c r="F1110" s="2" t="s">
        <v>5452</v>
      </c>
      <c r="G1110" s="2" t="s">
        <v>5452</v>
      </c>
      <c r="H1110" s="2" t="s">
        <v>5452</v>
      </c>
      <c r="I1110" s="2" t="s">
        <v>345</v>
      </c>
      <c r="J1110" s="2" t="s">
        <v>336</v>
      </c>
      <c r="K1110" s="2" t="s">
        <v>266</v>
      </c>
      <c r="L1110" s="3">
        <v>19</v>
      </c>
      <c r="M1110" s="3">
        <v>19.95</v>
      </c>
      <c r="N1110" s="3">
        <v>37.99</v>
      </c>
      <c r="O1110" s="2" t="s">
        <v>230</v>
      </c>
      <c r="P1110" s="2" t="s">
        <v>231</v>
      </c>
      <c r="Q1110" s="2" t="s">
        <v>232</v>
      </c>
      <c r="R1110" s="2" t="s">
        <v>233</v>
      </c>
      <c r="S1110" s="2" t="s">
        <v>5496</v>
      </c>
      <c r="T1110" s="2" t="s">
        <v>5454</v>
      </c>
      <c r="U1110" s="2" t="s">
        <v>233</v>
      </c>
      <c r="V1110" s="2" t="s">
        <v>236</v>
      </c>
      <c r="W1110" s="2" t="s">
        <v>237</v>
      </c>
      <c r="X1110" s="2" t="s">
        <v>233</v>
      </c>
      <c r="Y1110" s="2" t="s">
        <v>5317</v>
      </c>
      <c r="Z1110" s="4">
        <v>391</v>
      </c>
      <c r="AA1110" s="4">
        <f>=ROUNDDOWN(32.5833333333333,0)</f>
      </c>
      <c r="AB1110" s="5">
        <v>12</v>
      </c>
      <c r="AC1110" s="2" t="s">
        <v>152</v>
      </c>
      <c r="AD1110" s="4">
        <v>160</v>
      </c>
      <c r="AE1110" s="4">
        <v>160</v>
      </c>
      <c r="AF1110" s="6">
        <v>66</v>
      </c>
      <c r="AG1110" s="6"/>
      <c r="AH1110" s="7">
        <v>1</v>
      </c>
      <c r="AI1110" s="4"/>
      <c r="AJ1110" s="4">
        <f>=ROUNDDOWN({0},0)</f>
      </c>
      <c r="AK1110" s="5"/>
      <c r="AL1110" s="2" t="s">
        <v>233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233</v>
      </c>
      <c r="AW1110" s="8" t="s">
        <v>233</v>
      </c>
      <c r="AX1110" s="4" t="s">
        <v>233</v>
      </c>
      <c r="AY1110" s="8" t="s">
        <v>233</v>
      </c>
      <c r="AZ1110" s="7" t="s">
        <v>233</v>
      </c>
      <c r="BA1110" s="7" t="s">
        <v>233</v>
      </c>
      <c r="BB1110" s="7"/>
      <c r="BC1110" s="4" t="s">
        <v>233</v>
      </c>
      <c r="BD1110" s="8" t="s">
        <v>233</v>
      </c>
      <c r="BE1110" s="4" t="s">
        <v>233</v>
      </c>
      <c r="BF1110" s="8" t="s">
        <v>233</v>
      </c>
      <c r="BG1110" s="7" t="s">
        <v>233</v>
      </c>
      <c r="BH1110" s="7" t="s">
        <v>233</v>
      </c>
      <c r="BI1110" s="7"/>
      <c r="BJ1110" s="4">
        <v>37</v>
      </c>
      <c r="BK1110" s="8">
        <v>774.61</v>
      </c>
      <c r="BL1110" s="2" t="s">
        <v>5501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5456</v>
      </c>
      <c r="BV1110" s="2" t="s">
        <v>233</v>
      </c>
      <c r="BW1110" s="2" t="s">
        <v>233</v>
      </c>
      <c r="BX1110" s="2" t="s">
        <v>241</v>
      </c>
      <c r="BY1110" s="2" t="s">
        <v>242</v>
      </c>
      <c r="BZ1110" s="2" t="s">
        <v>230</v>
      </c>
      <c r="CA1110" s="2" t="s">
        <v>5457</v>
      </c>
      <c r="CB1110" s="2" t="s">
        <v>3102</v>
      </c>
      <c r="CC1110" s="2" t="s">
        <v>245</v>
      </c>
      <c r="CD1110" s="2" t="s">
        <v>233</v>
      </c>
      <c r="CE1110" s="4">
        <v>391</v>
      </c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>
        <v>160</v>
      </c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>
        <v>397</v>
      </c>
      <c r="GD1110" s="4">
        <v>385</v>
      </c>
      <c r="GE1110" s="4">
        <v>372</v>
      </c>
      <c r="GF1110" s="4">
        <v>356</v>
      </c>
      <c r="GG1110" s="4">
        <v>484</v>
      </c>
      <c r="GH1110" s="4">
        <v>454</v>
      </c>
      <c r="GI1110" s="4">
        <v>429</v>
      </c>
      <c r="GJ1110" s="4">
        <v>416</v>
      </c>
      <c r="GK1110" s="4">
        <v>406</v>
      </c>
      <c r="GL1110" s="4">
        <v>394</v>
      </c>
      <c r="GM1110" s="4">
        <v>382</v>
      </c>
      <c r="GN1110" s="4">
        <v>370</v>
      </c>
      <c r="GO1110" s="4">
        <v>358</v>
      </c>
      <c r="GP1110" s="4">
        <v>346</v>
      </c>
      <c r="GQ1110" s="4">
        <v>334</v>
      </c>
      <c r="GR1110" s="4">
        <v>322</v>
      </c>
      <c r="GS1110" s="4">
        <v>310</v>
      </c>
      <c r="GT1110" s="4">
        <v>298</v>
      </c>
      <c r="GU1110" s="4">
        <v>286</v>
      </c>
      <c r="GV1110" s="4">
        <v>274</v>
      </c>
      <c r="GW1110" s="4">
        <v>262</v>
      </c>
      <c r="GX1110" s="4">
        <v>250</v>
      </c>
      <c r="GY1110" s="4">
        <v>238</v>
      </c>
      <c r="GZ1110" s="4">
        <v>226</v>
      </c>
      <c r="HA1110" s="4">
        <v>214</v>
      </c>
      <c r="HB1110" s="4">
        <v>202</v>
      </c>
      <c r="HC1110" s="19">
        <v>22.1</v>
      </c>
      <c r="HD1110" s="19">
        <v>16.7</v>
      </c>
      <c r="HE1110" s="19">
        <v>14.3</v>
      </c>
      <c r="HF1110" s="19">
        <v>14.2</v>
      </c>
      <c r="HG1110" s="19">
        <v>24.2</v>
      </c>
      <c r="HH1110" s="19">
        <v>30.3</v>
      </c>
      <c r="HI1110" s="19">
        <v>35.8</v>
      </c>
      <c r="HJ1110" s="19">
        <v>34.7</v>
      </c>
      <c r="HK1110" s="19">
        <v>33.8</v>
      </c>
      <c r="HL1110" s="19">
        <v>32.8</v>
      </c>
      <c r="HM1110" s="19">
        <v>31.8</v>
      </c>
      <c r="HN1110" s="19">
        <v>30.8</v>
      </c>
      <c r="HO1110" s="19">
        <v>29.8</v>
      </c>
      <c r="HP1110" s="19">
        <v>28.8</v>
      </c>
      <c r="HQ1110" s="19">
        <v>27.8</v>
      </c>
      <c r="HR1110" s="19">
        <v>26.8</v>
      </c>
      <c r="HS1110" s="19">
        <v>25.8</v>
      </c>
      <c r="HT1110" s="19">
        <v>24.8</v>
      </c>
      <c r="HU1110" s="19">
        <v>23.8</v>
      </c>
      <c r="HV1110" s="19">
        <v>22.8</v>
      </c>
      <c r="HW1110" s="19">
        <v>21.8</v>
      </c>
      <c r="HX1110" s="19">
        <v>20.8</v>
      </c>
      <c r="HY1110" s="19">
        <v>19.8</v>
      </c>
      <c r="HZ1110" s="19">
        <v>18.8</v>
      </c>
      <c r="IA1110" s="19">
        <v>17.8</v>
      </c>
      <c r="IB1110" s="19">
        <v>16.8</v>
      </c>
    </row>
    <row r="1111">
      <c r="A1111" s="2" t="s">
        <v>5502</v>
      </c>
      <c r="B1111" s="2" t="s">
        <v>279</v>
      </c>
      <c r="C1111" s="2" t="s">
        <v>223</v>
      </c>
      <c r="D1111" s="2" t="s">
        <v>281</v>
      </c>
      <c r="E1111" s="2" t="s">
        <v>282</v>
      </c>
      <c r="F1111" s="2" t="s">
        <v>5452</v>
      </c>
      <c r="G1111" s="2" t="s">
        <v>5452</v>
      </c>
      <c r="H1111" s="2" t="s">
        <v>5452</v>
      </c>
      <c r="I1111" s="2" t="s">
        <v>345</v>
      </c>
      <c r="J1111" s="2" t="s">
        <v>256</v>
      </c>
      <c r="K1111" s="2" t="s">
        <v>266</v>
      </c>
      <c r="L1111" s="3">
        <v>21.5</v>
      </c>
      <c r="M1111" s="3">
        <v>22.58</v>
      </c>
      <c r="N1111" s="3">
        <v>42.99</v>
      </c>
      <c r="O1111" s="2" t="s">
        <v>230</v>
      </c>
      <c r="P1111" s="2" t="s">
        <v>231</v>
      </c>
      <c r="Q1111" s="2" t="s">
        <v>232</v>
      </c>
      <c r="R1111" s="2" t="s">
        <v>233</v>
      </c>
      <c r="S1111" s="2" t="s">
        <v>5496</v>
      </c>
      <c r="T1111" s="2" t="s">
        <v>5454</v>
      </c>
      <c r="U1111" s="2" t="s">
        <v>233</v>
      </c>
      <c r="V1111" s="2" t="s">
        <v>236</v>
      </c>
      <c r="W1111" s="2" t="s">
        <v>237</v>
      </c>
      <c r="X1111" s="2" t="s">
        <v>233</v>
      </c>
      <c r="Y1111" s="2" t="s">
        <v>5317</v>
      </c>
      <c r="Z1111" s="4">
        <v>192</v>
      </c>
      <c r="AA1111" s="4">
        <f>=ROUNDDOWN(20.8695652173913,0)</f>
      </c>
      <c r="AB1111" s="5">
        <v>9.2</v>
      </c>
      <c r="AC1111" s="2" t="s">
        <v>152</v>
      </c>
      <c r="AD1111" s="4">
        <v>130</v>
      </c>
      <c r="AE1111" s="4">
        <v>130</v>
      </c>
      <c r="AF1111" s="6">
        <v>66</v>
      </c>
      <c r="AG1111" s="6"/>
      <c r="AH1111" s="7">
        <v>1</v>
      </c>
      <c r="AI1111" s="4"/>
      <c r="AJ1111" s="4">
        <f>=ROUNDDOWN({0},0)</f>
      </c>
      <c r="AK1111" s="5"/>
      <c r="AL1111" s="2" t="s">
        <v>233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233</v>
      </c>
      <c r="AW1111" s="8" t="s">
        <v>233</v>
      </c>
      <c r="AX1111" s="4" t="s">
        <v>233</v>
      </c>
      <c r="AY1111" s="8" t="s">
        <v>233</v>
      </c>
      <c r="AZ1111" s="7" t="s">
        <v>233</v>
      </c>
      <c r="BA1111" s="7" t="s">
        <v>233</v>
      </c>
      <c r="BB1111" s="7"/>
      <c r="BC1111" s="4" t="s">
        <v>233</v>
      </c>
      <c r="BD1111" s="8" t="s">
        <v>233</v>
      </c>
      <c r="BE1111" s="4" t="s">
        <v>233</v>
      </c>
      <c r="BF1111" s="8" t="s">
        <v>233</v>
      </c>
      <c r="BG1111" s="7" t="s">
        <v>233</v>
      </c>
      <c r="BH1111" s="7" t="s">
        <v>233</v>
      </c>
      <c r="BI1111" s="7"/>
      <c r="BJ1111" s="4">
        <v>42</v>
      </c>
      <c r="BK1111" s="8">
        <v>968.18</v>
      </c>
      <c r="BL1111" s="2" t="s">
        <v>5503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5456</v>
      </c>
      <c r="BV1111" s="2" t="s">
        <v>233</v>
      </c>
      <c r="BW1111" s="2" t="s">
        <v>233</v>
      </c>
      <c r="BX1111" s="2" t="s">
        <v>241</v>
      </c>
      <c r="BY1111" s="2" t="s">
        <v>242</v>
      </c>
      <c r="BZ1111" s="2" t="s">
        <v>230</v>
      </c>
      <c r="CA1111" s="2" t="s">
        <v>5457</v>
      </c>
      <c r="CB1111" s="2" t="s">
        <v>2781</v>
      </c>
      <c r="CC1111" s="2" t="s">
        <v>245</v>
      </c>
      <c r="CD1111" s="2" t="s">
        <v>233</v>
      </c>
      <c r="CE1111" s="4">
        <v>192</v>
      </c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>
        <v>130</v>
      </c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>
        <v>193</v>
      </c>
      <c r="GD1111" s="4">
        <v>187</v>
      </c>
      <c r="GE1111" s="4">
        <v>178</v>
      </c>
      <c r="GF1111" s="4">
        <v>167</v>
      </c>
      <c r="GG1111" s="4">
        <v>274</v>
      </c>
      <c r="GH1111" s="4">
        <v>253</v>
      </c>
      <c r="GI1111" s="4">
        <v>235</v>
      </c>
      <c r="GJ1111" s="4">
        <v>226</v>
      </c>
      <c r="GK1111" s="4">
        <v>219</v>
      </c>
      <c r="GL1111" s="4">
        <v>210</v>
      </c>
      <c r="GM1111" s="4">
        <v>201</v>
      </c>
      <c r="GN1111" s="4">
        <v>192</v>
      </c>
      <c r="GO1111" s="4">
        <v>183</v>
      </c>
      <c r="GP1111" s="4">
        <v>174</v>
      </c>
      <c r="GQ1111" s="4">
        <v>165</v>
      </c>
      <c r="GR1111" s="4">
        <v>156</v>
      </c>
      <c r="GS1111" s="4">
        <v>147</v>
      </c>
      <c r="GT1111" s="4">
        <v>138</v>
      </c>
      <c r="GU1111" s="4">
        <v>129</v>
      </c>
      <c r="GV1111" s="4">
        <v>120</v>
      </c>
      <c r="GW1111" s="4">
        <v>111</v>
      </c>
      <c r="GX1111" s="4">
        <v>102</v>
      </c>
      <c r="GY1111" s="4">
        <v>93</v>
      </c>
      <c r="GZ1111" s="4">
        <v>84</v>
      </c>
      <c r="HA1111" s="4">
        <v>75</v>
      </c>
      <c r="HB1111" s="4">
        <v>66</v>
      </c>
      <c r="HC1111" s="19">
        <v>16.1</v>
      </c>
      <c r="HD1111" s="19">
        <v>11.7</v>
      </c>
      <c r="HE1111" s="19">
        <v>9.9</v>
      </c>
      <c r="HF1111" s="19">
        <v>9.3</v>
      </c>
      <c r="HG1111" s="19">
        <v>19.6</v>
      </c>
      <c r="HH1111" s="19">
        <v>23</v>
      </c>
      <c r="HI1111" s="19">
        <v>29.4</v>
      </c>
      <c r="HJ1111" s="19">
        <v>28.3</v>
      </c>
      <c r="HK1111" s="19">
        <v>24.3</v>
      </c>
      <c r="HL1111" s="19">
        <v>23.3</v>
      </c>
      <c r="HM1111" s="19">
        <v>22.3</v>
      </c>
      <c r="HN1111" s="19">
        <v>21.3</v>
      </c>
      <c r="HO1111" s="19">
        <v>20.3</v>
      </c>
      <c r="HP1111" s="19">
        <v>19.3</v>
      </c>
      <c r="HQ1111" s="19">
        <v>18.3</v>
      </c>
      <c r="HR1111" s="19">
        <v>17.3</v>
      </c>
      <c r="HS1111" s="19">
        <v>16.3</v>
      </c>
      <c r="HT1111" s="19">
        <v>15.3</v>
      </c>
      <c r="HU1111" s="19">
        <v>14.3</v>
      </c>
      <c r="HV1111" s="19">
        <v>13.3</v>
      </c>
      <c r="HW1111" s="19">
        <v>12.3</v>
      </c>
      <c r="HX1111" s="19">
        <v>11.3</v>
      </c>
      <c r="HY1111" s="19">
        <v>10.3</v>
      </c>
      <c r="HZ1111" s="19">
        <v>9.3</v>
      </c>
      <c r="IA1111" s="19">
        <v>8.3</v>
      </c>
      <c r="IB1111" s="19">
        <v>7.3</v>
      </c>
    </row>
    <row r="1112">
      <c r="A1112" s="2" t="s">
        <v>5504</v>
      </c>
      <c r="B1112" s="2" t="s">
        <v>279</v>
      </c>
      <c r="C1112" s="2" t="s">
        <v>2381</v>
      </c>
      <c r="D1112" s="2" t="s">
        <v>281</v>
      </c>
      <c r="E1112" s="2" t="s">
        <v>282</v>
      </c>
      <c r="F1112" s="2" t="s">
        <v>5505</v>
      </c>
      <c r="G1112" s="2" t="s">
        <v>5505</v>
      </c>
      <c r="H1112" s="2" t="s">
        <v>5505</v>
      </c>
      <c r="I1112" s="2" t="s">
        <v>5506</v>
      </c>
      <c r="J1112" s="2" t="s">
        <v>252</v>
      </c>
      <c r="K1112" s="2" t="s">
        <v>434</v>
      </c>
      <c r="L1112" s="3">
        <v>25.3</v>
      </c>
      <c r="M1112" s="3">
        <v>26.56</v>
      </c>
      <c r="N1112" s="3">
        <v>54.99</v>
      </c>
      <c r="O1112" s="2" t="s">
        <v>230</v>
      </c>
      <c r="P1112" s="2" t="s">
        <v>231</v>
      </c>
      <c r="Q1112" s="2" t="s">
        <v>232</v>
      </c>
      <c r="R1112" s="2" t="s">
        <v>233</v>
      </c>
      <c r="S1112" s="2" t="s">
        <v>5507</v>
      </c>
      <c r="T1112" s="2" t="s">
        <v>1859</v>
      </c>
      <c r="U1112" s="2" t="s">
        <v>287</v>
      </c>
      <c r="V1112" s="2" t="s">
        <v>236</v>
      </c>
      <c r="W1112" s="2" t="s">
        <v>237</v>
      </c>
      <c r="X1112" s="2" t="s">
        <v>233</v>
      </c>
      <c r="Y1112" s="2" t="s">
        <v>238</v>
      </c>
      <c r="Z1112" s="4">
        <v>174</v>
      </c>
      <c r="AA1112" s="4">
        <f>=ROUNDDOWN(13.3846153846154,0)</f>
      </c>
      <c r="AB1112" s="5">
        <v>13</v>
      </c>
      <c r="AC1112" s="2" t="s">
        <v>622</v>
      </c>
      <c r="AD1112" s="4">
        <v>680</v>
      </c>
      <c r="AE1112" s="4">
        <v>680</v>
      </c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233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 t="s">
        <v>233</v>
      </c>
      <c r="BD1112" s="8" t="s">
        <v>233</v>
      </c>
      <c r="BE1112" s="4" t="s">
        <v>233</v>
      </c>
      <c r="BF1112" s="8" t="s">
        <v>233</v>
      </c>
      <c r="BG1112" s="7" t="s">
        <v>233</v>
      </c>
      <c r="BH1112" s="7" t="s">
        <v>233</v>
      </c>
      <c r="BI1112" s="7"/>
      <c r="BJ1112" s="4">
        <v>96</v>
      </c>
      <c r="BK1112" s="8">
        <v>2899.4</v>
      </c>
      <c r="BL1112" s="2" t="s">
        <v>4217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5508</v>
      </c>
      <c r="BV1112" s="2" t="s">
        <v>233</v>
      </c>
      <c r="BW1112" s="2" t="s">
        <v>233</v>
      </c>
      <c r="BX1112" s="2" t="s">
        <v>293</v>
      </c>
      <c r="BY1112" s="2" t="s">
        <v>242</v>
      </c>
      <c r="BZ1112" s="2" t="s">
        <v>230</v>
      </c>
      <c r="CA1112" s="2" t="s">
        <v>243</v>
      </c>
      <c r="CB1112" s="2" t="s">
        <v>5509</v>
      </c>
      <c r="CC1112" s="2" t="s">
        <v>245</v>
      </c>
      <c r="CD1112" s="2" t="s">
        <v>233</v>
      </c>
      <c r="CE1112" s="4">
        <v>87</v>
      </c>
      <c r="CF1112" s="4">
        <v>57</v>
      </c>
      <c r="CG1112" s="4"/>
      <c r="CH1112" s="4"/>
      <c r="CI1112" s="4"/>
      <c r="CJ1112" s="4"/>
      <c r="CK1112" s="4"/>
      <c r="CL1112" s="4">
        <v>30</v>
      </c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>
        <v>680</v>
      </c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>
        <v>225</v>
      </c>
      <c r="GD1112" s="4">
        <v>182</v>
      </c>
      <c r="GE1112" s="4">
        <v>164</v>
      </c>
      <c r="GF1112" s="4">
        <v>144</v>
      </c>
      <c r="GG1112" s="4">
        <v>91</v>
      </c>
      <c r="GH1112" s="4">
        <v>64</v>
      </c>
      <c r="GI1112" s="4">
        <v>32</v>
      </c>
      <c r="GJ1112" s="4">
        <v>14</v>
      </c>
      <c r="GK1112" s="4">
        <v>7</v>
      </c>
      <c r="GL1112" s="4">
        <v>1</v>
      </c>
      <c r="GM1112" s="4"/>
      <c r="GN1112" s="4"/>
      <c r="GO1112" s="4"/>
      <c r="GP1112" s="4"/>
      <c r="GQ1112" s="4"/>
      <c r="GR1112" s="4"/>
      <c r="GS1112" s="4"/>
      <c r="GT1112" s="4"/>
      <c r="GU1112" s="4"/>
      <c r="GV1112" s="4">
        <v>65</v>
      </c>
      <c r="GW1112" s="4">
        <v>51</v>
      </c>
      <c r="GX1112" s="4">
        <v>47</v>
      </c>
      <c r="GY1112" s="4">
        <v>43</v>
      </c>
      <c r="GZ1112" s="4">
        <v>41</v>
      </c>
      <c r="HA1112" s="4">
        <v>39</v>
      </c>
      <c r="HB1112" s="4">
        <v>37</v>
      </c>
      <c r="HC1112" s="19">
        <v>5.1</v>
      </c>
      <c r="HD1112" s="19">
        <v>6.1</v>
      </c>
      <c r="HE1112" s="19">
        <v>5</v>
      </c>
      <c r="HF1112" s="19">
        <v>4.5</v>
      </c>
      <c r="HG1112" s="19">
        <v>4.3</v>
      </c>
      <c r="HH1112" s="19">
        <v>4</v>
      </c>
      <c r="HI1112" s="19">
        <v>3.6</v>
      </c>
      <c r="HJ1112" s="19">
        <v>2.3</v>
      </c>
      <c r="HK1112" s="19">
        <v>1.8</v>
      </c>
      <c r="HL1112" s="19">
        <v>0.2</v>
      </c>
      <c r="HM1112" s="20">
        <v>0</v>
      </c>
      <c r="HN1112" s="20">
        <v>0</v>
      </c>
      <c r="HO1112" s="20">
        <v>0</v>
      </c>
      <c r="HP1112" s="20">
        <v>0</v>
      </c>
      <c r="HQ1112" s="20">
        <v>0</v>
      </c>
      <c r="HR1112" s="20">
        <v>0</v>
      </c>
      <c r="HS1112" s="20">
        <v>0</v>
      </c>
      <c r="HT1112" s="20">
        <v>0</v>
      </c>
      <c r="HU1112" s="20">
        <v>0</v>
      </c>
      <c r="HV1112" s="19">
        <v>10.8</v>
      </c>
      <c r="HW1112" s="19">
        <v>17</v>
      </c>
      <c r="HX1112" s="19">
        <v>23.5</v>
      </c>
      <c r="HY1112" s="19">
        <v>21.5</v>
      </c>
      <c r="HZ1112" s="19">
        <v>20.5</v>
      </c>
      <c r="IA1112" s="19">
        <v>19.5</v>
      </c>
      <c r="IB1112" s="19">
        <v>18.5</v>
      </c>
    </row>
    <row r="1113">
      <c r="A1113" s="2" t="s">
        <v>5510</v>
      </c>
      <c r="B1113" s="2" t="s">
        <v>279</v>
      </c>
      <c r="C1113" s="2" t="s">
        <v>2381</v>
      </c>
      <c r="D1113" s="2" t="s">
        <v>281</v>
      </c>
      <c r="E1113" s="2" t="s">
        <v>282</v>
      </c>
      <c r="F1113" s="2" t="s">
        <v>5505</v>
      </c>
      <c r="G1113" s="2" t="s">
        <v>5505</v>
      </c>
      <c r="H1113" s="2" t="s">
        <v>5505</v>
      </c>
      <c r="I1113" s="2" t="s">
        <v>5506</v>
      </c>
      <c r="J1113" s="2" t="s">
        <v>252</v>
      </c>
      <c r="K1113" s="2" t="s">
        <v>229</v>
      </c>
      <c r="L1113" s="3">
        <v>25.3</v>
      </c>
      <c r="M1113" s="3">
        <v>26.56</v>
      </c>
      <c r="N1113" s="3">
        <v>54.99</v>
      </c>
      <c r="O1113" s="2" t="s">
        <v>230</v>
      </c>
      <c r="P1113" s="2" t="s">
        <v>586</v>
      </c>
      <c r="Q1113" s="2" t="s">
        <v>232</v>
      </c>
      <c r="R1113" s="2" t="s">
        <v>233</v>
      </c>
      <c r="S1113" s="2" t="s">
        <v>5511</v>
      </c>
      <c r="T1113" s="2" t="s">
        <v>1859</v>
      </c>
      <c r="U1113" s="2" t="s">
        <v>287</v>
      </c>
      <c r="V1113" s="2" t="s">
        <v>236</v>
      </c>
      <c r="W1113" s="2" t="s">
        <v>237</v>
      </c>
      <c r="X1113" s="2" t="s">
        <v>233</v>
      </c>
      <c r="Y1113" s="2" t="s">
        <v>238</v>
      </c>
      <c r="Z1113" s="4">
        <v>609</v>
      </c>
      <c r="AA1113" s="4">
        <f>=ROUNDDOWN(27.6818181818182,0)</f>
      </c>
      <c r="AB1113" s="5">
        <v>22</v>
      </c>
      <c r="AC1113" s="2" t="s">
        <v>622</v>
      </c>
      <c r="AD1113" s="4">
        <v>1360</v>
      </c>
      <c r="AE1113" s="4">
        <v>1360</v>
      </c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233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233</v>
      </c>
      <c r="AW1113" s="8" t="s">
        <v>233</v>
      </c>
      <c r="AX1113" s="4" t="s">
        <v>233</v>
      </c>
      <c r="AY1113" s="8" t="s">
        <v>233</v>
      </c>
      <c r="AZ1113" s="7" t="s">
        <v>233</v>
      </c>
      <c r="BA1113" s="7" t="s">
        <v>233</v>
      </c>
      <c r="BB1113" s="7"/>
      <c r="BC1113" s="4" t="s">
        <v>233</v>
      </c>
      <c r="BD1113" s="8" t="s">
        <v>233</v>
      </c>
      <c r="BE1113" s="4" t="s">
        <v>233</v>
      </c>
      <c r="BF1113" s="8" t="s">
        <v>233</v>
      </c>
      <c r="BG1113" s="7" t="s">
        <v>233</v>
      </c>
      <c r="BH1113" s="7" t="s">
        <v>233</v>
      </c>
      <c r="BI1113" s="7"/>
      <c r="BJ1113" s="4">
        <v>111</v>
      </c>
      <c r="BK1113" s="8">
        <v>3088.68</v>
      </c>
      <c r="BL1113" s="2" t="s">
        <v>5512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5508</v>
      </c>
      <c r="BV1113" s="2" t="s">
        <v>233</v>
      </c>
      <c r="BW1113" s="2" t="s">
        <v>233</v>
      </c>
      <c r="BX1113" s="2" t="s">
        <v>293</v>
      </c>
      <c r="BY1113" s="2" t="s">
        <v>242</v>
      </c>
      <c r="BZ1113" s="2" t="s">
        <v>230</v>
      </c>
      <c r="CA1113" s="2" t="s">
        <v>2768</v>
      </c>
      <c r="CB1113" s="2" t="s">
        <v>5513</v>
      </c>
      <c r="CC1113" s="2" t="s">
        <v>245</v>
      </c>
      <c r="CD1113" s="2" t="s">
        <v>233</v>
      </c>
      <c r="CE1113" s="4">
        <v>211</v>
      </c>
      <c r="CF1113" s="4">
        <v>338</v>
      </c>
      <c r="CG1113" s="4"/>
      <c r="CH1113" s="4"/>
      <c r="CI1113" s="4"/>
      <c r="CJ1113" s="4"/>
      <c r="CK1113" s="4"/>
      <c r="CL1113" s="4">
        <v>60</v>
      </c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>
        <v>1360</v>
      </c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>
        <v>543</v>
      </c>
      <c r="GD1113" s="4">
        <v>430</v>
      </c>
      <c r="GE1113" s="4">
        <v>392</v>
      </c>
      <c r="GF1113" s="4">
        <v>352</v>
      </c>
      <c r="GG1113" s="4">
        <v>262</v>
      </c>
      <c r="GH1113" s="4">
        <v>215</v>
      </c>
      <c r="GI1113" s="4">
        <v>157</v>
      </c>
      <c r="GJ1113" s="4">
        <v>128</v>
      </c>
      <c r="GK1113" s="4">
        <v>116</v>
      </c>
      <c r="GL1113" s="4">
        <v>105</v>
      </c>
      <c r="GM1113" s="4">
        <v>95</v>
      </c>
      <c r="GN1113" s="4">
        <v>82</v>
      </c>
      <c r="GO1113" s="4">
        <v>74</v>
      </c>
      <c r="GP1113" s="4">
        <v>59</v>
      </c>
      <c r="GQ1113" s="4">
        <v>52</v>
      </c>
      <c r="GR1113" s="4">
        <v>43</v>
      </c>
      <c r="GS1113" s="4">
        <v>37</v>
      </c>
      <c r="GT1113" s="4">
        <v>31</v>
      </c>
      <c r="GU1113" s="4">
        <v>25</v>
      </c>
      <c r="GV1113" s="4">
        <v>66</v>
      </c>
      <c r="GW1113" s="4">
        <v>60</v>
      </c>
      <c r="GX1113" s="4">
        <v>54</v>
      </c>
      <c r="GY1113" s="4">
        <v>48</v>
      </c>
      <c r="GZ1113" s="4">
        <v>44</v>
      </c>
      <c r="HA1113" s="4">
        <v>40</v>
      </c>
      <c r="HB1113" s="4">
        <v>36</v>
      </c>
      <c r="HC1113" s="19">
        <v>6</v>
      </c>
      <c r="HD1113" s="19">
        <v>8</v>
      </c>
      <c r="HE1113" s="19">
        <v>6.6</v>
      </c>
      <c r="HF1113" s="19">
        <v>6.3</v>
      </c>
      <c r="HG1113" s="19">
        <v>7.3</v>
      </c>
      <c r="HH1113" s="19">
        <v>7.7</v>
      </c>
      <c r="HI1113" s="19">
        <v>9.8</v>
      </c>
      <c r="HJ1113" s="19">
        <v>10.7</v>
      </c>
      <c r="HK1113" s="19">
        <v>11.6</v>
      </c>
      <c r="HL1113" s="19">
        <v>8.8</v>
      </c>
      <c r="HM1113" s="19">
        <v>8.6</v>
      </c>
      <c r="HN1113" s="19">
        <v>8.2</v>
      </c>
      <c r="HO1113" s="19">
        <v>8.2</v>
      </c>
      <c r="HP1113" s="19">
        <v>8.4</v>
      </c>
      <c r="HQ1113" s="19">
        <v>7.4</v>
      </c>
      <c r="HR1113" s="19">
        <v>7.2</v>
      </c>
      <c r="HS1113" s="19">
        <v>6.2</v>
      </c>
      <c r="HT1113" s="19">
        <v>5.2</v>
      </c>
      <c r="HU1113" s="19">
        <v>4.2</v>
      </c>
      <c r="HV1113" s="19">
        <v>11</v>
      </c>
      <c r="HW1113" s="19">
        <v>12</v>
      </c>
      <c r="HX1113" s="19">
        <v>13.5</v>
      </c>
      <c r="HY1113" s="19">
        <v>12</v>
      </c>
      <c r="HZ1113" s="19">
        <v>11</v>
      </c>
      <c r="IA1113" s="19">
        <v>10</v>
      </c>
      <c r="IB1113" s="19">
        <v>9</v>
      </c>
    </row>
    <row r="1114">
      <c r="A1114" s="2" t="s">
        <v>5514</v>
      </c>
      <c r="B1114" s="2" t="s">
        <v>279</v>
      </c>
      <c r="C1114" s="2" t="s">
        <v>2381</v>
      </c>
      <c r="D1114" s="2" t="s">
        <v>281</v>
      </c>
      <c r="E1114" s="2" t="s">
        <v>282</v>
      </c>
      <c r="F1114" s="2" t="s">
        <v>5505</v>
      </c>
      <c r="G1114" s="2" t="s">
        <v>5505</v>
      </c>
      <c r="H1114" s="2" t="s">
        <v>5505</v>
      </c>
      <c r="I1114" s="2" t="s">
        <v>5506</v>
      </c>
      <c r="J1114" s="2" t="s">
        <v>336</v>
      </c>
      <c r="K1114" s="2" t="s">
        <v>229</v>
      </c>
      <c r="L1114" s="3">
        <v>28.35</v>
      </c>
      <c r="M1114" s="3">
        <v>29.77</v>
      </c>
      <c r="N1114" s="3">
        <v>62.99</v>
      </c>
      <c r="O1114" s="2" t="s">
        <v>230</v>
      </c>
      <c r="P1114" s="2" t="s">
        <v>1903</v>
      </c>
      <c r="Q1114" s="2" t="s">
        <v>232</v>
      </c>
      <c r="R1114" s="2" t="s">
        <v>233</v>
      </c>
      <c r="S1114" s="2" t="s">
        <v>5511</v>
      </c>
      <c r="T1114" s="2" t="s">
        <v>1859</v>
      </c>
      <c r="U1114" s="2" t="s">
        <v>287</v>
      </c>
      <c r="V1114" s="2" t="s">
        <v>236</v>
      </c>
      <c r="W1114" s="2" t="s">
        <v>237</v>
      </c>
      <c r="X1114" s="2" t="s">
        <v>233</v>
      </c>
      <c r="Y1114" s="2" t="s">
        <v>238</v>
      </c>
      <c r="Z1114" s="4">
        <v>1732</v>
      </c>
      <c r="AA1114" s="4">
        <f>=ROUNDDOWN(31.4909090909091,0)</f>
      </c>
      <c r="AB1114" s="5">
        <v>55</v>
      </c>
      <c r="AC1114" s="2" t="s">
        <v>233</v>
      </c>
      <c r="AD1114" s="4"/>
      <c r="AE1114" s="4"/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233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233</v>
      </c>
      <c r="AW1114" s="8" t="s">
        <v>233</v>
      </c>
      <c r="AX1114" s="4" t="s">
        <v>233</v>
      </c>
      <c r="AY1114" s="8" t="s">
        <v>233</v>
      </c>
      <c r="AZ1114" s="7" t="s">
        <v>233</v>
      </c>
      <c r="BA1114" s="7" t="s">
        <v>233</v>
      </c>
      <c r="BB1114" s="7"/>
      <c r="BC1114" s="4" t="s">
        <v>233</v>
      </c>
      <c r="BD1114" s="8" t="s">
        <v>233</v>
      </c>
      <c r="BE1114" s="4" t="s">
        <v>233</v>
      </c>
      <c r="BF1114" s="8" t="s">
        <v>233</v>
      </c>
      <c r="BG1114" s="7" t="s">
        <v>233</v>
      </c>
      <c r="BH1114" s="7" t="s">
        <v>233</v>
      </c>
      <c r="BI1114" s="7"/>
      <c r="BJ1114" s="4">
        <v>298</v>
      </c>
      <c r="BK1114" s="8">
        <v>9258.4</v>
      </c>
      <c r="BL1114" s="2" t="s">
        <v>5515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5508</v>
      </c>
      <c r="BV1114" s="2" t="s">
        <v>233</v>
      </c>
      <c r="BW1114" s="2" t="s">
        <v>233</v>
      </c>
      <c r="BX1114" s="2" t="s">
        <v>293</v>
      </c>
      <c r="BY1114" s="2" t="s">
        <v>242</v>
      </c>
      <c r="BZ1114" s="2" t="s">
        <v>230</v>
      </c>
      <c r="CA1114" s="2" t="s">
        <v>2768</v>
      </c>
      <c r="CB1114" s="2" t="s">
        <v>4669</v>
      </c>
      <c r="CC1114" s="2" t="s">
        <v>245</v>
      </c>
      <c r="CD1114" s="2" t="s">
        <v>233</v>
      </c>
      <c r="CE1114" s="4">
        <v>439</v>
      </c>
      <c r="CF1114" s="4">
        <v>917</v>
      </c>
      <c r="CG1114" s="4"/>
      <c r="CH1114" s="4"/>
      <c r="CI1114" s="4"/>
      <c r="CJ1114" s="4"/>
      <c r="CK1114" s="4"/>
      <c r="CL1114" s="4">
        <v>376</v>
      </c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>
        <v>1756</v>
      </c>
      <c r="GD1114" s="4">
        <v>1224</v>
      </c>
      <c r="GE1114" s="4">
        <v>1126</v>
      </c>
      <c r="GF1114" s="4">
        <v>1024</v>
      </c>
      <c r="GG1114" s="4">
        <v>800</v>
      </c>
      <c r="GH1114" s="4">
        <v>675</v>
      </c>
      <c r="GI1114" s="4">
        <v>521</v>
      </c>
      <c r="GJ1114" s="4">
        <v>444</v>
      </c>
      <c r="GK1114" s="4">
        <v>408</v>
      </c>
      <c r="GL1114" s="4">
        <v>368</v>
      </c>
      <c r="GM1114" s="4">
        <v>334</v>
      </c>
      <c r="GN1114" s="4">
        <v>290</v>
      </c>
      <c r="GO1114" s="4">
        <v>265</v>
      </c>
      <c r="GP1114" s="4">
        <v>230</v>
      </c>
      <c r="GQ1114" s="4">
        <v>208</v>
      </c>
      <c r="GR1114" s="4">
        <v>179</v>
      </c>
      <c r="GS1114" s="4">
        <v>154</v>
      </c>
      <c r="GT1114" s="4">
        <v>129</v>
      </c>
      <c r="GU1114" s="4">
        <v>104</v>
      </c>
      <c r="GV1114" s="4">
        <v>293</v>
      </c>
      <c r="GW1114" s="4">
        <v>270</v>
      </c>
      <c r="GX1114" s="4">
        <v>247</v>
      </c>
      <c r="GY1114" s="4">
        <v>224</v>
      </c>
      <c r="GZ1114" s="4">
        <v>208</v>
      </c>
      <c r="HA1114" s="4">
        <v>192</v>
      </c>
      <c r="HB1114" s="4">
        <v>176</v>
      </c>
      <c r="HC1114" s="19">
        <v>7.3</v>
      </c>
      <c r="HD1114" s="19">
        <v>8.9</v>
      </c>
      <c r="HE1114" s="19">
        <v>7.5</v>
      </c>
      <c r="HF1114" s="19">
        <v>7.1</v>
      </c>
      <c r="HG1114" s="19">
        <v>8.2</v>
      </c>
      <c r="HH1114" s="19">
        <v>8.8</v>
      </c>
      <c r="HI1114" s="19">
        <v>11.1</v>
      </c>
      <c r="HJ1114" s="19">
        <v>11.7</v>
      </c>
      <c r="HK1114" s="19">
        <v>11.3</v>
      </c>
      <c r="HL1114" s="19">
        <v>10.8</v>
      </c>
      <c r="HM1114" s="19">
        <v>10.4</v>
      </c>
      <c r="HN1114" s="19">
        <v>10.4</v>
      </c>
      <c r="HO1114" s="19">
        <v>9.5</v>
      </c>
      <c r="HP1114" s="19">
        <v>9.2</v>
      </c>
      <c r="HQ1114" s="19">
        <v>8</v>
      </c>
      <c r="HR1114" s="19">
        <v>7.5</v>
      </c>
      <c r="HS1114" s="19">
        <v>6.4</v>
      </c>
      <c r="HT1114" s="19">
        <v>5.4</v>
      </c>
      <c r="HU1114" s="19">
        <v>4.5</v>
      </c>
      <c r="HV1114" s="19">
        <v>14</v>
      </c>
      <c r="HW1114" s="19">
        <v>13.5</v>
      </c>
      <c r="HX1114" s="19">
        <v>13.7</v>
      </c>
      <c r="HY1114" s="19">
        <v>14</v>
      </c>
      <c r="HZ1114" s="19">
        <v>13</v>
      </c>
      <c r="IA1114" s="19">
        <v>12</v>
      </c>
      <c r="IB1114" s="19">
        <v>11</v>
      </c>
    </row>
    <row r="1115">
      <c r="A1115" s="2" t="s">
        <v>5516</v>
      </c>
      <c r="B1115" s="2" t="s">
        <v>279</v>
      </c>
      <c r="C1115" s="2" t="s">
        <v>2381</v>
      </c>
      <c r="D1115" s="2" t="s">
        <v>281</v>
      </c>
      <c r="E1115" s="2" t="s">
        <v>282</v>
      </c>
      <c r="F1115" s="2" t="s">
        <v>5505</v>
      </c>
      <c r="G1115" s="2" t="s">
        <v>5505</v>
      </c>
      <c r="H1115" s="2" t="s">
        <v>5505</v>
      </c>
      <c r="I1115" s="2" t="s">
        <v>5506</v>
      </c>
      <c r="J1115" s="2" t="s">
        <v>252</v>
      </c>
      <c r="K1115" s="2" t="s">
        <v>1525</v>
      </c>
      <c r="L1115" s="3">
        <v>25.3</v>
      </c>
      <c r="M1115" s="3">
        <v>26.56</v>
      </c>
      <c r="N1115" s="3">
        <v>54.99</v>
      </c>
      <c r="O1115" s="2" t="s">
        <v>230</v>
      </c>
      <c r="P1115" s="2" t="s">
        <v>231</v>
      </c>
      <c r="Q1115" s="2" t="s">
        <v>232</v>
      </c>
      <c r="R1115" s="2" t="s">
        <v>233</v>
      </c>
      <c r="S1115" s="2" t="s">
        <v>5517</v>
      </c>
      <c r="T1115" s="2" t="s">
        <v>1859</v>
      </c>
      <c r="U1115" s="2" t="s">
        <v>287</v>
      </c>
      <c r="V1115" s="2" t="s">
        <v>236</v>
      </c>
      <c r="W1115" s="2" t="s">
        <v>237</v>
      </c>
      <c r="X1115" s="2" t="s">
        <v>233</v>
      </c>
      <c r="Y1115" s="2" t="s">
        <v>1241</v>
      </c>
      <c r="Z1115" s="4">
        <v>280</v>
      </c>
      <c r="AA1115" s="4">
        <f>=ROUNDDOWN(21.5384615384615,0)</f>
      </c>
      <c r="AB1115" s="5">
        <v>13</v>
      </c>
      <c r="AC1115" s="2" t="s">
        <v>622</v>
      </c>
      <c r="AD1115" s="4">
        <v>680</v>
      </c>
      <c r="AE1115" s="4">
        <v>680</v>
      </c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233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233</v>
      </c>
      <c r="AW1115" s="8" t="s">
        <v>233</v>
      </c>
      <c r="AX1115" s="4" t="s">
        <v>233</v>
      </c>
      <c r="AY1115" s="8" t="s">
        <v>233</v>
      </c>
      <c r="AZ1115" s="7" t="s">
        <v>233</v>
      </c>
      <c r="BA1115" s="7" t="s">
        <v>233</v>
      </c>
      <c r="BB1115" s="7"/>
      <c r="BC1115" s="4" t="s">
        <v>233</v>
      </c>
      <c r="BD1115" s="8" t="s">
        <v>233</v>
      </c>
      <c r="BE1115" s="4" t="s">
        <v>233</v>
      </c>
      <c r="BF1115" s="8" t="s">
        <v>233</v>
      </c>
      <c r="BG1115" s="7" t="s">
        <v>233</v>
      </c>
      <c r="BH1115" s="7" t="s">
        <v>233</v>
      </c>
      <c r="BI1115" s="7"/>
      <c r="BJ1115" s="4">
        <v>72</v>
      </c>
      <c r="BK1115" s="8">
        <v>2002.08</v>
      </c>
      <c r="BL1115" s="2" t="s">
        <v>2060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5508</v>
      </c>
      <c r="BV1115" s="2" t="s">
        <v>233</v>
      </c>
      <c r="BW1115" s="2" t="s">
        <v>233</v>
      </c>
      <c r="BX1115" s="2" t="s">
        <v>293</v>
      </c>
      <c r="BY1115" s="2" t="s">
        <v>242</v>
      </c>
      <c r="BZ1115" s="2" t="s">
        <v>230</v>
      </c>
      <c r="CA1115" s="2" t="s">
        <v>2768</v>
      </c>
      <c r="CB1115" s="2" t="s">
        <v>1062</v>
      </c>
      <c r="CC1115" s="2" t="s">
        <v>245</v>
      </c>
      <c r="CD1115" s="2" t="s">
        <v>233</v>
      </c>
      <c r="CE1115" s="4">
        <v>55</v>
      </c>
      <c r="CF1115" s="4">
        <v>195</v>
      </c>
      <c r="CG1115" s="4"/>
      <c r="CH1115" s="4"/>
      <c r="CI1115" s="4"/>
      <c r="CJ1115" s="4"/>
      <c r="CK1115" s="4"/>
      <c r="CL1115" s="4">
        <v>30</v>
      </c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>
        <v>680</v>
      </c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>
        <v>266</v>
      </c>
      <c r="GD1115" s="4">
        <v>234</v>
      </c>
      <c r="GE1115" s="4">
        <v>212</v>
      </c>
      <c r="GF1115" s="4">
        <v>190</v>
      </c>
      <c r="GG1115" s="4">
        <v>142</v>
      </c>
      <c r="GH1115" s="4">
        <v>116</v>
      </c>
      <c r="GI1115" s="4">
        <v>85</v>
      </c>
      <c r="GJ1115" s="4">
        <v>69</v>
      </c>
      <c r="GK1115" s="4">
        <v>62</v>
      </c>
      <c r="GL1115" s="4">
        <v>56</v>
      </c>
      <c r="GM1115" s="4">
        <v>50</v>
      </c>
      <c r="GN1115" s="4">
        <v>43</v>
      </c>
      <c r="GO1115" s="4">
        <v>38</v>
      </c>
      <c r="GP1115" s="4">
        <v>30</v>
      </c>
      <c r="GQ1115" s="4">
        <v>26</v>
      </c>
      <c r="GR1115" s="4">
        <v>21</v>
      </c>
      <c r="GS1115" s="4">
        <v>17</v>
      </c>
      <c r="GT1115" s="4">
        <v>13</v>
      </c>
      <c r="GU1115" s="4">
        <v>9</v>
      </c>
      <c r="GV1115" s="4">
        <v>57</v>
      </c>
      <c r="GW1115" s="4">
        <v>53</v>
      </c>
      <c r="GX1115" s="4">
        <v>49</v>
      </c>
      <c r="GY1115" s="4">
        <v>45</v>
      </c>
      <c r="GZ1115" s="4">
        <v>42</v>
      </c>
      <c r="HA1115" s="4">
        <v>39</v>
      </c>
      <c r="HB1115" s="4">
        <v>36</v>
      </c>
      <c r="HC1115" s="19">
        <v>6.5</v>
      </c>
      <c r="HD1115" s="19">
        <v>7.8</v>
      </c>
      <c r="HE1115" s="19">
        <v>6.6</v>
      </c>
      <c r="HF1115" s="19">
        <v>6.3</v>
      </c>
      <c r="HG1115" s="19">
        <v>7.1</v>
      </c>
      <c r="HH1115" s="19">
        <v>7.7</v>
      </c>
      <c r="HI1115" s="19">
        <v>9.4</v>
      </c>
      <c r="HJ1115" s="19">
        <v>11.5</v>
      </c>
      <c r="HK1115" s="19">
        <v>10.3</v>
      </c>
      <c r="HL1115" s="19">
        <v>9.3</v>
      </c>
      <c r="HM1115" s="19">
        <v>8.3</v>
      </c>
      <c r="HN1115" s="19">
        <v>7.2</v>
      </c>
      <c r="HO1115" s="19">
        <v>7.6</v>
      </c>
      <c r="HP1115" s="19">
        <v>7.5</v>
      </c>
      <c r="HQ1115" s="19">
        <v>6.5</v>
      </c>
      <c r="HR1115" s="19">
        <v>5.3</v>
      </c>
      <c r="HS1115" s="19">
        <v>4.3</v>
      </c>
      <c r="HT1115" s="19">
        <v>3.3</v>
      </c>
      <c r="HU1115" s="19">
        <v>2.3</v>
      </c>
      <c r="HV1115" s="19">
        <v>14.3</v>
      </c>
      <c r="HW1115" s="19">
        <v>13.3</v>
      </c>
      <c r="HX1115" s="19">
        <v>16.3</v>
      </c>
      <c r="HY1115" s="19">
        <v>15</v>
      </c>
      <c r="HZ1115" s="19">
        <v>14</v>
      </c>
      <c r="IA1115" s="19">
        <v>13</v>
      </c>
      <c r="IB1115" s="19">
        <v>12</v>
      </c>
    </row>
    <row r="1116">
      <c r="A1116" s="2" t="s">
        <v>5518</v>
      </c>
      <c r="B1116" s="2" t="s">
        <v>279</v>
      </c>
      <c r="C1116" s="2" t="s">
        <v>2381</v>
      </c>
      <c r="D1116" s="2" t="s">
        <v>281</v>
      </c>
      <c r="E1116" s="2" t="s">
        <v>282</v>
      </c>
      <c r="F1116" s="2" t="s">
        <v>5505</v>
      </c>
      <c r="G1116" s="2" t="s">
        <v>5505</v>
      </c>
      <c r="H1116" s="2" t="s">
        <v>5505</v>
      </c>
      <c r="I1116" s="2" t="s">
        <v>5506</v>
      </c>
      <c r="J1116" s="2" t="s">
        <v>256</v>
      </c>
      <c r="K1116" s="2" t="s">
        <v>1525</v>
      </c>
      <c r="L1116" s="3">
        <v>34.5</v>
      </c>
      <c r="M1116" s="3">
        <v>36.22</v>
      </c>
      <c r="N1116" s="3">
        <v>74.99</v>
      </c>
      <c r="O1116" s="2" t="s">
        <v>230</v>
      </c>
      <c r="P1116" s="2" t="s">
        <v>597</v>
      </c>
      <c r="Q1116" s="2" t="s">
        <v>232</v>
      </c>
      <c r="R1116" s="2" t="s">
        <v>233</v>
      </c>
      <c r="S1116" s="2" t="s">
        <v>5517</v>
      </c>
      <c r="T1116" s="2" t="s">
        <v>1859</v>
      </c>
      <c r="U1116" s="2" t="s">
        <v>287</v>
      </c>
      <c r="V1116" s="2" t="s">
        <v>236</v>
      </c>
      <c r="W1116" s="2" t="s">
        <v>237</v>
      </c>
      <c r="X1116" s="2" t="s">
        <v>233</v>
      </c>
      <c r="Y1116" s="2" t="s">
        <v>238</v>
      </c>
      <c r="Z1116" s="4">
        <v>477</v>
      </c>
      <c r="AA1116" s="4">
        <f>=ROUNDDOWN(16.448275862069,0)</f>
      </c>
      <c r="AB1116" s="5">
        <v>29</v>
      </c>
      <c r="AC1116" s="2" t="s">
        <v>135</v>
      </c>
      <c r="AD1116" s="4">
        <v>255</v>
      </c>
      <c r="AE1116" s="4">
        <v>2040</v>
      </c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233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233</v>
      </c>
      <c r="AW1116" s="8" t="s">
        <v>233</v>
      </c>
      <c r="AX1116" s="4" t="s">
        <v>233</v>
      </c>
      <c r="AY1116" s="8" t="s">
        <v>233</v>
      </c>
      <c r="AZ1116" s="7" t="s">
        <v>233</v>
      </c>
      <c r="BA1116" s="7" t="s">
        <v>233</v>
      </c>
      <c r="BB1116" s="7"/>
      <c r="BC1116" s="4" t="s">
        <v>233</v>
      </c>
      <c r="BD1116" s="8" t="s">
        <v>233</v>
      </c>
      <c r="BE1116" s="4" t="s">
        <v>233</v>
      </c>
      <c r="BF1116" s="8" t="s">
        <v>233</v>
      </c>
      <c r="BG1116" s="7" t="s">
        <v>233</v>
      </c>
      <c r="BH1116" s="7" t="s">
        <v>233</v>
      </c>
      <c r="BI1116" s="7"/>
      <c r="BJ1116" s="4">
        <v>197</v>
      </c>
      <c r="BK1116" s="8">
        <v>7066.84</v>
      </c>
      <c r="BL1116" s="2" t="s">
        <v>4377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5508</v>
      </c>
      <c r="BV1116" s="2" t="s">
        <v>233</v>
      </c>
      <c r="BW1116" s="2" t="s">
        <v>233</v>
      </c>
      <c r="BX1116" s="2" t="s">
        <v>293</v>
      </c>
      <c r="BY1116" s="2" t="s">
        <v>242</v>
      </c>
      <c r="BZ1116" s="2" t="s">
        <v>230</v>
      </c>
      <c r="CA1116" s="2" t="s">
        <v>2768</v>
      </c>
      <c r="CB1116" s="2" t="s">
        <v>5519</v>
      </c>
      <c r="CC1116" s="2" t="s">
        <v>245</v>
      </c>
      <c r="CD1116" s="2" t="s">
        <v>233</v>
      </c>
      <c r="CE1116" s="4">
        <v>182</v>
      </c>
      <c r="CF1116" s="4">
        <v>225</v>
      </c>
      <c r="CG1116" s="4"/>
      <c r="CH1116" s="4"/>
      <c r="CI1116" s="4"/>
      <c r="CJ1116" s="4"/>
      <c r="CK1116" s="4"/>
      <c r="CL1116" s="4">
        <v>70</v>
      </c>
      <c r="CM1116" s="4"/>
      <c r="CN1116" s="4"/>
      <c r="CO1116" s="4"/>
      <c r="CP1116" s="4"/>
      <c r="CQ1116" s="4"/>
      <c r="CR1116" s="4"/>
      <c r="CS1116" s="4"/>
      <c r="CT1116" s="4"/>
      <c r="CU1116" s="4">
        <v>255</v>
      </c>
      <c r="CV1116" s="4"/>
      <c r="CW1116" s="4"/>
      <c r="CX1116" s="4">
        <v>1785</v>
      </c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>
        <v>495</v>
      </c>
      <c r="GD1116" s="4">
        <v>495</v>
      </c>
      <c r="GE1116" s="4">
        <v>454</v>
      </c>
      <c r="GF1116" s="4">
        <v>398</v>
      </c>
      <c r="GG1116" s="4">
        <v>268</v>
      </c>
      <c r="GH1116" s="4">
        <v>203</v>
      </c>
      <c r="GI1116" s="4">
        <v>121</v>
      </c>
      <c r="GJ1116" s="4">
        <v>82</v>
      </c>
      <c r="GK1116" s="4">
        <v>69</v>
      </c>
      <c r="GL1116" s="4">
        <v>56</v>
      </c>
      <c r="GM1116" s="4">
        <v>45</v>
      </c>
      <c r="GN1116" s="4">
        <v>29</v>
      </c>
      <c r="GO1116" s="4">
        <v>21</v>
      </c>
      <c r="GP1116" s="4">
        <v>5</v>
      </c>
      <c r="GQ1116" s="4"/>
      <c r="GR1116" s="4"/>
      <c r="GS1116" s="4"/>
      <c r="GT1116" s="4"/>
      <c r="GU1116" s="4"/>
      <c r="GV1116" s="4">
        <v>166</v>
      </c>
      <c r="GW1116" s="4">
        <v>139</v>
      </c>
      <c r="GX1116" s="4">
        <v>129</v>
      </c>
      <c r="GY1116" s="4">
        <v>119</v>
      </c>
      <c r="GZ1116" s="4">
        <v>112</v>
      </c>
      <c r="HA1116" s="4">
        <v>105</v>
      </c>
      <c r="HB1116" s="4">
        <v>98</v>
      </c>
      <c r="HC1116" s="19">
        <v>5.7</v>
      </c>
      <c r="HD1116" s="19">
        <v>6.8</v>
      </c>
      <c r="HE1116" s="19">
        <v>5.5</v>
      </c>
      <c r="HF1116" s="19">
        <v>5</v>
      </c>
      <c r="HG1116" s="19">
        <v>5.4</v>
      </c>
      <c r="HH1116" s="19">
        <v>5.5</v>
      </c>
      <c r="HI1116" s="19">
        <v>6.4</v>
      </c>
      <c r="HJ1116" s="19">
        <v>6.3</v>
      </c>
      <c r="HK1116" s="19">
        <v>5.8</v>
      </c>
      <c r="HL1116" s="19">
        <v>4.3</v>
      </c>
      <c r="HM1116" s="19">
        <v>4.1</v>
      </c>
      <c r="HN1116" s="19">
        <v>3.2</v>
      </c>
      <c r="HO1116" s="19">
        <v>2.3</v>
      </c>
      <c r="HP1116" s="19">
        <v>0.7</v>
      </c>
      <c r="HQ1116" s="20">
        <v>0</v>
      </c>
      <c r="HR1116" s="20">
        <v>0</v>
      </c>
      <c r="HS1116" s="20">
        <v>0</v>
      </c>
      <c r="HT1116" s="20">
        <v>0</v>
      </c>
      <c r="HU1116" s="20">
        <v>0</v>
      </c>
      <c r="HV1116" s="19">
        <v>11.9</v>
      </c>
      <c r="HW1116" s="19">
        <v>17.4</v>
      </c>
      <c r="HX1116" s="19">
        <v>16.1</v>
      </c>
      <c r="HY1116" s="19">
        <v>17</v>
      </c>
      <c r="HZ1116" s="19">
        <v>16</v>
      </c>
      <c r="IA1116" s="19">
        <v>15</v>
      </c>
      <c r="IB1116" s="19">
        <v>14</v>
      </c>
    </row>
    <row r="1117">
      <c r="A1117" s="2" t="s">
        <v>5520</v>
      </c>
      <c r="B1117" s="2" t="s">
        <v>279</v>
      </c>
      <c r="C1117" s="2" t="s">
        <v>2381</v>
      </c>
      <c r="D1117" s="2" t="s">
        <v>281</v>
      </c>
      <c r="E1117" s="2" t="s">
        <v>282</v>
      </c>
      <c r="F1117" s="2" t="s">
        <v>5505</v>
      </c>
      <c r="G1117" s="2" t="s">
        <v>5505</v>
      </c>
      <c r="H1117" s="2" t="s">
        <v>5505</v>
      </c>
      <c r="I1117" s="2" t="s">
        <v>5506</v>
      </c>
      <c r="J1117" s="2" t="s">
        <v>228</v>
      </c>
      <c r="K1117" s="2" t="s">
        <v>1500</v>
      </c>
      <c r="L1117" s="3">
        <v>19.78</v>
      </c>
      <c r="M1117" s="3">
        <v>20.77</v>
      </c>
      <c r="N1117" s="3">
        <v>42.99</v>
      </c>
      <c r="O1117" s="2" t="s">
        <v>230</v>
      </c>
      <c r="P1117" s="2" t="s">
        <v>231</v>
      </c>
      <c r="Q1117" s="2" t="s">
        <v>232</v>
      </c>
      <c r="R1117" s="2" t="s">
        <v>233</v>
      </c>
      <c r="S1117" s="2" t="s">
        <v>5521</v>
      </c>
      <c r="T1117" s="2" t="s">
        <v>1859</v>
      </c>
      <c r="U1117" s="2" t="s">
        <v>781</v>
      </c>
      <c r="V1117" s="2" t="s">
        <v>236</v>
      </c>
      <c r="W1117" s="2" t="s">
        <v>237</v>
      </c>
      <c r="X1117" s="2" t="s">
        <v>233</v>
      </c>
      <c r="Y1117" s="2" t="s">
        <v>238</v>
      </c>
      <c r="Z1117" s="4">
        <v>197</v>
      </c>
      <c r="AA1117" s="4">
        <f>=ROUNDDOWN(17.9090909090909,0)</f>
      </c>
      <c r="AB1117" s="5">
        <v>11</v>
      </c>
      <c r="AC1117" s="2" t="s">
        <v>233</v>
      </c>
      <c r="AD1117" s="4"/>
      <c r="AE1117" s="4"/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233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233</v>
      </c>
      <c r="AW1117" s="8" t="s">
        <v>233</v>
      </c>
      <c r="AX1117" s="4" t="s">
        <v>233</v>
      </c>
      <c r="AY1117" s="8" t="s">
        <v>233</v>
      </c>
      <c r="AZ1117" s="7" t="s">
        <v>233</v>
      </c>
      <c r="BA1117" s="7" t="s">
        <v>233</v>
      </c>
      <c r="BB1117" s="7"/>
      <c r="BC1117" s="4" t="s">
        <v>233</v>
      </c>
      <c r="BD1117" s="8" t="s">
        <v>233</v>
      </c>
      <c r="BE1117" s="4" t="s">
        <v>233</v>
      </c>
      <c r="BF1117" s="8" t="s">
        <v>233</v>
      </c>
      <c r="BG1117" s="7" t="s">
        <v>233</v>
      </c>
      <c r="BH1117" s="7" t="s">
        <v>233</v>
      </c>
      <c r="BI1117" s="7"/>
      <c r="BJ1117" s="4">
        <v>66</v>
      </c>
      <c r="BK1117" s="8">
        <v>1430.42</v>
      </c>
      <c r="BL1117" s="2" t="s">
        <v>2064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5508</v>
      </c>
      <c r="BV1117" s="2" t="s">
        <v>233</v>
      </c>
      <c r="BW1117" s="2" t="s">
        <v>233</v>
      </c>
      <c r="BX1117" s="2" t="s">
        <v>293</v>
      </c>
      <c r="BY1117" s="2" t="s">
        <v>242</v>
      </c>
      <c r="BZ1117" s="2" t="s">
        <v>230</v>
      </c>
      <c r="CA1117" s="2" t="s">
        <v>243</v>
      </c>
      <c r="CB1117" s="2" t="s">
        <v>1062</v>
      </c>
      <c r="CC1117" s="2" t="s">
        <v>245</v>
      </c>
      <c r="CD1117" s="2" t="s">
        <v>233</v>
      </c>
      <c r="CE1117" s="4">
        <v>143</v>
      </c>
      <c r="CF1117" s="4">
        <v>37</v>
      </c>
      <c r="CG1117" s="4"/>
      <c r="CH1117" s="4"/>
      <c r="CI1117" s="4"/>
      <c r="CJ1117" s="4"/>
      <c r="CK1117" s="4">
        <v>2</v>
      </c>
      <c r="CL1117" s="4">
        <v>15</v>
      </c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>
        <v>230</v>
      </c>
      <c r="GD1117" s="4">
        <v>112</v>
      </c>
      <c r="GE1117" s="4">
        <v>96</v>
      </c>
      <c r="GF1117" s="4">
        <v>80</v>
      </c>
      <c r="GG1117" s="4">
        <v>47</v>
      </c>
      <c r="GH1117" s="4">
        <v>34</v>
      </c>
      <c r="GI1117" s="4">
        <v>16</v>
      </c>
      <c r="GJ1117" s="4">
        <v>7</v>
      </c>
      <c r="GK1117" s="4">
        <v>1</v>
      </c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>
        <v>105</v>
      </c>
      <c r="GW1117" s="4">
        <v>85</v>
      </c>
      <c r="GX1117" s="4">
        <v>82</v>
      </c>
      <c r="GY1117" s="4">
        <v>79</v>
      </c>
      <c r="GZ1117" s="4">
        <v>76</v>
      </c>
      <c r="HA1117" s="4">
        <v>73</v>
      </c>
      <c r="HB1117" s="4">
        <v>70</v>
      </c>
      <c r="HC1117" s="19">
        <v>5</v>
      </c>
      <c r="HD1117" s="19">
        <v>5.6</v>
      </c>
      <c r="HE1117" s="19">
        <v>4.8</v>
      </c>
      <c r="HF1117" s="19">
        <v>4.4</v>
      </c>
      <c r="HG1117" s="19">
        <v>3.9</v>
      </c>
      <c r="HH1117" s="19">
        <v>4.3</v>
      </c>
      <c r="HI1117" s="19">
        <v>4</v>
      </c>
      <c r="HJ1117" s="19">
        <v>3.5</v>
      </c>
      <c r="HK1117" s="19">
        <v>1</v>
      </c>
      <c r="HL1117" s="20">
        <v>0</v>
      </c>
      <c r="HM1117" s="20">
        <v>0</v>
      </c>
      <c r="HN1117" s="20">
        <v>0</v>
      </c>
      <c r="HO1117" s="20">
        <v>0</v>
      </c>
      <c r="HP1117" s="9"/>
      <c r="HQ1117" s="20">
        <v>0</v>
      </c>
      <c r="HR1117" s="20">
        <v>0</v>
      </c>
      <c r="HS1117" s="20">
        <v>0</v>
      </c>
      <c r="HT1117" s="20">
        <v>0</v>
      </c>
      <c r="HU1117" s="20">
        <v>0</v>
      </c>
      <c r="HV1117" s="19">
        <v>15</v>
      </c>
      <c r="HW1117" s="19">
        <v>28.3</v>
      </c>
      <c r="HX1117" s="19">
        <v>27.3</v>
      </c>
      <c r="HY1117" s="19">
        <v>26.3</v>
      </c>
      <c r="HZ1117" s="19">
        <v>25.3</v>
      </c>
      <c r="IA1117" s="19">
        <v>24.3</v>
      </c>
      <c r="IB1117" s="19">
        <v>23.3</v>
      </c>
    </row>
    <row r="1118">
      <c r="A1118" s="2" t="s">
        <v>5522</v>
      </c>
      <c r="B1118" s="2" t="s">
        <v>279</v>
      </c>
      <c r="C1118" s="2" t="s">
        <v>2381</v>
      </c>
      <c r="D1118" s="2" t="s">
        <v>281</v>
      </c>
      <c r="E1118" s="2" t="s">
        <v>282</v>
      </c>
      <c r="F1118" s="2" t="s">
        <v>5505</v>
      </c>
      <c r="G1118" s="2" t="s">
        <v>5505</v>
      </c>
      <c r="H1118" s="2" t="s">
        <v>5505</v>
      </c>
      <c r="I1118" s="2" t="s">
        <v>5506</v>
      </c>
      <c r="J1118" s="2" t="s">
        <v>252</v>
      </c>
      <c r="K1118" s="2" t="s">
        <v>1500</v>
      </c>
      <c r="L1118" s="3">
        <v>25.3</v>
      </c>
      <c r="M1118" s="3">
        <v>26.56</v>
      </c>
      <c r="N1118" s="3">
        <v>54.99</v>
      </c>
      <c r="O1118" s="2" t="s">
        <v>230</v>
      </c>
      <c r="P1118" s="2" t="s">
        <v>231</v>
      </c>
      <c r="Q1118" s="2" t="s">
        <v>232</v>
      </c>
      <c r="R1118" s="2" t="s">
        <v>233</v>
      </c>
      <c r="S1118" s="2" t="s">
        <v>5521</v>
      </c>
      <c r="T1118" s="2" t="s">
        <v>1859</v>
      </c>
      <c r="U1118" s="2" t="s">
        <v>287</v>
      </c>
      <c r="V1118" s="2" t="s">
        <v>236</v>
      </c>
      <c r="W1118" s="2" t="s">
        <v>237</v>
      </c>
      <c r="X1118" s="2" t="s">
        <v>233</v>
      </c>
      <c r="Y1118" s="2" t="s">
        <v>238</v>
      </c>
      <c r="Z1118" s="4">
        <v>373</v>
      </c>
      <c r="AA1118" s="4">
        <f>=ROUNDDOWN(24.8666666666667,0)</f>
      </c>
      <c r="AB1118" s="5">
        <v>15</v>
      </c>
      <c r="AC1118" s="2" t="s">
        <v>622</v>
      </c>
      <c r="AD1118" s="4">
        <v>680</v>
      </c>
      <c r="AE1118" s="4">
        <v>680</v>
      </c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233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233</v>
      </c>
      <c r="AW1118" s="8" t="s">
        <v>233</v>
      </c>
      <c r="AX1118" s="4" t="s">
        <v>233</v>
      </c>
      <c r="AY1118" s="8" t="s">
        <v>233</v>
      </c>
      <c r="AZ1118" s="7" t="s">
        <v>233</v>
      </c>
      <c r="BA1118" s="7" t="s">
        <v>233</v>
      </c>
      <c r="BB1118" s="7"/>
      <c r="BC1118" s="4" t="s">
        <v>233</v>
      </c>
      <c r="BD1118" s="8" t="s">
        <v>233</v>
      </c>
      <c r="BE1118" s="4" t="s">
        <v>233</v>
      </c>
      <c r="BF1118" s="8" t="s">
        <v>233</v>
      </c>
      <c r="BG1118" s="7" t="s">
        <v>233</v>
      </c>
      <c r="BH1118" s="7" t="s">
        <v>233</v>
      </c>
      <c r="BI1118" s="7"/>
      <c r="BJ1118" s="4">
        <v>67</v>
      </c>
      <c r="BK1118" s="8">
        <v>1864.05</v>
      </c>
      <c r="BL1118" s="2" t="s">
        <v>5523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5508</v>
      </c>
      <c r="BV1118" s="2" t="s">
        <v>233</v>
      </c>
      <c r="BW1118" s="2" t="s">
        <v>233</v>
      </c>
      <c r="BX1118" s="2" t="s">
        <v>293</v>
      </c>
      <c r="BY1118" s="2" t="s">
        <v>242</v>
      </c>
      <c r="BZ1118" s="2" t="s">
        <v>230</v>
      </c>
      <c r="CA1118" s="2" t="s">
        <v>2768</v>
      </c>
      <c r="CB1118" s="2" t="s">
        <v>5524</v>
      </c>
      <c r="CC1118" s="2" t="s">
        <v>245</v>
      </c>
      <c r="CD1118" s="2" t="s">
        <v>233</v>
      </c>
      <c r="CE1118" s="4">
        <v>190</v>
      </c>
      <c r="CF1118" s="4">
        <v>146</v>
      </c>
      <c r="CG1118" s="4"/>
      <c r="CH1118" s="4"/>
      <c r="CI1118" s="4"/>
      <c r="CJ1118" s="4"/>
      <c r="CK1118" s="4">
        <v>7</v>
      </c>
      <c r="CL1118" s="4">
        <v>30</v>
      </c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>
        <v>680</v>
      </c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>
        <v>338</v>
      </c>
      <c r="GD1118" s="4">
        <v>215</v>
      </c>
      <c r="GE1118" s="4">
        <v>193</v>
      </c>
      <c r="GF1118" s="4">
        <v>171</v>
      </c>
      <c r="GG1118" s="4">
        <v>128</v>
      </c>
      <c r="GH1118" s="4">
        <v>104</v>
      </c>
      <c r="GI1118" s="4">
        <v>75</v>
      </c>
      <c r="GJ1118" s="4">
        <v>59</v>
      </c>
      <c r="GK1118" s="4">
        <v>52</v>
      </c>
      <c r="GL1118" s="4">
        <v>46</v>
      </c>
      <c r="GM1118" s="4">
        <v>40</v>
      </c>
      <c r="GN1118" s="4">
        <v>33</v>
      </c>
      <c r="GO1118" s="4">
        <v>28</v>
      </c>
      <c r="GP1118" s="4">
        <v>20</v>
      </c>
      <c r="GQ1118" s="4">
        <v>15</v>
      </c>
      <c r="GR1118" s="4">
        <v>9</v>
      </c>
      <c r="GS1118" s="4">
        <v>5</v>
      </c>
      <c r="GT1118" s="4">
        <v>1</v>
      </c>
      <c r="GU1118" s="4"/>
      <c r="GV1118" s="4">
        <v>95</v>
      </c>
      <c r="GW1118" s="4">
        <v>87</v>
      </c>
      <c r="GX1118" s="4">
        <v>83</v>
      </c>
      <c r="GY1118" s="4">
        <v>79</v>
      </c>
      <c r="GZ1118" s="4">
        <v>76</v>
      </c>
      <c r="HA1118" s="4">
        <v>73</v>
      </c>
      <c r="HB1118" s="4">
        <v>70</v>
      </c>
      <c r="HC1118" s="19">
        <v>5.5</v>
      </c>
      <c r="HD1118" s="19">
        <v>7.7</v>
      </c>
      <c r="HE1118" s="19">
        <v>6.4</v>
      </c>
      <c r="HF1118" s="19">
        <v>6.1</v>
      </c>
      <c r="HG1118" s="19">
        <v>6.7</v>
      </c>
      <c r="HH1118" s="19">
        <v>7.4</v>
      </c>
      <c r="HI1118" s="19">
        <v>8.3</v>
      </c>
      <c r="HJ1118" s="19">
        <v>9.8</v>
      </c>
      <c r="HK1118" s="19">
        <v>8.7</v>
      </c>
      <c r="HL1118" s="19">
        <v>7.7</v>
      </c>
      <c r="HM1118" s="19">
        <v>6.7</v>
      </c>
      <c r="HN1118" s="19">
        <v>5.5</v>
      </c>
      <c r="HO1118" s="19">
        <v>4.7</v>
      </c>
      <c r="HP1118" s="19">
        <v>4</v>
      </c>
      <c r="HQ1118" s="19">
        <v>3.8</v>
      </c>
      <c r="HR1118" s="19">
        <v>3</v>
      </c>
      <c r="HS1118" s="19">
        <v>1.3</v>
      </c>
      <c r="HT1118" s="19">
        <v>0.3</v>
      </c>
      <c r="HU1118" s="20">
        <v>0</v>
      </c>
      <c r="HV1118" s="19">
        <v>19</v>
      </c>
      <c r="HW1118" s="19">
        <v>21.8</v>
      </c>
      <c r="HX1118" s="19">
        <v>27.7</v>
      </c>
      <c r="HY1118" s="19">
        <v>26.3</v>
      </c>
      <c r="HZ1118" s="19">
        <v>25.3</v>
      </c>
      <c r="IA1118" s="19">
        <v>24.3</v>
      </c>
      <c r="IB1118" s="19">
        <v>23.3</v>
      </c>
    </row>
    <row r="1119">
      <c r="A1119" s="2" t="s">
        <v>5525</v>
      </c>
      <c r="B1119" s="2" t="s">
        <v>279</v>
      </c>
      <c r="C1119" s="2" t="s">
        <v>2381</v>
      </c>
      <c r="D1119" s="2" t="s">
        <v>281</v>
      </c>
      <c r="E1119" s="2" t="s">
        <v>282</v>
      </c>
      <c r="F1119" s="2" t="s">
        <v>5505</v>
      </c>
      <c r="G1119" s="2" t="s">
        <v>5505</v>
      </c>
      <c r="H1119" s="2" t="s">
        <v>5505</v>
      </c>
      <c r="I1119" s="2" t="s">
        <v>5506</v>
      </c>
      <c r="J1119" s="2" t="s">
        <v>256</v>
      </c>
      <c r="K1119" s="2" t="s">
        <v>1500</v>
      </c>
      <c r="L1119" s="3">
        <v>34.5</v>
      </c>
      <c r="M1119" s="3">
        <v>36.22</v>
      </c>
      <c r="N1119" s="3">
        <v>74.99</v>
      </c>
      <c r="O1119" s="2" t="s">
        <v>230</v>
      </c>
      <c r="P1119" s="2" t="s">
        <v>231</v>
      </c>
      <c r="Q1119" s="2" t="s">
        <v>232</v>
      </c>
      <c r="R1119" s="2" t="s">
        <v>233</v>
      </c>
      <c r="S1119" s="2" t="s">
        <v>5521</v>
      </c>
      <c r="T1119" s="2" t="s">
        <v>1859</v>
      </c>
      <c r="U1119" s="2" t="s">
        <v>287</v>
      </c>
      <c r="V1119" s="2" t="s">
        <v>236</v>
      </c>
      <c r="W1119" s="2" t="s">
        <v>237</v>
      </c>
      <c r="X1119" s="2" t="s">
        <v>233</v>
      </c>
      <c r="Y1119" s="2" t="s">
        <v>1241</v>
      </c>
      <c r="Z1119" s="4">
        <v>310</v>
      </c>
      <c r="AA1119" s="4">
        <f>=ROUNDDOWN(23.8461538461538,0)</f>
      </c>
      <c r="AB1119" s="5">
        <v>13</v>
      </c>
      <c r="AC1119" s="2" t="s">
        <v>135</v>
      </c>
      <c r="AD1119" s="4">
        <v>850</v>
      </c>
      <c r="AE1119" s="4">
        <v>850</v>
      </c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233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233</v>
      </c>
      <c r="AW1119" s="8" t="s">
        <v>233</v>
      </c>
      <c r="AX1119" s="4" t="s">
        <v>233</v>
      </c>
      <c r="AY1119" s="8" t="s">
        <v>233</v>
      </c>
      <c r="AZ1119" s="7" t="s">
        <v>233</v>
      </c>
      <c r="BA1119" s="7" t="s">
        <v>233</v>
      </c>
      <c r="BB1119" s="7"/>
      <c r="BC1119" s="4" t="s">
        <v>233</v>
      </c>
      <c r="BD1119" s="8" t="s">
        <v>233</v>
      </c>
      <c r="BE1119" s="4" t="s">
        <v>233</v>
      </c>
      <c r="BF1119" s="8" t="s">
        <v>233</v>
      </c>
      <c r="BG1119" s="7" t="s">
        <v>233</v>
      </c>
      <c r="BH1119" s="7" t="s">
        <v>233</v>
      </c>
      <c r="BI1119" s="7"/>
      <c r="BJ1119" s="4">
        <v>57</v>
      </c>
      <c r="BK1119" s="8">
        <v>2140.69</v>
      </c>
      <c r="BL1119" s="2" t="s">
        <v>1923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5508</v>
      </c>
      <c r="BV1119" s="2" t="s">
        <v>233</v>
      </c>
      <c r="BW1119" s="2" t="s">
        <v>233</v>
      </c>
      <c r="BX1119" s="2" t="s">
        <v>293</v>
      </c>
      <c r="BY1119" s="2" t="s">
        <v>242</v>
      </c>
      <c r="BZ1119" s="2" t="s">
        <v>230</v>
      </c>
      <c r="CA1119" s="2" t="s">
        <v>2768</v>
      </c>
      <c r="CB1119" s="2" t="s">
        <v>5526</v>
      </c>
      <c r="CC1119" s="2" t="s">
        <v>245</v>
      </c>
      <c r="CD1119" s="2" t="s">
        <v>233</v>
      </c>
      <c r="CE1119" s="4">
        <v>53</v>
      </c>
      <c r="CF1119" s="4">
        <v>222</v>
      </c>
      <c r="CG1119" s="4"/>
      <c r="CH1119" s="4"/>
      <c r="CI1119" s="4"/>
      <c r="CJ1119" s="4"/>
      <c r="CK1119" s="4"/>
      <c r="CL1119" s="4">
        <v>35</v>
      </c>
      <c r="CM1119" s="4"/>
      <c r="CN1119" s="4"/>
      <c r="CO1119" s="4"/>
      <c r="CP1119" s="4"/>
      <c r="CQ1119" s="4"/>
      <c r="CR1119" s="4"/>
      <c r="CS1119" s="4"/>
      <c r="CT1119" s="4"/>
      <c r="CU1119" s="4">
        <v>850</v>
      </c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>
        <v>335</v>
      </c>
      <c r="GD1119" s="4">
        <v>319</v>
      </c>
      <c r="GE1119" s="4">
        <v>295</v>
      </c>
      <c r="GF1119" s="4">
        <v>269</v>
      </c>
      <c r="GG1119" s="4">
        <v>209</v>
      </c>
      <c r="GH1119" s="4">
        <v>180</v>
      </c>
      <c r="GI1119" s="4">
        <v>142</v>
      </c>
      <c r="GJ1119" s="4">
        <v>124</v>
      </c>
      <c r="GK1119" s="4">
        <v>118</v>
      </c>
      <c r="GL1119" s="4">
        <v>112</v>
      </c>
      <c r="GM1119" s="4">
        <v>107</v>
      </c>
      <c r="GN1119" s="4">
        <v>100</v>
      </c>
      <c r="GO1119" s="4">
        <v>97</v>
      </c>
      <c r="GP1119" s="4">
        <v>90</v>
      </c>
      <c r="GQ1119" s="4">
        <v>87</v>
      </c>
      <c r="GR1119" s="4">
        <v>82</v>
      </c>
      <c r="GS1119" s="4">
        <v>77</v>
      </c>
      <c r="GT1119" s="4">
        <v>72</v>
      </c>
      <c r="GU1119" s="4">
        <v>67</v>
      </c>
      <c r="GV1119" s="4">
        <v>81</v>
      </c>
      <c r="GW1119" s="4">
        <v>77</v>
      </c>
      <c r="GX1119" s="4">
        <v>73</v>
      </c>
      <c r="GY1119" s="4">
        <v>69</v>
      </c>
      <c r="GZ1119" s="4">
        <v>66</v>
      </c>
      <c r="HA1119" s="4">
        <v>63</v>
      </c>
      <c r="HB1119" s="4">
        <v>60</v>
      </c>
      <c r="HC1119" s="19">
        <v>7.6</v>
      </c>
      <c r="HD1119" s="19">
        <v>9.1</v>
      </c>
      <c r="HE1119" s="19">
        <v>7.8</v>
      </c>
      <c r="HF1119" s="19">
        <v>7.5</v>
      </c>
      <c r="HG1119" s="19">
        <v>9.1</v>
      </c>
      <c r="HH1119" s="19">
        <v>10.6</v>
      </c>
      <c r="HI1119" s="19">
        <v>15.8</v>
      </c>
      <c r="HJ1119" s="19">
        <v>20.7</v>
      </c>
      <c r="HK1119" s="19">
        <v>23.6</v>
      </c>
      <c r="HL1119" s="19">
        <v>18.7</v>
      </c>
      <c r="HM1119" s="19">
        <v>21.4</v>
      </c>
      <c r="HN1119" s="19">
        <v>25</v>
      </c>
      <c r="HO1119" s="19">
        <v>19.4</v>
      </c>
      <c r="HP1119" s="19">
        <v>22.5</v>
      </c>
      <c r="HQ1119" s="19">
        <v>17.4</v>
      </c>
      <c r="HR1119" s="19">
        <v>16.4</v>
      </c>
      <c r="HS1119" s="19">
        <v>19.3</v>
      </c>
      <c r="HT1119" s="19">
        <v>18</v>
      </c>
      <c r="HU1119" s="19">
        <v>16.8</v>
      </c>
      <c r="HV1119" s="19">
        <v>20.3</v>
      </c>
      <c r="HW1119" s="19">
        <v>19.3</v>
      </c>
      <c r="HX1119" s="19">
        <v>24.3</v>
      </c>
      <c r="HY1119" s="19">
        <v>23</v>
      </c>
      <c r="HZ1119" s="19">
        <v>22</v>
      </c>
      <c r="IA1119" s="19">
        <v>21</v>
      </c>
      <c r="IB1119" s="19">
        <v>20</v>
      </c>
    </row>
    <row r="1120">
      <c r="A1120" s="2" t="s">
        <v>5527</v>
      </c>
      <c r="B1120" s="2" t="s">
        <v>279</v>
      </c>
      <c r="C1120" s="2" t="s">
        <v>2381</v>
      </c>
      <c r="D1120" s="2" t="s">
        <v>281</v>
      </c>
      <c r="E1120" s="2" t="s">
        <v>282</v>
      </c>
      <c r="F1120" s="2" t="s">
        <v>5505</v>
      </c>
      <c r="G1120" s="2" t="s">
        <v>5505</v>
      </c>
      <c r="H1120" s="2" t="s">
        <v>5505</v>
      </c>
      <c r="I1120" s="2" t="s">
        <v>5506</v>
      </c>
      <c r="J1120" s="2" t="s">
        <v>228</v>
      </c>
      <c r="K1120" s="2" t="s">
        <v>300</v>
      </c>
      <c r="L1120" s="3">
        <v>19.78</v>
      </c>
      <c r="M1120" s="3">
        <v>20.77</v>
      </c>
      <c r="N1120" s="3">
        <v>42.99</v>
      </c>
      <c r="O1120" s="2" t="s">
        <v>230</v>
      </c>
      <c r="P1120" s="2" t="s">
        <v>1302</v>
      </c>
      <c r="Q1120" s="2" t="s">
        <v>232</v>
      </c>
      <c r="R1120" s="2" t="s">
        <v>233</v>
      </c>
      <c r="S1120" s="2" t="s">
        <v>5528</v>
      </c>
      <c r="T1120" s="2" t="s">
        <v>1859</v>
      </c>
      <c r="U1120" s="2" t="s">
        <v>781</v>
      </c>
      <c r="V1120" s="2" t="s">
        <v>236</v>
      </c>
      <c r="W1120" s="2" t="s">
        <v>237</v>
      </c>
      <c r="X1120" s="2" t="s">
        <v>233</v>
      </c>
      <c r="Y1120" s="2" t="s">
        <v>238</v>
      </c>
      <c r="Z1120" s="4">
        <v>657</v>
      </c>
      <c r="AA1120" s="4">
        <f>=ROUNDDOWN(15.2790697674419,0)</f>
      </c>
      <c r="AB1120" s="5">
        <v>43</v>
      </c>
      <c r="AC1120" s="2" t="s">
        <v>233</v>
      </c>
      <c r="AD1120" s="4"/>
      <c r="AE1120" s="4"/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233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 t="s">
        <v>233</v>
      </c>
      <c r="BD1120" s="8" t="s">
        <v>233</v>
      </c>
      <c r="BE1120" s="4" t="s">
        <v>233</v>
      </c>
      <c r="BF1120" s="8" t="s">
        <v>233</v>
      </c>
      <c r="BG1120" s="7" t="s">
        <v>233</v>
      </c>
      <c r="BH1120" s="7" t="s">
        <v>233</v>
      </c>
      <c r="BI1120" s="7"/>
      <c r="BJ1120" s="4">
        <v>599</v>
      </c>
      <c r="BK1120" s="8">
        <v>12977.73</v>
      </c>
      <c r="BL1120" s="2" t="s">
        <v>5529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5508</v>
      </c>
      <c r="BV1120" s="2" t="s">
        <v>233</v>
      </c>
      <c r="BW1120" s="2" t="s">
        <v>233</v>
      </c>
      <c r="BX1120" s="2" t="s">
        <v>293</v>
      </c>
      <c r="BY1120" s="2" t="s">
        <v>242</v>
      </c>
      <c r="BZ1120" s="2" t="s">
        <v>230</v>
      </c>
      <c r="CA1120" s="2" t="s">
        <v>2781</v>
      </c>
      <c r="CB1120" s="2" t="s">
        <v>5530</v>
      </c>
      <c r="CC1120" s="2" t="s">
        <v>245</v>
      </c>
      <c r="CD1120" s="2" t="s">
        <v>233</v>
      </c>
      <c r="CE1120" s="4">
        <v>256</v>
      </c>
      <c r="CF1120" s="4">
        <v>181</v>
      </c>
      <c r="CG1120" s="4"/>
      <c r="CH1120" s="4"/>
      <c r="CI1120" s="4"/>
      <c r="CJ1120" s="4"/>
      <c r="CK1120" s="4"/>
      <c r="CL1120" s="4">
        <v>220</v>
      </c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>
        <v>928</v>
      </c>
      <c r="GD1120" s="4">
        <v>840</v>
      </c>
      <c r="GE1120" s="4">
        <v>814</v>
      </c>
      <c r="GF1120" s="4">
        <v>784</v>
      </c>
      <c r="GG1120" s="4">
        <v>707</v>
      </c>
      <c r="GH1120" s="4">
        <v>682</v>
      </c>
      <c r="GI1120" s="4">
        <v>652</v>
      </c>
      <c r="GJ1120" s="4">
        <v>638</v>
      </c>
      <c r="GK1120" s="4">
        <v>633</v>
      </c>
      <c r="GL1120" s="4">
        <v>629</v>
      </c>
      <c r="GM1120" s="4">
        <v>626</v>
      </c>
      <c r="GN1120" s="4">
        <v>621</v>
      </c>
      <c r="GO1120" s="4">
        <v>619</v>
      </c>
      <c r="GP1120" s="4">
        <v>610</v>
      </c>
      <c r="GQ1120" s="4">
        <v>609</v>
      </c>
      <c r="GR1120" s="4">
        <v>606</v>
      </c>
      <c r="GS1120" s="4">
        <v>603</v>
      </c>
      <c r="GT1120" s="4">
        <v>600</v>
      </c>
      <c r="GU1120" s="4">
        <v>590</v>
      </c>
      <c r="GV1120" s="4">
        <v>577</v>
      </c>
      <c r="GW1120" s="4">
        <v>564</v>
      </c>
      <c r="GX1120" s="4">
        <v>551</v>
      </c>
      <c r="GY1120" s="4">
        <v>538</v>
      </c>
      <c r="GZ1120" s="4">
        <v>525</v>
      </c>
      <c r="HA1120" s="4">
        <v>512</v>
      </c>
      <c r="HB1120" s="4">
        <v>499</v>
      </c>
      <c r="HC1120" s="19">
        <v>16.9</v>
      </c>
      <c r="HD1120" s="19">
        <v>21</v>
      </c>
      <c r="HE1120" s="19">
        <v>20.4</v>
      </c>
      <c r="HF1120" s="19">
        <v>21.8</v>
      </c>
      <c r="HG1120" s="19">
        <v>39.3</v>
      </c>
      <c r="HH1120" s="19">
        <v>52.5</v>
      </c>
      <c r="HI1120" s="19">
        <v>108.7</v>
      </c>
      <c r="HJ1120" s="19">
        <v>159.5</v>
      </c>
      <c r="HK1120" s="19">
        <v>158.3</v>
      </c>
      <c r="HL1120" s="19">
        <v>125.8</v>
      </c>
      <c r="HM1120" s="19">
        <v>156.5</v>
      </c>
      <c r="HN1120" s="19">
        <v>155.3</v>
      </c>
      <c r="HO1120" s="19">
        <v>154.8</v>
      </c>
      <c r="HP1120" s="19">
        <v>305</v>
      </c>
      <c r="HQ1120" s="19">
        <v>121.8</v>
      </c>
      <c r="HR1120" s="19">
        <v>86.6</v>
      </c>
      <c r="HS1120" s="19">
        <v>60.3</v>
      </c>
      <c r="HT1120" s="19">
        <v>50</v>
      </c>
      <c r="HU1120" s="19">
        <v>45.4</v>
      </c>
      <c r="HV1120" s="19">
        <v>44.4</v>
      </c>
      <c r="HW1120" s="19">
        <v>43.4</v>
      </c>
      <c r="HX1120" s="19">
        <v>42.4</v>
      </c>
      <c r="HY1120" s="19">
        <v>41.4</v>
      </c>
      <c r="HZ1120" s="19">
        <v>40.4</v>
      </c>
      <c r="IA1120" s="19">
        <v>39.4</v>
      </c>
      <c r="IB1120" s="19">
        <v>38.4</v>
      </c>
    </row>
    <row r="1121">
      <c r="A1121" s="2" t="s">
        <v>5531</v>
      </c>
      <c r="B1121" s="2" t="s">
        <v>279</v>
      </c>
      <c r="C1121" s="2" t="s">
        <v>2381</v>
      </c>
      <c r="D1121" s="2" t="s">
        <v>281</v>
      </c>
      <c r="E1121" s="2" t="s">
        <v>282</v>
      </c>
      <c r="F1121" s="2" t="s">
        <v>5505</v>
      </c>
      <c r="G1121" s="2" t="s">
        <v>5505</v>
      </c>
      <c r="H1121" s="2" t="s">
        <v>5505</v>
      </c>
      <c r="I1121" s="2" t="s">
        <v>5506</v>
      </c>
      <c r="J1121" s="2" t="s">
        <v>228</v>
      </c>
      <c r="K1121" s="2" t="s">
        <v>452</v>
      </c>
      <c r="L1121" s="3">
        <v>19.78</v>
      </c>
      <c r="M1121" s="3">
        <v>20.77</v>
      </c>
      <c r="N1121" s="3">
        <v>42.99</v>
      </c>
      <c r="O1121" s="2" t="s">
        <v>230</v>
      </c>
      <c r="P1121" s="2" t="s">
        <v>586</v>
      </c>
      <c r="Q1121" s="2" t="s">
        <v>232</v>
      </c>
      <c r="R1121" s="2" t="s">
        <v>233</v>
      </c>
      <c r="S1121" s="2" t="s">
        <v>5532</v>
      </c>
      <c r="T1121" s="2" t="s">
        <v>1859</v>
      </c>
      <c r="U1121" s="2" t="s">
        <v>781</v>
      </c>
      <c r="V1121" s="2" t="s">
        <v>236</v>
      </c>
      <c r="W1121" s="2" t="s">
        <v>237</v>
      </c>
      <c r="X1121" s="2" t="s">
        <v>233</v>
      </c>
      <c r="Y1121" s="2" t="s">
        <v>238</v>
      </c>
      <c r="Z1121" s="4">
        <v>836</v>
      </c>
      <c r="AA1121" s="4">
        <f>=ROUNDDOWN(29.8571428571429,0)</f>
      </c>
      <c r="AB1121" s="5">
        <v>28</v>
      </c>
      <c r="AC1121" s="2" t="s">
        <v>233</v>
      </c>
      <c r="AD1121" s="4"/>
      <c r="AE1121" s="4"/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233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233</v>
      </c>
      <c r="AW1121" s="8" t="s">
        <v>233</v>
      </c>
      <c r="AX1121" s="4" t="s">
        <v>233</v>
      </c>
      <c r="AY1121" s="8" t="s">
        <v>233</v>
      </c>
      <c r="AZ1121" s="7" t="s">
        <v>233</v>
      </c>
      <c r="BA1121" s="7" t="s">
        <v>233</v>
      </c>
      <c r="BB1121" s="7"/>
      <c r="BC1121" s="4" t="s">
        <v>233</v>
      </c>
      <c r="BD1121" s="8" t="s">
        <v>233</v>
      </c>
      <c r="BE1121" s="4" t="s">
        <v>233</v>
      </c>
      <c r="BF1121" s="8" t="s">
        <v>233</v>
      </c>
      <c r="BG1121" s="7" t="s">
        <v>233</v>
      </c>
      <c r="BH1121" s="7" t="s">
        <v>233</v>
      </c>
      <c r="BI1121" s="7"/>
      <c r="BJ1121" s="4">
        <v>109</v>
      </c>
      <c r="BK1121" s="8">
        <v>2394.62</v>
      </c>
      <c r="BL1121" s="2" t="s">
        <v>5523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5508</v>
      </c>
      <c r="BV1121" s="2" t="s">
        <v>233</v>
      </c>
      <c r="BW1121" s="2" t="s">
        <v>233</v>
      </c>
      <c r="BX1121" s="2" t="s">
        <v>293</v>
      </c>
      <c r="BY1121" s="2" t="s">
        <v>242</v>
      </c>
      <c r="BZ1121" s="2" t="s">
        <v>230</v>
      </c>
      <c r="CA1121" s="2" t="s">
        <v>2768</v>
      </c>
      <c r="CB1121" s="2" t="s">
        <v>5533</v>
      </c>
      <c r="CC1121" s="2" t="s">
        <v>245</v>
      </c>
      <c r="CD1121" s="2" t="s">
        <v>233</v>
      </c>
      <c r="CE1121" s="4">
        <v>388</v>
      </c>
      <c r="CF1121" s="4">
        <v>388</v>
      </c>
      <c r="CG1121" s="4"/>
      <c r="CH1121" s="4"/>
      <c r="CI1121" s="4"/>
      <c r="CJ1121" s="4"/>
      <c r="CK1121" s="4"/>
      <c r="CL1121" s="4">
        <v>60</v>
      </c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>
        <v>837</v>
      </c>
      <c r="GD1121" s="4">
        <v>534</v>
      </c>
      <c r="GE1121" s="4">
        <v>497</v>
      </c>
      <c r="GF1121" s="4">
        <v>462</v>
      </c>
      <c r="GG1121" s="4">
        <v>390</v>
      </c>
      <c r="GH1121" s="4">
        <v>360</v>
      </c>
      <c r="GI1121" s="4">
        <v>318</v>
      </c>
      <c r="GJ1121" s="4">
        <v>297</v>
      </c>
      <c r="GK1121" s="4">
        <v>283</v>
      </c>
      <c r="GL1121" s="4">
        <v>270</v>
      </c>
      <c r="GM1121" s="4">
        <v>257</v>
      </c>
      <c r="GN1121" s="4">
        <v>243</v>
      </c>
      <c r="GO1121" s="4">
        <v>233</v>
      </c>
      <c r="GP1121" s="4">
        <v>218</v>
      </c>
      <c r="GQ1121" s="4">
        <v>208</v>
      </c>
      <c r="GR1121" s="4">
        <v>197</v>
      </c>
      <c r="GS1121" s="4">
        <v>188</v>
      </c>
      <c r="GT1121" s="4">
        <v>179</v>
      </c>
      <c r="GU1121" s="4">
        <v>170</v>
      </c>
      <c r="GV1121" s="4">
        <v>213</v>
      </c>
      <c r="GW1121" s="4">
        <v>204</v>
      </c>
      <c r="GX1121" s="4">
        <v>195</v>
      </c>
      <c r="GY1121" s="4">
        <v>186</v>
      </c>
      <c r="GZ1121" s="4">
        <v>177</v>
      </c>
      <c r="HA1121" s="4">
        <v>168</v>
      </c>
      <c r="HB1121" s="4">
        <v>159</v>
      </c>
      <c r="HC1121" s="19">
        <v>7.5</v>
      </c>
      <c r="HD1121" s="19">
        <v>12.1</v>
      </c>
      <c r="HE1121" s="19">
        <v>11</v>
      </c>
      <c r="HF1121" s="19">
        <v>11.3</v>
      </c>
      <c r="HG1121" s="19">
        <v>14.4</v>
      </c>
      <c r="HH1121" s="19">
        <v>16.4</v>
      </c>
      <c r="HI1121" s="19">
        <v>21.2</v>
      </c>
      <c r="HJ1121" s="19">
        <v>21.2</v>
      </c>
      <c r="HK1121" s="19">
        <v>23.6</v>
      </c>
      <c r="HL1121" s="19">
        <v>20.8</v>
      </c>
      <c r="HM1121" s="19">
        <v>21.4</v>
      </c>
      <c r="HN1121" s="19">
        <v>20.3</v>
      </c>
      <c r="HO1121" s="19">
        <v>21.2</v>
      </c>
      <c r="HP1121" s="19">
        <v>21.8</v>
      </c>
      <c r="HQ1121" s="19">
        <v>20.8</v>
      </c>
      <c r="HR1121" s="19">
        <v>21.9</v>
      </c>
      <c r="HS1121" s="19">
        <v>20.9</v>
      </c>
      <c r="HT1121" s="19">
        <v>19.9</v>
      </c>
      <c r="HU1121" s="19">
        <v>18.9</v>
      </c>
      <c r="HV1121" s="19">
        <v>23.7</v>
      </c>
      <c r="HW1121" s="19">
        <v>22.7</v>
      </c>
      <c r="HX1121" s="19">
        <v>21.7</v>
      </c>
      <c r="HY1121" s="19">
        <v>20.7</v>
      </c>
      <c r="HZ1121" s="19">
        <v>19.7</v>
      </c>
      <c r="IA1121" s="19">
        <v>18.7</v>
      </c>
      <c r="IB1121" s="19">
        <v>17.7</v>
      </c>
    </row>
    <row r="1122">
      <c r="A1122" s="2" t="s">
        <v>5534</v>
      </c>
      <c r="B1122" s="2" t="s">
        <v>279</v>
      </c>
      <c r="C1122" s="2" t="s">
        <v>2381</v>
      </c>
      <c r="D1122" s="2" t="s">
        <v>281</v>
      </c>
      <c r="E1122" s="2" t="s">
        <v>282</v>
      </c>
      <c r="F1122" s="2" t="s">
        <v>5505</v>
      </c>
      <c r="G1122" s="2" t="s">
        <v>5505</v>
      </c>
      <c r="H1122" s="2" t="s">
        <v>5505</v>
      </c>
      <c r="I1122" s="2" t="s">
        <v>5506</v>
      </c>
      <c r="J1122" s="2" t="s">
        <v>252</v>
      </c>
      <c r="K1122" s="2" t="s">
        <v>452</v>
      </c>
      <c r="L1122" s="3">
        <v>25.3</v>
      </c>
      <c r="M1122" s="3">
        <v>26.56</v>
      </c>
      <c r="N1122" s="3">
        <v>54.99</v>
      </c>
      <c r="O1122" s="2" t="s">
        <v>230</v>
      </c>
      <c r="P1122" s="2" t="s">
        <v>586</v>
      </c>
      <c r="Q1122" s="2" t="s">
        <v>232</v>
      </c>
      <c r="R1122" s="2" t="s">
        <v>233</v>
      </c>
      <c r="S1122" s="2" t="s">
        <v>5532</v>
      </c>
      <c r="T1122" s="2" t="s">
        <v>1859</v>
      </c>
      <c r="U1122" s="2" t="s">
        <v>287</v>
      </c>
      <c r="V1122" s="2" t="s">
        <v>236</v>
      </c>
      <c r="W1122" s="2" t="s">
        <v>237</v>
      </c>
      <c r="X1122" s="2" t="s">
        <v>233</v>
      </c>
      <c r="Y1122" s="2" t="s">
        <v>238</v>
      </c>
      <c r="Z1122" s="4">
        <v>479</v>
      </c>
      <c r="AA1122" s="4">
        <f>=ROUNDDOWN(16.5172413793103,0)</f>
      </c>
      <c r="AB1122" s="5">
        <v>29</v>
      </c>
      <c r="AC1122" s="2" t="s">
        <v>622</v>
      </c>
      <c r="AD1122" s="4">
        <v>1530</v>
      </c>
      <c r="AE1122" s="4">
        <v>1530</v>
      </c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233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233</v>
      </c>
      <c r="AW1122" s="8" t="s">
        <v>233</v>
      </c>
      <c r="AX1122" s="4" t="s">
        <v>233</v>
      </c>
      <c r="AY1122" s="8" t="s">
        <v>233</v>
      </c>
      <c r="AZ1122" s="7" t="s">
        <v>233</v>
      </c>
      <c r="BA1122" s="7" t="s">
        <v>233</v>
      </c>
      <c r="BB1122" s="7"/>
      <c r="BC1122" s="4" t="s">
        <v>233</v>
      </c>
      <c r="BD1122" s="8" t="s">
        <v>233</v>
      </c>
      <c r="BE1122" s="4" t="s">
        <v>233</v>
      </c>
      <c r="BF1122" s="8" t="s">
        <v>233</v>
      </c>
      <c r="BG1122" s="7" t="s">
        <v>233</v>
      </c>
      <c r="BH1122" s="7" t="s">
        <v>233</v>
      </c>
      <c r="BI1122" s="7"/>
      <c r="BJ1122" s="4">
        <v>190</v>
      </c>
      <c r="BK1122" s="8">
        <v>5285.04</v>
      </c>
      <c r="BL1122" s="2" t="s">
        <v>1449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5508</v>
      </c>
      <c r="BV1122" s="2" t="s">
        <v>233</v>
      </c>
      <c r="BW1122" s="2" t="s">
        <v>233</v>
      </c>
      <c r="BX1122" s="2" t="s">
        <v>293</v>
      </c>
      <c r="BY1122" s="2" t="s">
        <v>242</v>
      </c>
      <c r="BZ1122" s="2" t="s">
        <v>230</v>
      </c>
      <c r="CA1122" s="2" t="s">
        <v>2768</v>
      </c>
      <c r="CB1122" s="2" t="s">
        <v>5535</v>
      </c>
      <c r="CC1122" s="2" t="s">
        <v>245</v>
      </c>
      <c r="CD1122" s="2" t="s">
        <v>233</v>
      </c>
      <c r="CE1122" s="4">
        <v>114</v>
      </c>
      <c r="CF1122" s="4">
        <v>303</v>
      </c>
      <c r="CG1122" s="4"/>
      <c r="CH1122" s="4"/>
      <c r="CI1122" s="4"/>
      <c r="CJ1122" s="4"/>
      <c r="CK1122" s="4">
        <v>2</v>
      </c>
      <c r="CL1122" s="4">
        <v>60</v>
      </c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>
        <v>1530</v>
      </c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>
        <v>476</v>
      </c>
      <c r="GD1122" s="4">
        <v>425</v>
      </c>
      <c r="GE1122" s="4">
        <v>382</v>
      </c>
      <c r="GF1122" s="4">
        <v>340</v>
      </c>
      <c r="GG1122" s="4">
        <v>254</v>
      </c>
      <c r="GH1122" s="4">
        <v>208</v>
      </c>
      <c r="GI1122" s="4">
        <v>150</v>
      </c>
      <c r="GJ1122" s="4">
        <v>119</v>
      </c>
      <c r="GK1122" s="4">
        <v>105</v>
      </c>
      <c r="GL1122" s="4">
        <v>92</v>
      </c>
      <c r="GM1122" s="4">
        <v>80</v>
      </c>
      <c r="GN1122" s="4">
        <v>66</v>
      </c>
      <c r="GO1122" s="4">
        <v>56</v>
      </c>
      <c r="GP1122" s="4">
        <v>40</v>
      </c>
      <c r="GQ1122" s="4">
        <v>30</v>
      </c>
      <c r="GR1122" s="4">
        <v>19</v>
      </c>
      <c r="GS1122" s="4">
        <v>12</v>
      </c>
      <c r="GT1122" s="4">
        <v>5</v>
      </c>
      <c r="GU1122" s="4"/>
      <c r="GV1122" s="4">
        <v>157</v>
      </c>
      <c r="GW1122" s="4">
        <v>144</v>
      </c>
      <c r="GX1122" s="4">
        <v>137</v>
      </c>
      <c r="GY1122" s="4">
        <v>130</v>
      </c>
      <c r="GZ1122" s="4">
        <v>124</v>
      </c>
      <c r="HA1122" s="4">
        <v>118</v>
      </c>
      <c r="HB1122" s="4">
        <v>112</v>
      </c>
      <c r="HC1122" s="19">
        <v>6.1</v>
      </c>
      <c r="HD1122" s="19">
        <v>7.9</v>
      </c>
      <c r="HE1122" s="19">
        <v>6.6</v>
      </c>
      <c r="HF1122" s="19">
        <v>6.2</v>
      </c>
      <c r="HG1122" s="19">
        <v>6.9</v>
      </c>
      <c r="HH1122" s="19">
        <v>7.2</v>
      </c>
      <c r="HI1122" s="19">
        <v>8.3</v>
      </c>
      <c r="HJ1122" s="19">
        <v>9.2</v>
      </c>
      <c r="HK1122" s="19">
        <v>8.8</v>
      </c>
      <c r="HL1122" s="19">
        <v>7.1</v>
      </c>
      <c r="HM1122" s="19">
        <v>6.7</v>
      </c>
      <c r="HN1122" s="19">
        <v>5.5</v>
      </c>
      <c r="HO1122" s="19">
        <v>5.1</v>
      </c>
      <c r="HP1122" s="19">
        <v>4.4</v>
      </c>
      <c r="HQ1122" s="19">
        <v>3.8</v>
      </c>
      <c r="HR1122" s="19">
        <v>3.2</v>
      </c>
      <c r="HS1122" s="19">
        <v>1.7</v>
      </c>
      <c r="HT1122" s="19">
        <v>0.7</v>
      </c>
      <c r="HU1122" s="20">
        <v>0</v>
      </c>
      <c r="HV1122" s="19">
        <v>19.6</v>
      </c>
      <c r="HW1122" s="19">
        <v>24</v>
      </c>
      <c r="HX1122" s="19">
        <v>22.8</v>
      </c>
      <c r="HY1122" s="19">
        <v>21.7</v>
      </c>
      <c r="HZ1122" s="19">
        <v>20.7</v>
      </c>
      <c r="IA1122" s="19">
        <v>19.7</v>
      </c>
      <c r="IB1122" s="19">
        <v>18.7</v>
      </c>
    </row>
    <row r="1123">
      <c r="A1123" s="2" t="s">
        <v>5536</v>
      </c>
      <c r="B1123" s="2" t="s">
        <v>279</v>
      </c>
      <c r="C1123" s="2" t="s">
        <v>2381</v>
      </c>
      <c r="D1123" s="2" t="s">
        <v>281</v>
      </c>
      <c r="E1123" s="2" t="s">
        <v>282</v>
      </c>
      <c r="F1123" s="2" t="s">
        <v>5505</v>
      </c>
      <c r="G1123" s="2" t="s">
        <v>5505</v>
      </c>
      <c r="H1123" s="2" t="s">
        <v>5505</v>
      </c>
      <c r="I1123" s="2" t="s">
        <v>5506</v>
      </c>
      <c r="J1123" s="2" t="s">
        <v>336</v>
      </c>
      <c r="K1123" s="2" t="s">
        <v>452</v>
      </c>
      <c r="L1123" s="3">
        <v>28.35</v>
      </c>
      <c r="M1123" s="3">
        <v>29.77</v>
      </c>
      <c r="N1123" s="3">
        <v>62.99</v>
      </c>
      <c r="O1123" s="2" t="s">
        <v>230</v>
      </c>
      <c r="P1123" s="2" t="s">
        <v>1903</v>
      </c>
      <c r="Q1123" s="2" t="s">
        <v>232</v>
      </c>
      <c r="R1123" s="2" t="s">
        <v>233</v>
      </c>
      <c r="S1123" s="2" t="s">
        <v>5532</v>
      </c>
      <c r="T1123" s="2" t="s">
        <v>1859</v>
      </c>
      <c r="U1123" s="2" t="s">
        <v>287</v>
      </c>
      <c r="V1123" s="2" t="s">
        <v>236</v>
      </c>
      <c r="W1123" s="2" t="s">
        <v>237</v>
      </c>
      <c r="X1123" s="2" t="s">
        <v>233</v>
      </c>
      <c r="Y1123" s="2" t="s">
        <v>238</v>
      </c>
      <c r="Z1123" s="4">
        <v>2108</v>
      </c>
      <c r="AA1123" s="4">
        <f>=ROUNDDOWN(33.4603174603175,0)</f>
      </c>
      <c r="AB1123" s="5">
        <v>63</v>
      </c>
      <c r="AC1123" s="2" t="s">
        <v>233</v>
      </c>
      <c r="AD1123" s="4"/>
      <c r="AE1123" s="4"/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233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233</v>
      </c>
      <c r="AW1123" s="8" t="s">
        <v>233</v>
      </c>
      <c r="AX1123" s="4" t="s">
        <v>233</v>
      </c>
      <c r="AY1123" s="8" t="s">
        <v>233</v>
      </c>
      <c r="AZ1123" s="7" t="s">
        <v>233</v>
      </c>
      <c r="BA1123" s="7" t="s">
        <v>233</v>
      </c>
      <c r="BB1123" s="7"/>
      <c r="BC1123" s="4" t="s">
        <v>233</v>
      </c>
      <c r="BD1123" s="8" t="s">
        <v>233</v>
      </c>
      <c r="BE1123" s="4" t="s">
        <v>233</v>
      </c>
      <c r="BF1123" s="8" t="s">
        <v>233</v>
      </c>
      <c r="BG1123" s="7" t="s">
        <v>233</v>
      </c>
      <c r="BH1123" s="7" t="s">
        <v>233</v>
      </c>
      <c r="BI1123" s="7"/>
      <c r="BJ1123" s="4">
        <v>294</v>
      </c>
      <c r="BK1123" s="8">
        <v>9161.42</v>
      </c>
      <c r="BL1123" s="2" t="s">
        <v>5537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5508</v>
      </c>
      <c r="BV1123" s="2" t="s">
        <v>233</v>
      </c>
      <c r="BW1123" s="2" t="s">
        <v>233</v>
      </c>
      <c r="BX1123" s="2" t="s">
        <v>293</v>
      </c>
      <c r="BY1123" s="2" t="s">
        <v>242</v>
      </c>
      <c r="BZ1123" s="2" t="s">
        <v>230</v>
      </c>
      <c r="CA1123" s="2" t="s">
        <v>2768</v>
      </c>
      <c r="CB1123" s="2" t="s">
        <v>4661</v>
      </c>
      <c r="CC1123" s="2" t="s">
        <v>245</v>
      </c>
      <c r="CD1123" s="2" t="s">
        <v>233</v>
      </c>
      <c r="CE1123" s="4">
        <v>1020</v>
      </c>
      <c r="CF1123" s="4">
        <v>638</v>
      </c>
      <c r="CG1123" s="4"/>
      <c r="CH1123" s="4"/>
      <c r="CI1123" s="4"/>
      <c r="CJ1123" s="4"/>
      <c r="CK1123" s="4"/>
      <c r="CL1123" s="4">
        <v>450</v>
      </c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>
        <v>2125</v>
      </c>
      <c r="GD1123" s="4">
        <v>1473</v>
      </c>
      <c r="GE1123" s="4">
        <v>1368</v>
      </c>
      <c r="GF1123" s="4">
        <v>1261</v>
      </c>
      <c r="GG1123" s="4">
        <v>1035</v>
      </c>
      <c r="GH1123" s="4">
        <v>909</v>
      </c>
      <c r="GI1123" s="4">
        <v>752</v>
      </c>
      <c r="GJ1123" s="4">
        <v>672</v>
      </c>
      <c r="GK1123" s="4">
        <v>632</v>
      </c>
      <c r="GL1123" s="4">
        <v>588</v>
      </c>
      <c r="GM1123" s="4">
        <v>550</v>
      </c>
      <c r="GN1123" s="4">
        <v>502</v>
      </c>
      <c r="GO1123" s="4">
        <v>475</v>
      </c>
      <c r="GP1123" s="4">
        <v>438</v>
      </c>
      <c r="GQ1123" s="4">
        <v>413</v>
      </c>
      <c r="GR1123" s="4">
        <v>382</v>
      </c>
      <c r="GS1123" s="4">
        <v>355</v>
      </c>
      <c r="GT1123" s="4">
        <v>328</v>
      </c>
      <c r="GU1123" s="4">
        <v>301</v>
      </c>
      <c r="GV1123" s="4">
        <v>474</v>
      </c>
      <c r="GW1123" s="4">
        <v>449</v>
      </c>
      <c r="GX1123" s="4">
        <v>424</v>
      </c>
      <c r="GY1123" s="4">
        <v>399</v>
      </c>
      <c r="GZ1123" s="4">
        <v>380</v>
      </c>
      <c r="HA1123" s="4">
        <v>361</v>
      </c>
      <c r="HB1123" s="4">
        <v>342</v>
      </c>
      <c r="HC1123" s="19">
        <v>7.8</v>
      </c>
      <c r="HD1123" s="19">
        <v>10.4</v>
      </c>
      <c r="HE1123" s="19">
        <v>8.9</v>
      </c>
      <c r="HF1123" s="19">
        <v>8.6</v>
      </c>
      <c r="HG1123" s="19">
        <v>10.2</v>
      </c>
      <c r="HH1123" s="19">
        <v>11.4</v>
      </c>
      <c r="HI1123" s="19">
        <v>15</v>
      </c>
      <c r="HJ1123" s="19">
        <v>16</v>
      </c>
      <c r="HK1123" s="19">
        <v>16.2</v>
      </c>
      <c r="HL1123" s="19">
        <v>15.5</v>
      </c>
      <c r="HM1123" s="19">
        <v>16.2</v>
      </c>
      <c r="HN1123" s="19">
        <v>16.7</v>
      </c>
      <c r="HO1123" s="19">
        <v>15.8</v>
      </c>
      <c r="HP1123" s="19">
        <v>15.6</v>
      </c>
      <c r="HQ1123" s="19">
        <v>14.8</v>
      </c>
      <c r="HR1123" s="19">
        <v>14.7</v>
      </c>
      <c r="HS1123" s="19">
        <v>13.7</v>
      </c>
      <c r="HT1123" s="19">
        <v>12.6</v>
      </c>
      <c r="HU1123" s="19">
        <v>12</v>
      </c>
      <c r="HV1123" s="19">
        <v>19.8</v>
      </c>
      <c r="HW1123" s="19">
        <v>20.4</v>
      </c>
      <c r="HX1123" s="19">
        <v>21.2</v>
      </c>
      <c r="HY1123" s="19">
        <v>21</v>
      </c>
      <c r="HZ1123" s="19">
        <v>20</v>
      </c>
      <c r="IA1123" s="19">
        <v>19</v>
      </c>
      <c r="IB1123" s="19">
        <v>18</v>
      </c>
    </row>
    <row r="1124">
      <c r="A1124" s="2" t="s">
        <v>5538</v>
      </c>
      <c r="B1124" s="2" t="s">
        <v>279</v>
      </c>
      <c r="C1124" s="2" t="s">
        <v>2381</v>
      </c>
      <c r="D1124" s="2" t="s">
        <v>281</v>
      </c>
      <c r="E1124" s="2" t="s">
        <v>282</v>
      </c>
      <c r="F1124" s="2" t="s">
        <v>5505</v>
      </c>
      <c r="G1124" s="2" t="s">
        <v>5505</v>
      </c>
      <c r="H1124" s="2" t="s">
        <v>5505</v>
      </c>
      <c r="I1124" s="2" t="s">
        <v>5506</v>
      </c>
      <c r="J1124" s="2" t="s">
        <v>256</v>
      </c>
      <c r="K1124" s="2" t="s">
        <v>452</v>
      </c>
      <c r="L1124" s="3">
        <v>34.5</v>
      </c>
      <c r="M1124" s="3">
        <v>36.22</v>
      </c>
      <c r="N1124" s="3">
        <v>74.99</v>
      </c>
      <c r="O1124" s="2" t="s">
        <v>230</v>
      </c>
      <c r="P1124" s="2" t="s">
        <v>1903</v>
      </c>
      <c r="Q1124" s="2" t="s">
        <v>232</v>
      </c>
      <c r="R1124" s="2" t="s">
        <v>233</v>
      </c>
      <c r="S1124" s="2" t="s">
        <v>5532</v>
      </c>
      <c r="T1124" s="2" t="s">
        <v>1859</v>
      </c>
      <c r="U1124" s="2" t="s">
        <v>287</v>
      </c>
      <c r="V1124" s="2" t="s">
        <v>236</v>
      </c>
      <c r="W1124" s="2" t="s">
        <v>237</v>
      </c>
      <c r="X1124" s="2" t="s">
        <v>233</v>
      </c>
      <c r="Y1124" s="2" t="s">
        <v>238</v>
      </c>
      <c r="Z1124" s="4">
        <v>909</v>
      </c>
      <c r="AA1124" s="4">
        <f>=ROUNDDOWN(21.1395348837209,0)</f>
      </c>
      <c r="AB1124" s="5">
        <v>43</v>
      </c>
      <c r="AC1124" s="2" t="s">
        <v>135</v>
      </c>
      <c r="AD1124" s="4">
        <v>2890</v>
      </c>
      <c r="AE1124" s="4">
        <v>2890</v>
      </c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233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233</v>
      </c>
      <c r="AW1124" s="8" t="s">
        <v>233</v>
      </c>
      <c r="AX1124" s="4" t="s">
        <v>233</v>
      </c>
      <c r="AY1124" s="8" t="s">
        <v>233</v>
      </c>
      <c r="AZ1124" s="7" t="s">
        <v>233</v>
      </c>
      <c r="BA1124" s="7" t="s">
        <v>233</v>
      </c>
      <c r="BB1124" s="7"/>
      <c r="BC1124" s="4" t="s">
        <v>233</v>
      </c>
      <c r="BD1124" s="8" t="s">
        <v>233</v>
      </c>
      <c r="BE1124" s="4" t="s">
        <v>233</v>
      </c>
      <c r="BF1124" s="8" t="s">
        <v>233</v>
      </c>
      <c r="BG1124" s="7" t="s">
        <v>233</v>
      </c>
      <c r="BH1124" s="7" t="s">
        <v>233</v>
      </c>
      <c r="BI1124" s="7"/>
      <c r="BJ1124" s="4">
        <v>192</v>
      </c>
      <c r="BK1124" s="8">
        <v>7455.53</v>
      </c>
      <c r="BL1124" s="2" t="s">
        <v>4990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5508</v>
      </c>
      <c r="BV1124" s="2" t="s">
        <v>233</v>
      </c>
      <c r="BW1124" s="2" t="s">
        <v>233</v>
      </c>
      <c r="BX1124" s="2" t="s">
        <v>293</v>
      </c>
      <c r="BY1124" s="2" t="s">
        <v>242</v>
      </c>
      <c r="BZ1124" s="2" t="s">
        <v>230</v>
      </c>
      <c r="CA1124" s="2" t="s">
        <v>2768</v>
      </c>
      <c r="CB1124" s="2" t="s">
        <v>3822</v>
      </c>
      <c r="CC1124" s="2" t="s">
        <v>245</v>
      </c>
      <c r="CD1124" s="2" t="s">
        <v>233</v>
      </c>
      <c r="CE1124" s="4">
        <v>226</v>
      </c>
      <c r="CF1124" s="4">
        <v>583</v>
      </c>
      <c r="CG1124" s="4"/>
      <c r="CH1124" s="4"/>
      <c r="CI1124" s="4"/>
      <c r="CJ1124" s="4"/>
      <c r="CK1124" s="4"/>
      <c r="CL1124" s="4">
        <v>100</v>
      </c>
      <c r="CM1124" s="4"/>
      <c r="CN1124" s="4"/>
      <c r="CO1124" s="4"/>
      <c r="CP1124" s="4"/>
      <c r="CQ1124" s="4"/>
      <c r="CR1124" s="4"/>
      <c r="CS1124" s="4"/>
      <c r="CT1124" s="4"/>
      <c r="CU1124" s="4">
        <v>2890</v>
      </c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>
        <v>826</v>
      </c>
      <c r="GD1124" s="4">
        <v>775</v>
      </c>
      <c r="GE1124" s="4">
        <v>709</v>
      </c>
      <c r="GF1124" s="4">
        <v>644</v>
      </c>
      <c r="GG1124" s="4">
        <v>507</v>
      </c>
      <c r="GH1124" s="4">
        <v>438</v>
      </c>
      <c r="GI1124" s="4">
        <v>346</v>
      </c>
      <c r="GJ1124" s="4">
        <v>301</v>
      </c>
      <c r="GK1124" s="4">
        <v>285</v>
      </c>
      <c r="GL1124" s="4">
        <v>269</v>
      </c>
      <c r="GM1124" s="4">
        <v>256</v>
      </c>
      <c r="GN1124" s="4">
        <v>238</v>
      </c>
      <c r="GO1124" s="4">
        <v>227</v>
      </c>
      <c r="GP1124" s="4">
        <v>209</v>
      </c>
      <c r="GQ1124" s="4">
        <v>199</v>
      </c>
      <c r="GR1124" s="4">
        <v>186</v>
      </c>
      <c r="GS1124" s="4">
        <v>173</v>
      </c>
      <c r="GT1124" s="4">
        <v>160</v>
      </c>
      <c r="GU1124" s="4">
        <v>147</v>
      </c>
      <c r="GV1124" s="4">
        <v>246</v>
      </c>
      <c r="GW1124" s="4">
        <v>234</v>
      </c>
      <c r="GX1124" s="4">
        <v>222</v>
      </c>
      <c r="GY1124" s="4">
        <v>210</v>
      </c>
      <c r="GZ1124" s="4">
        <v>200</v>
      </c>
      <c r="HA1124" s="4">
        <v>190</v>
      </c>
      <c r="HB1124" s="4">
        <v>180</v>
      </c>
      <c r="HC1124" s="19">
        <v>6.8</v>
      </c>
      <c r="HD1124" s="19">
        <v>9.2</v>
      </c>
      <c r="HE1124" s="19">
        <v>7.8</v>
      </c>
      <c r="HF1124" s="19">
        <v>7.5</v>
      </c>
      <c r="HG1124" s="19">
        <v>9.1</v>
      </c>
      <c r="HH1124" s="19">
        <v>10.4</v>
      </c>
      <c r="HI1124" s="19">
        <v>15.7</v>
      </c>
      <c r="HJ1124" s="19">
        <v>18.8</v>
      </c>
      <c r="HK1124" s="19">
        <v>20.4</v>
      </c>
      <c r="HL1124" s="19">
        <v>17.9</v>
      </c>
      <c r="HM1124" s="19">
        <v>18.3</v>
      </c>
      <c r="HN1124" s="19">
        <v>18.3</v>
      </c>
      <c r="HO1124" s="19">
        <v>16.2</v>
      </c>
      <c r="HP1124" s="19">
        <v>17.4</v>
      </c>
      <c r="HQ1124" s="19">
        <v>15.3</v>
      </c>
      <c r="HR1124" s="19">
        <v>14.3</v>
      </c>
      <c r="HS1124" s="19">
        <v>14.4</v>
      </c>
      <c r="HT1124" s="19">
        <v>13.3</v>
      </c>
      <c r="HU1124" s="19">
        <v>12.3</v>
      </c>
      <c r="HV1124" s="19">
        <v>20.5</v>
      </c>
      <c r="HW1124" s="19">
        <v>21.3</v>
      </c>
      <c r="HX1124" s="19">
        <v>22.2</v>
      </c>
      <c r="HY1124" s="19">
        <v>21</v>
      </c>
      <c r="HZ1124" s="19">
        <v>20</v>
      </c>
      <c r="IA1124" s="19">
        <v>19</v>
      </c>
      <c r="IB1124" s="19">
        <v>18</v>
      </c>
    </row>
    <row r="1125">
      <c r="A1125" s="2" t="s">
        <v>5539</v>
      </c>
      <c r="B1125" s="2" t="s">
        <v>938</v>
      </c>
      <c r="C1125" s="2" t="s">
        <v>1411</v>
      </c>
      <c r="D1125" s="2" t="s">
        <v>972</v>
      </c>
      <c r="E1125" s="2" t="s">
        <v>973</v>
      </c>
      <c r="F1125" s="2" t="s">
        <v>5540</v>
      </c>
      <c r="G1125" s="2" t="s">
        <v>5541</v>
      </c>
      <c r="H1125" s="2" t="s">
        <v>4679</v>
      </c>
      <c r="I1125" s="2" t="s">
        <v>5542</v>
      </c>
      <c r="J1125" s="2" t="s">
        <v>2859</v>
      </c>
      <c r="K1125" s="2" t="s">
        <v>1511</v>
      </c>
      <c r="L1125" s="3">
        <v>12.3</v>
      </c>
      <c r="M1125" s="3">
        <v>12.92</v>
      </c>
      <c r="N1125" s="3">
        <v>29.99</v>
      </c>
      <c r="O1125" s="2" t="s">
        <v>230</v>
      </c>
      <c r="P1125" s="2" t="s">
        <v>231</v>
      </c>
      <c r="Q1125" s="2" t="s">
        <v>232</v>
      </c>
      <c r="R1125" s="2" t="s">
        <v>233</v>
      </c>
      <c r="S1125" s="2" t="s">
        <v>5543</v>
      </c>
      <c r="T1125" s="2" t="s">
        <v>233</v>
      </c>
      <c r="U1125" s="2" t="s">
        <v>329</v>
      </c>
      <c r="V1125" s="2" t="s">
        <v>2483</v>
      </c>
      <c r="W1125" s="2" t="s">
        <v>237</v>
      </c>
      <c r="X1125" s="2" t="s">
        <v>980</v>
      </c>
      <c r="Y1125" s="2" t="s">
        <v>5544</v>
      </c>
      <c r="Z1125" s="4">
        <v>3</v>
      </c>
      <c r="AA1125" s="4">
        <f>=ROUNDDOWN(0.428571428571429,0)</f>
      </c>
      <c r="AB1125" s="5">
        <v>7</v>
      </c>
      <c r="AC1125" s="2" t="s">
        <v>145</v>
      </c>
      <c r="AD1125" s="4">
        <v>192</v>
      </c>
      <c r="AE1125" s="4">
        <v>616</v>
      </c>
      <c r="AF1125" s="6">
        <v>65</v>
      </c>
      <c r="AG1125" s="6"/>
      <c r="AH1125" s="7">
        <v>0.4516</v>
      </c>
      <c r="AI1125" s="4"/>
      <c r="AJ1125" s="4">
        <f>=ROUNDDOWN({0},0)</f>
      </c>
      <c r="AK1125" s="5"/>
      <c r="AL1125" s="2" t="s">
        <v>233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 t="s">
        <v>233</v>
      </c>
      <c r="BD1125" s="8" t="s">
        <v>233</v>
      </c>
      <c r="BE1125" s="4" t="s">
        <v>233</v>
      </c>
      <c r="BF1125" s="8" t="s">
        <v>233</v>
      </c>
      <c r="BG1125" s="7" t="s">
        <v>233</v>
      </c>
      <c r="BH1125" s="7" t="s">
        <v>233</v>
      </c>
      <c r="BI1125" s="7"/>
      <c r="BJ1125" s="4">
        <v>16</v>
      </c>
      <c r="BK1125" s="8">
        <v>215.52</v>
      </c>
      <c r="BL1125" s="2" t="s">
        <v>2832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5545</v>
      </c>
      <c r="BV1125" s="2" t="s">
        <v>233</v>
      </c>
      <c r="BW1125" s="2" t="s">
        <v>233</v>
      </c>
      <c r="BX1125" s="2" t="s">
        <v>241</v>
      </c>
      <c r="BY1125" s="2" t="s">
        <v>242</v>
      </c>
      <c r="BZ1125" s="2" t="s">
        <v>230</v>
      </c>
      <c r="CA1125" s="2" t="s">
        <v>3046</v>
      </c>
      <c r="CB1125" s="2" t="s">
        <v>2400</v>
      </c>
      <c r="CC1125" s="2" t="s">
        <v>245</v>
      </c>
      <c r="CD1125" s="2" t="s">
        <v>233</v>
      </c>
      <c r="CE1125" s="4">
        <v>3</v>
      </c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>
        <v>192</v>
      </c>
      <c r="DH1125" s="4"/>
      <c r="DI1125" s="4"/>
      <c r="DJ1125" s="4"/>
      <c r="DK1125" s="4"/>
      <c r="DL1125" s="4"/>
      <c r="DM1125" s="4"/>
      <c r="DN1125" s="4"/>
      <c r="DO1125" s="4">
        <v>124</v>
      </c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>
        <v>160</v>
      </c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>
        <v>140</v>
      </c>
      <c r="GB1125" s="4"/>
      <c r="GC1125" s="4">
        <v>3</v>
      </c>
      <c r="GD1125" s="4"/>
      <c r="GE1125" s="4"/>
      <c r="GF1125" s="4">
        <v>192</v>
      </c>
      <c r="GG1125" s="4">
        <v>294</v>
      </c>
      <c r="GH1125" s="4">
        <v>287</v>
      </c>
      <c r="GI1125" s="4">
        <v>279</v>
      </c>
      <c r="GJ1125" s="4">
        <v>272</v>
      </c>
      <c r="GK1125" s="4">
        <v>425</v>
      </c>
      <c r="GL1125" s="4">
        <v>418</v>
      </c>
      <c r="GM1125" s="4">
        <v>410</v>
      </c>
      <c r="GN1125" s="4">
        <v>403</v>
      </c>
      <c r="GO1125" s="4">
        <v>396</v>
      </c>
      <c r="GP1125" s="4">
        <v>389</v>
      </c>
      <c r="GQ1125" s="4">
        <v>382</v>
      </c>
      <c r="GR1125" s="4">
        <v>375</v>
      </c>
      <c r="GS1125" s="4">
        <v>368</v>
      </c>
      <c r="GT1125" s="4">
        <v>360</v>
      </c>
      <c r="GU1125" s="4">
        <v>353</v>
      </c>
      <c r="GV1125" s="4">
        <v>346</v>
      </c>
      <c r="GW1125" s="4">
        <v>479</v>
      </c>
      <c r="GX1125" s="4">
        <v>472</v>
      </c>
      <c r="GY1125" s="4">
        <v>465</v>
      </c>
      <c r="GZ1125" s="4">
        <v>458</v>
      </c>
      <c r="HA1125" s="4">
        <v>450</v>
      </c>
      <c r="HB1125" s="4">
        <v>443</v>
      </c>
      <c r="HC1125" s="19">
        <v>0.4</v>
      </c>
      <c r="HD1125" s="20">
        <v>0</v>
      </c>
      <c r="HE1125" s="20">
        <v>0</v>
      </c>
      <c r="HF1125" s="19">
        <v>17.5</v>
      </c>
      <c r="HG1125" s="19">
        <v>42</v>
      </c>
      <c r="HH1125" s="19">
        <v>41</v>
      </c>
      <c r="HI1125" s="19">
        <v>39.9</v>
      </c>
      <c r="HJ1125" s="19">
        <v>38.9</v>
      </c>
      <c r="HK1125" s="19">
        <v>60.7</v>
      </c>
      <c r="HL1125" s="19">
        <v>59.7</v>
      </c>
      <c r="HM1125" s="19">
        <v>58.6</v>
      </c>
      <c r="HN1125" s="19">
        <v>57.6</v>
      </c>
      <c r="HO1125" s="19">
        <v>56.6</v>
      </c>
      <c r="HP1125" s="19">
        <v>55.6</v>
      </c>
      <c r="HQ1125" s="19">
        <v>54.6</v>
      </c>
      <c r="HR1125" s="19">
        <v>53.6</v>
      </c>
      <c r="HS1125" s="19">
        <v>52.6</v>
      </c>
      <c r="HT1125" s="19">
        <v>51.4</v>
      </c>
      <c r="HU1125" s="19">
        <v>50.4</v>
      </c>
      <c r="HV1125" s="19">
        <v>49.4</v>
      </c>
      <c r="HW1125" s="19">
        <v>68.4</v>
      </c>
      <c r="HX1125" s="19">
        <v>67.4</v>
      </c>
      <c r="HY1125" s="19">
        <v>66.4</v>
      </c>
      <c r="HZ1125" s="19">
        <v>65.4</v>
      </c>
      <c r="IA1125" s="19">
        <v>64.3</v>
      </c>
      <c r="IB1125" s="19">
        <v>63.3</v>
      </c>
    </row>
    <row r="1126">
      <c r="A1126" s="2" t="s">
        <v>5546</v>
      </c>
      <c r="B1126" s="2" t="s">
        <v>923</v>
      </c>
      <c r="C1126" s="2" t="s">
        <v>280</v>
      </c>
      <c r="D1126" s="2" t="s">
        <v>951</v>
      </c>
      <c r="E1126" s="2" t="s">
        <v>952</v>
      </c>
      <c r="F1126" s="2" t="s">
        <v>5540</v>
      </c>
      <c r="G1126" s="2" t="s">
        <v>5541</v>
      </c>
      <c r="H1126" s="2" t="s">
        <v>4679</v>
      </c>
      <c r="I1126" s="2" t="s">
        <v>952</v>
      </c>
      <c r="J1126" s="2" t="s">
        <v>954</v>
      </c>
      <c r="K1126" s="2" t="s">
        <v>484</v>
      </c>
      <c r="L1126" s="3">
        <v>16.45</v>
      </c>
      <c r="M1126" s="3">
        <v>17.27</v>
      </c>
      <c r="N1126" s="3">
        <v>34.99</v>
      </c>
      <c r="O1126" s="2" t="s">
        <v>230</v>
      </c>
      <c r="P1126" s="2" t="s">
        <v>231</v>
      </c>
      <c r="Q1126" s="2" t="s">
        <v>232</v>
      </c>
      <c r="R1126" s="2" t="s">
        <v>233</v>
      </c>
      <c r="S1126" s="2" t="s">
        <v>5547</v>
      </c>
      <c r="T1126" s="2" t="s">
        <v>233</v>
      </c>
      <c r="U1126" s="2" t="s">
        <v>329</v>
      </c>
      <c r="V1126" s="2" t="s">
        <v>2483</v>
      </c>
      <c r="W1126" s="2" t="s">
        <v>237</v>
      </c>
      <c r="X1126" s="2" t="s">
        <v>1631</v>
      </c>
      <c r="Y1126" s="2" t="s">
        <v>5548</v>
      </c>
      <c r="Z1126" s="4">
        <v>237</v>
      </c>
      <c r="AA1126" s="4">
        <f>=ROUNDDOWN(12.4736842105263,0)</f>
      </c>
      <c r="AB1126" s="5">
        <v>19</v>
      </c>
      <c r="AC1126" s="2" t="s">
        <v>134</v>
      </c>
      <c r="AD1126" s="4">
        <v>220</v>
      </c>
      <c r="AE1126" s="4">
        <v>500</v>
      </c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233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 t="s">
        <v>233</v>
      </c>
      <c r="BD1126" s="8" t="s">
        <v>233</v>
      </c>
      <c r="BE1126" s="4" t="s">
        <v>233</v>
      </c>
      <c r="BF1126" s="8" t="s">
        <v>233</v>
      </c>
      <c r="BG1126" s="7" t="s">
        <v>233</v>
      </c>
      <c r="BH1126" s="7" t="s">
        <v>233</v>
      </c>
      <c r="BI1126" s="7"/>
      <c r="BJ1126" s="4">
        <v>90</v>
      </c>
      <c r="BK1126" s="8">
        <v>1618.16</v>
      </c>
      <c r="BL1126" s="2" t="s">
        <v>5549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5550</v>
      </c>
      <c r="BV1126" s="2" t="s">
        <v>233</v>
      </c>
      <c r="BW1126" s="2" t="s">
        <v>233</v>
      </c>
      <c r="BX1126" s="2" t="s">
        <v>241</v>
      </c>
      <c r="BY1126" s="2" t="s">
        <v>242</v>
      </c>
      <c r="BZ1126" s="2" t="s">
        <v>230</v>
      </c>
      <c r="CA1126" s="2" t="s">
        <v>5551</v>
      </c>
      <c r="CB1126" s="2" t="s">
        <v>5552</v>
      </c>
      <c r="CC1126" s="2" t="s">
        <v>245</v>
      </c>
      <c r="CD1126" s="2" t="s">
        <v>233</v>
      </c>
      <c r="CE1126" s="4">
        <v>17</v>
      </c>
      <c r="CF1126" s="4"/>
      <c r="CG1126" s="4"/>
      <c r="CH1126" s="4"/>
      <c r="CI1126" s="4"/>
      <c r="CJ1126" s="4"/>
      <c r="CK1126" s="4">
        <v>220</v>
      </c>
      <c r="CL1126" s="4"/>
      <c r="CM1126" s="4"/>
      <c r="CN1126" s="4"/>
      <c r="CO1126" s="4"/>
      <c r="CP1126" s="4"/>
      <c r="CQ1126" s="4"/>
      <c r="CR1126" s="4"/>
      <c r="CS1126" s="4"/>
      <c r="CT1126" s="4">
        <v>220</v>
      </c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>
        <v>280</v>
      </c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>
        <v>25</v>
      </c>
      <c r="GD1126" s="4">
        <v>228</v>
      </c>
      <c r="GE1126" s="4">
        <v>212</v>
      </c>
      <c r="GF1126" s="4">
        <v>199</v>
      </c>
      <c r="GG1126" s="4">
        <v>456</v>
      </c>
      <c r="GH1126" s="4">
        <v>440</v>
      </c>
      <c r="GI1126" s="4">
        <v>419</v>
      </c>
      <c r="GJ1126" s="4">
        <v>404</v>
      </c>
      <c r="GK1126" s="4">
        <v>392</v>
      </c>
      <c r="GL1126" s="4">
        <v>372</v>
      </c>
      <c r="GM1126" s="4">
        <v>352</v>
      </c>
      <c r="GN1126" s="4">
        <v>333</v>
      </c>
      <c r="GO1126" s="4">
        <v>314</v>
      </c>
      <c r="GP1126" s="4">
        <v>295</v>
      </c>
      <c r="GQ1126" s="4">
        <v>276</v>
      </c>
      <c r="GR1126" s="4">
        <v>257</v>
      </c>
      <c r="GS1126" s="4">
        <v>238</v>
      </c>
      <c r="GT1126" s="4">
        <v>218</v>
      </c>
      <c r="GU1126" s="4">
        <v>199</v>
      </c>
      <c r="GV1126" s="4">
        <v>180</v>
      </c>
      <c r="GW1126" s="4">
        <v>161</v>
      </c>
      <c r="GX1126" s="4">
        <v>142</v>
      </c>
      <c r="GY1126" s="4">
        <v>123</v>
      </c>
      <c r="GZ1126" s="4">
        <v>104</v>
      </c>
      <c r="HA1126" s="4">
        <v>84</v>
      </c>
      <c r="HB1126" s="4">
        <v>210</v>
      </c>
      <c r="HC1126" s="19">
        <v>1.5</v>
      </c>
      <c r="HD1126" s="19">
        <v>13.4</v>
      </c>
      <c r="HE1126" s="19">
        <v>11.8</v>
      </c>
      <c r="HF1126" s="19">
        <v>10.5</v>
      </c>
      <c r="HG1126" s="19">
        <v>28.5</v>
      </c>
      <c r="HH1126" s="19">
        <v>25.9</v>
      </c>
      <c r="HI1126" s="19">
        <v>24.6</v>
      </c>
      <c r="HJ1126" s="19">
        <v>22.4</v>
      </c>
      <c r="HK1126" s="19">
        <v>19.6</v>
      </c>
      <c r="HL1126" s="19">
        <v>19.6</v>
      </c>
      <c r="HM1126" s="19">
        <v>18.5</v>
      </c>
      <c r="HN1126" s="19">
        <v>17.5</v>
      </c>
      <c r="HO1126" s="19">
        <v>16.5</v>
      </c>
      <c r="HP1126" s="19">
        <v>15.5</v>
      </c>
      <c r="HQ1126" s="19">
        <v>14.5</v>
      </c>
      <c r="HR1126" s="19">
        <v>13.5</v>
      </c>
      <c r="HS1126" s="19">
        <v>12.5</v>
      </c>
      <c r="HT1126" s="19">
        <v>11.5</v>
      </c>
      <c r="HU1126" s="19">
        <v>10.5</v>
      </c>
      <c r="HV1126" s="19">
        <v>9.5</v>
      </c>
      <c r="HW1126" s="19">
        <v>8.5</v>
      </c>
      <c r="HX1126" s="19">
        <v>7.5</v>
      </c>
      <c r="HY1126" s="19">
        <v>6.5</v>
      </c>
      <c r="HZ1126" s="19">
        <v>5.5</v>
      </c>
      <c r="IA1126" s="19">
        <v>4.4</v>
      </c>
      <c r="IB1126" s="19">
        <v>11.1</v>
      </c>
    </row>
    <row r="1127">
      <c r="A1127" s="2" t="s">
        <v>5553</v>
      </c>
      <c r="B1127" s="2" t="s">
        <v>923</v>
      </c>
      <c r="C1127" s="2" t="s">
        <v>280</v>
      </c>
      <c r="D1127" s="2" t="s">
        <v>951</v>
      </c>
      <c r="E1127" s="2" t="s">
        <v>952</v>
      </c>
      <c r="F1127" s="2" t="s">
        <v>5540</v>
      </c>
      <c r="G1127" s="2" t="s">
        <v>5541</v>
      </c>
      <c r="H1127" s="2" t="s">
        <v>4679</v>
      </c>
      <c r="I1127" s="2" t="s">
        <v>952</v>
      </c>
      <c r="J1127" s="2" t="s">
        <v>954</v>
      </c>
      <c r="K1127" s="2" t="s">
        <v>300</v>
      </c>
      <c r="L1127" s="3">
        <v>16.45</v>
      </c>
      <c r="M1127" s="3">
        <v>17.27</v>
      </c>
      <c r="N1127" s="3">
        <v>34.99</v>
      </c>
      <c r="O1127" s="2" t="s">
        <v>230</v>
      </c>
      <c r="P1127" s="2" t="s">
        <v>231</v>
      </c>
      <c r="Q1127" s="2" t="s">
        <v>232</v>
      </c>
      <c r="R1127" s="2" t="s">
        <v>233</v>
      </c>
      <c r="S1127" s="2" t="s">
        <v>5543</v>
      </c>
      <c r="T1127" s="2" t="s">
        <v>233</v>
      </c>
      <c r="U1127" s="2" t="s">
        <v>329</v>
      </c>
      <c r="V1127" s="2" t="s">
        <v>2483</v>
      </c>
      <c r="W1127" s="2" t="s">
        <v>237</v>
      </c>
      <c r="X1127" s="2" t="s">
        <v>1631</v>
      </c>
      <c r="Y1127" s="2" t="s">
        <v>2895</v>
      </c>
      <c r="Z1127" s="4">
        <v>298</v>
      </c>
      <c r="AA1127" s="4">
        <f>=ROUNDDOWN(17.5294117647059,0)</f>
      </c>
      <c r="AB1127" s="5">
        <v>17</v>
      </c>
      <c r="AC1127" s="2" t="s">
        <v>134</v>
      </c>
      <c r="AD1127" s="4">
        <v>120</v>
      </c>
      <c r="AE1127" s="4">
        <v>500</v>
      </c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233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 t="s">
        <v>233</v>
      </c>
      <c r="BD1127" s="8" t="s">
        <v>233</v>
      </c>
      <c r="BE1127" s="4" t="s">
        <v>233</v>
      </c>
      <c r="BF1127" s="8" t="s">
        <v>233</v>
      </c>
      <c r="BG1127" s="7" t="s">
        <v>233</v>
      </c>
      <c r="BH1127" s="7" t="s">
        <v>233</v>
      </c>
      <c r="BI1127" s="7"/>
      <c r="BJ1127" s="4">
        <v>58</v>
      </c>
      <c r="BK1127" s="8">
        <v>1057.82</v>
      </c>
      <c r="BL1127" s="2" t="s">
        <v>5554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5555</v>
      </c>
      <c r="BV1127" s="2" t="s">
        <v>233</v>
      </c>
      <c r="BW1127" s="2" t="s">
        <v>233</v>
      </c>
      <c r="BX1127" s="2" t="s">
        <v>241</v>
      </c>
      <c r="BY1127" s="2" t="s">
        <v>242</v>
      </c>
      <c r="BZ1127" s="2" t="s">
        <v>230</v>
      </c>
      <c r="CA1127" s="2" t="s">
        <v>5556</v>
      </c>
      <c r="CB1127" s="2" t="s">
        <v>2897</v>
      </c>
      <c r="CC1127" s="2" t="s">
        <v>245</v>
      </c>
      <c r="CD1127" s="2" t="s">
        <v>233</v>
      </c>
      <c r="CE1127" s="4">
        <v>178</v>
      </c>
      <c r="CF1127" s="4"/>
      <c r="CG1127" s="4"/>
      <c r="CH1127" s="4"/>
      <c r="CI1127" s="4"/>
      <c r="CJ1127" s="4"/>
      <c r="CK1127" s="4">
        <v>120</v>
      </c>
      <c r="CL1127" s="4"/>
      <c r="CM1127" s="4"/>
      <c r="CN1127" s="4"/>
      <c r="CO1127" s="4"/>
      <c r="CP1127" s="4"/>
      <c r="CQ1127" s="4"/>
      <c r="CR1127" s="4"/>
      <c r="CS1127" s="4"/>
      <c r="CT1127" s="4">
        <v>120</v>
      </c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>
        <v>380</v>
      </c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>
        <v>189</v>
      </c>
      <c r="GD1127" s="4">
        <v>298</v>
      </c>
      <c r="GE1127" s="4">
        <v>285</v>
      </c>
      <c r="GF1127" s="4">
        <v>274</v>
      </c>
      <c r="GG1127" s="4">
        <v>635</v>
      </c>
      <c r="GH1127" s="4">
        <v>622</v>
      </c>
      <c r="GI1127" s="4">
        <v>608</v>
      </c>
      <c r="GJ1127" s="4">
        <v>599</v>
      </c>
      <c r="GK1127" s="4">
        <v>588</v>
      </c>
      <c r="GL1127" s="4">
        <v>570</v>
      </c>
      <c r="GM1127" s="4">
        <v>552</v>
      </c>
      <c r="GN1127" s="4">
        <v>535</v>
      </c>
      <c r="GO1127" s="4">
        <v>518</v>
      </c>
      <c r="GP1127" s="4">
        <v>501</v>
      </c>
      <c r="GQ1127" s="4">
        <v>484</v>
      </c>
      <c r="GR1127" s="4">
        <v>467</v>
      </c>
      <c r="GS1127" s="4">
        <v>450</v>
      </c>
      <c r="GT1127" s="4">
        <v>432</v>
      </c>
      <c r="GU1127" s="4">
        <v>415</v>
      </c>
      <c r="GV1127" s="4">
        <v>398</v>
      </c>
      <c r="GW1127" s="4">
        <v>381</v>
      </c>
      <c r="GX1127" s="4">
        <v>364</v>
      </c>
      <c r="GY1127" s="4">
        <v>347</v>
      </c>
      <c r="GZ1127" s="4">
        <v>330</v>
      </c>
      <c r="HA1127" s="4">
        <v>312</v>
      </c>
      <c r="HB1127" s="4">
        <v>295</v>
      </c>
      <c r="HC1127" s="19">
        <v>13.5</v>
      </c>
      <c r="HD1127" s="19">
        <v>21.3</v>
      </c>
      <c r="HE1127" s="19">
        <v>20.4</v>
      </c>
      <c r="HF1127" s="19">
        <v>19.6</v>
      </c>
      <c r="HG1127" s="19">
        <v>52.9</v>
      </c>
      <c r="HH1127" s="19">
        <v>47.8</v>
      </c>
      <c r="HI1127" s="19">
        <v>43.4</v>
      </c>
      <c r="HJ1127" s="19">
        <v>37.4</v>
      </c>
      <c r="HK1127" s="19">
        <v>32.7</v>
      </c>
      <c r="HL1127" s="19">
        <v>33.5</v>
      </c>
      <c r="HM1127" s="19">
        <v>32.5</v>
      </c>
      <c r="HN1127" s="19">
        <v>31.5</v>
      </c>
      <c r="HO1127" s="19">
        <v>30.5</v>
      </c>
      <c r="HP1127" s="19">
        <v>29.5</v>
      </c>
      <c r="HQ1127" s="19">
        <v>28.5</v>
      </c>
      <c r="HR1127" s="19">
        <v>27.5</v>
      </c>
      <c r="HS1127" s="19">
        <v>26.5</v>
      </c>
      <c r="HT1127" s="19">
        <v>25.4</v>
      </c>
      <c r="HU1127" s="19">
        <v>24.4</v>
      </c>
      <c r="HV1127" s="19">
        <v>23.4</v>
      </c>
      <c r="HW1127" s="19">
        <v>22.4</v>
      </c>
      <c r="HX1127" s="19">
        <v>21.4</v>
      </c>
      <c r="HY1127" s="19">
        <v>20.4</v>
      </c>
      <c r="HZ1127" s="19">
        <v>19.4</v>
      </c>
      <c r="IA1127" s="19">
        <v>18.4</v>
      </c>
      <c r="IB1127" s="19">
        <v>17.4</v>
      </c>
    </row>
    <row r="1128">
      <c r="A1128" s="2" t="s">
        <v>5557</v>
      </c>
      <c r="B1128" s="2" t="s">
        <v>923</v>
      </c>
      <c r="C1128" s="2" t="s">
        <v>280</v>
      </c>
      <c r="D1128" s="2" t="s">
        <v>924</v>
      </c>
      <c r="E1128" s="2" t="s">
        <v>925</v>
      </c>
      <c r="F1128" s="2" t="s">
        <v>5558</v>
      </c>
      <c r="G1128" s="2" t="s">
        <v>5558</v>
      </c>
      <c r="H1128" s="2" t="s">
        <v>5558</v>
      </c>
      <c r="I1128" s="2" t="s">
        <v>5559</v>
      </c>
      <c r="J1128" s="2" t="s">
        <v>5560</v>
      </c>
      <c r="K1128" s="2" t="s">
        <v>229</v>
      </c>
      <c r="L1128" s="3">
        <v>24</v>
      </c>
      <c r="M1128" s="3">
        <v>25.2</v>
      </c>
      <c r="N1128" s="3">
        <v>49.99</v>
      </c>
      <c r="O1128" s="2" t="s">
        <v>230</v>
      </c>
      <c r="P1128" s="2" t="s">
        <v>231</v>
      </c>
      <c r="Q1128" s="2" t="s">
        <v>232</v>
      </c>
      <c r="R1128" s="2" t="s">
        <v>233</v>
      </c>
      <c r="S1128" s="2" t="s">
        <v>5561</v>
      </c>
      <c r="T1128" s="2" t="s">
        <v>348</v>
      </c>
      <c r="U1128" s="2" t="s">
        <v>329</v>
      </c>
      <c r="V1128" s="2" t="s">
        <v>349</v>
      </c>
      <c r="W1128" s="2" t="s">
        <v>237</v>
      </c>
      <c r="X1128" s="2" t="s">
        <v>233</v>
      </c>
      <c r="Y1128" s="2" t="s">
        <v>963</v>
      </c>
      <c r="Z1128" s="4">
        <v>207</v>
      </c>
      <c r="AA1128" s="4">
        <f>=ROUNDDOWN(25.875,0)</f>
      </c>
      <c r="AB1128" s="5">
        <v>8</v>
      </c>
      <c r="AC1128" s="2" t="s">
        <v>138</v>
      </c>
      <c r="AD1128" s="4">
        <v>50</v>
      </c>
      <c r="AE1128" s="4">
        <v>290</v>
      </c>
      <c r="AF1128" s="6">
        <v>67</v>
      </c>
      <c r="AG1128" s="6"/>
      <c r="AH1128" s="7">
        <v>1</v>
      </c>
      <c r="AI1128" s="4"/>
      <c r="AJ1128" s="4">
        <f>=ROUNDDOWN({0},0)</f>
      </c>
      <c r="AK1128" s="5"/>
      <c r="AL1128" s="2" t="s">
        <v>233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233</v>
      </c>
      <c r="AW1128" s="8" t="s">
        <v>233</v>
      </c>
      <c r="AX1128" s="4" t="s">
        <v>233</v>
      </c>
      <c r="AY1128" s="8" t="s">
        <v>233</v>
      </c>
      <c r="AZ1128" s="7" t="s">
        <v>233</v>
      </c>
      <c r="BA1128" s="7" t="s">
        <v>233</v>
      </c>
      <c r="BB1128" s="7"/>
      <c r="BC1128" s="4" t="s">
        <v>233</v>
      </c>
      <c r="BD1128" s="8" t="s">
        <v>233</v>
      </c>
      <c r="BE1128" s="4" t="s">
        <v>233</v>
      </c>
      <c r="BF1128" s="8" t="s">
        <v>233</v>
      </c>
      <c r="BG1128" s="7" t="s">
        <v>233</v>
      </c>
      <c r="BH1128" s="7" t="s">
        <v>233</v>
      </c>
      <c r="BI1128" s="7"/>
      <c r="BJ1128" s="4">
        <v>22</v>
      </c>
      <c r="BK1128" s="8">
        <v>609.71</v>
      </c>
      <c r="BL1128" s="2" t="s">
        <v>5562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5563</v>
      </c>
      <c r="BV1128" s="2" t="s">
        <v>233</v>
      </c>
      <c r="BW1128" s="2" t="s">
        <v>233</v>
      </c>
      <c r="BX1128" s="2" t="s">
        <v>293</v>
      </c>
      <c r="BY1128" s="2" t="s">
        <v>242</v>
      </c>
      <c r="BZ1128" s="2" t="s">
        <v>230</v>
      </c>
      <c r="CA1128" s="2" t="s">
        <v>5564</v>
      </c>
      <c r="CB1128" s="2" t="s">
        <v>1646</v>
      </c>
      <c r="CC1128" s="2" t="s">
        <v>245</v>
      </c>
      <c r="CD1128" s="2" t="s">
        <v>233</v>
      </c>
      <c r="CE1128" s="4">
        <v>207</v>
      </c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>
        <v>50</v>
      </c>
      <c r="DA1128" s="4"/>
      <c r="DB1128" s="4">
        <v>70</v>
      </c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>
        <v>50</v>
      </c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>
        <v>120</v>
      </c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>
        <v>208</v>
      </c>
      <c r="GD1128" s="4">
        <v>140</v>
      </c>
      <c r="GE1128" s="4">
        <v>249</v>
      </c>
      <c r="GF1128" s="4">
        <v>239</v>
      </c>
      <c r="GG1128" s="4">
        <v>224</v>
      </c>
      <c r="GH1128" s="4">
        <v>263</v>
      </c>
      <c r="GI1128" s="4">
        <v>252</v>
      </c>
      <c r="GJ1128" s="4">
        <v>243</v>
      </c>
      <c r="GK1128" s="4">
        <v>235</v>
      </c>
      <c r="GL1128" s="4">
        <v>227</v>
      </c>
      <c r="GM1128" s="4">
        <v>219</v>
      </c>
      <c r="GN1128" s="4">
        <v>211</v>
      </c>
      <c r="GO1128" s="4">
        <v>323</v>
      </c>
      <c r="GP1128" s="4">
        <v>315</v>
      </c>
      <c r="GQ1128" s="4">
        <v>307</v>
      </c>
      <c r="GR1128" s="4">
        <v>299</v>
      </c>
      <c r="GS1128" s="4">
        <v>291</v>
      </c>
      <c r="GT1128" s="4">
        <v>283</v>
      </c>
      <c r="GU1128" s="4">
        <v>275</v>
      </c>
      <c r="GV1128" s="4">
        <v>267</v>
      </c>
      <c r="GW1128" s="4">
        <v>259</v>
      </c>
      <c r="GX1128" s="4">
        <v>251</v>
      </c>
      <c r="GY1128" s="4">
        <v>243</v>
      </c>
      <c r="GZ1128" s="4">
        <v>235</v>
      </c>
      <c r="HA1128" s="4">
        <v>227</v>
      </c>
      <c r="HB1128" s="4">
        <v>219</v>
      </c>
      <c r="HC1128" s="19">
        <v>8</v>
      </c>
      <c r="HD1128" s="19">
        <v>11.7</v>
      </c>
      <c r="HE1128" s="19">
        <v>20.8</v>
      </c>
      <c r="HF1128" s="19">
        <v>19.9</v>
      </c>
      <c r="HG1128" s="19">
        <v>22.4</v>
      </c>
      <c r="HH1128" s="19">
        <v>29.2</v>
      </c>
      <c r="HI1128" s="19">
        <v>31.5</v>
      </c>
      <c r="HJ1128" s="19">
        <v>30.4</v>
      </c>
      <c r="HK1128" s="19">
        <v>29.4</v>
      </c>
      <c r="HL1128" s="19">
        <v>28.4</v>
      </c>
      <c r="HM1128" s="19">
        <v>27.4</v>
      </c>
      <c r="HN1128" s="19">
        <v>26.4</v>
      </c>
      <c r="HO1128" s="19">
        <v>40.4</v>
      </c>
      <c r="HP1128" s="19">
        <v>39.4</v>
      </c>
      <c r="HQ1128" s="19">
        <v>38.4</v>
      </c>
      <c r="HR1128" s="19">
        <v>37.4</v>
      </c>
      <c r="HS1128" s="19">
        <v>36.4</v>
      </c>
      <c r="HT1128" s="19">
        <v>35.4</v>
      </c>
      <c r="HU1128" s="19">
        <v>34.4</v>
      </c>
      <c r="HV1128" s="19">
        <v>33.4</v>
      </c>
      <c r="HW1128" s="19">
        <v>32.4</v>
      </c>
      <c r="HX1128" s="19">
        <v>31.4</v>
      </c>
      <c r="HY1128" s="19">
        <v>30.4</v>
      </c>
      <c r="HZ1128" s="19">
        <v>29.4</v>
      </c>
      <c r="IA1128" s="19">
        <v>28.4</v>
      </c>
      <c r="IB1128" s="19">
        <v>27.4</v>
      </c>
    </row>
    <row r="1129">
      <c r="A1129" s="2" t="s">
        <v>5565</v>
      </c>
      <c r="B1129" s="2" t="s">
        <v>923</v>
      </c>
      <c r="C1129" s="2" t="s">
        <v>280</v>
      </c>
      <c r="D1129" s="2" t="s">
        <v>924</v>
      </c>
      <c r="E1129" s="2" t="s">
        <v>925</v>
      </c>
      <c r="F1129" s="2" t="s">
        <v>5558</v>
      </c>
      <c r="G1129" s="2" t="s">
        <v>5558</v>
      </c>
      <c r="H1129" s="2" t="s">
        <v>5558</v>
      </c>
      <c r="I1129" s="2" t="s">
        <v>5559</v>
      </c>
      <c r="J1129" s="2" t="s">
        <v>930</v>
      </c>
      <c r="K1129" s="2" t="s">
        <v>229</v>
      </c>
      <c r="L1129" s="3">
        <v>19.2</v>
      </c>
      <c r="M1129" s="3">
        <v>20.16</v>
      </c>
      <c r="N1129" s="3">
        <v>39.99</v>
      </c>
      <c r="O1129" s="2" t="s">
        <v>230</v>
      </c>
      <c r="P1129" s="2" t="s">
        <v>231</v>
      </c>
      <c r="Q1129" s="2" t="s">
        <v>232</v>
      </c>
      <c r="R1129" s="2" t="s">
        <v>233</v>
      </c>
      <c r="S1129" s="2" t="s">
        <v>5561</v>
      </c>
      <c r="T1129" s="2" t="s">
        <v>348</v>
      </c>
      <c r="U1129" s="2" t="s">
        <v>329</v>
      </c>
      <c r="V1129" s="2" t="s">
        <v>349</v>
      </c>
      <c r="W1129" s="2" t="s">
        <v>237</v>
      </c>
      <c r="X1129" s="2" t="s">
        <v>233</v>
      </c>
      <c r="Y1129" s="2" t="s">
        <v>963</v>
      </c>
      <c r="Z1129" s="4">
        <v>263</v>
      </c>
      <c r="AA1129" s="4">
        <f>=ROUNDDOWN(15.4705882352941,0)</f>
      </c>
      <c r="AB1129" s="5">
        <v>17</v>
      </c>
      <c r="AC1129" s="2" t="s">
        <v>138</v>
      </c>
      <c r="AD1129" s="4">
        <v>100</v>
      </c>
      <c r="AE1129" s="4">
        <v>440</v>
      </c>
      <c r="AF1129" s="6">
        <v>67</v>
      </c>
      <c r="AG1129" s="6"/>
      <c r="AH1129" s="7">
        <v>1</v>
      </c>
      <c r="AI1129" s="4"/>
      <c r="AJ1129" s="4">
        <f>=ROUNDDOWN({0},0)</f>
      </c>
      <c r="AK1129" s="5"/>
      <c r="AL1129" s="2" t="s">
        <v>233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233</v>
      </c>
      <c r="AW1129" s="8" t="s">
        <v>233</v>
      </c>
      <c r="AX1129" s="4" t="s">
        <v>233</v>
      </c>
      <c r="AY1129" s="8" t="s">
        <v>233</v>
      </c>
      <c r="AZ1129" s="7" t="s">
        <v>233</v>
      </c>
      <c r="BA1129" s="7" t="s">
        <v>233</v>
      </c>
      <c r="BB1129" s="7"/>
      <c r="BC1129" s="4" t="s">
        <v>233</v>
      </c>
      <c r="BD1129" s="8" t="s">
        <v>233</v>
      </c>
      <c r="BE1129" s="4" t="s">
        <v>233</v>
      </c>
      <c r="BF1129" s="8" t="s">
        <v>233</v>
      </c>
      <c r="BG1129" s="7" t="s">
        <v>233</v>
      </c>
      <c r="BH1129" s="7" t="s">
        <v>233</v>
      </c>
      <c r="BI1129" s="7"/>
      <c r="BJ1129" s="4">
        <v>61</v>
      </c>
      <c r="BK1129" s="8">
        <v>1309.08</v>
      </c>
      <c r="BL1129" s="2" t="s">
        <v>5566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5563</v>
      </c>
      <c r="BV1129" s="2" t="s">
        <v>233</v>
      </c>
      <c r="BW1129" s="2" t="s">
        <v>233</v>
      </c>
      <c r="BX1129" s="2" t="s">
        <v>293</v>
      </c>
      <c r="BY1129" s="2" t="s">
        <v>242</v>
      </c>
      <c r="BZ1129" s="2" t="s">
        <v>230</v>
      </c>
      <c r="CA1129" s="2" t="s">
        <v>5564</v>
      </c>
      <c r="CB1129" s="2" t="s">
        <v>1650</v>
      </c>
      <c r="CC1129" s="2" t="s">
        <v>245</v>
      </c>
      <c r="CD1129" s="2" t="s">
        <v>233</v>
      </c>
      <c r="CE1129" s="4">
        <v>75</v>
      </c>
      <c r="CF1129" s="4">
        <v>188</v>
      </c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>
        <v>100</v>
      </c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>
        <v>70</v>
      </c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>
        <v>110</v>
      </c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>
        <v>160</v>
      </c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>
        <v>273</v>
      </c>
      <c r="GD1129" s="4">
        <v>187</v>
      </c>
      <c r="GE1129" s="4">
        <v>263</v>
      </c>
      <c r="GF1129" s="4">
        <v>242</v>
      </c>
      <c r="GG1129" s="4">
        <v>212</v>
      </c>
      <c r="GH1129" s="4">
        <v>263</v>
      </c>
      <c r="GI1129" s="4">
        <v>244</v>
      </c>
      <c r="GJ1129" s="4">
        <v>228</v>
      </c>
      <c r="GK1129" s="4">
        <v>324</v>
      </c>
      <c r="GL1129" s="4">
        <v>306</v>
      </c>
      <c r="GM1129" s="4">
        <v>288</v>
      </c>
      <c r="GN1129" s="4">
        <v>271</v>
      </c>
      <c r="GO1129" s="4">
        <v>414</v>
      </c>
      <c r="GP1129" s="4">
        <v>397</v>
      </c>
      <c r="GQ1129" s="4">
        <v>380</v>
      </c>
      <c r="GR1129" s="4">
        <v>363</v>
      </c>
      <c r="GS1129" s="4">
        <v>346</v>
      </c>
      <c r="GT1129" s="4">
        <v>328</v>
      </c>
      <c r="GU1129" s="4">
        <v>311</v>
      </c>
      <c r="GV1129" s="4">
        <v>294</v>
      </c>
      <c r="GW1129" s="4">
        <v>277</v>
      </c>
      <c r="GX1129" s="4">
        <v>260</v>
      </c>
      <c r="GY1129" s="4">
        <v>243</v>
      </c>
      <c r="GZ1129" s="4">
        <v>226</v>
      </c>
      <c r="HA1129" s="4">
        <v>208</v>
      </c>
      <c r="HB1129" s="4">
        <v>191</v>
      </c>
      <c r="HC1129" s="19">
        <v>6.8</v>
      </c>
      <c r="HD1129" s="19">
        <v>7.8</v>
      </c>
      <c r="HE1129" s="19">
        <v>12</v>
      </c>
      <c r="HF1129" s="19">
        <v>11.5</v>
      </c>
      <c r="HG1129" s="19">
        <v>12.5</v>
      </c>
      <c r="HH1129" s="19">
        <v>15.5</v>
      </c>
      <c r="HI1129" s="19">
        <v>15.3</v>
      </c>
      <c r="HJ1129" s="19">
        <v>13.4</v>
      </c>
      <c r="HK1129" s="19">
        <v>18</v>
      </c>
      <c r="HL1129" s="19">
        <v>18</v>
      </c>
      <c r="HM1129" s="19">
        <v>16.9</v>
      </c>
      <c r="HN1129" s="19">
        <v>15.9</v>
      </c>
      <c r="HO1129" s="19">
        <v>24.4</v>
      </c>
      <c r="HP1129" s="19">
        <v>23.4</v>
      </c>
      <c r="HQ1129" s="19">
        <v>22.4</v>
      </c>
      <c r="HR1129" s="19">
        <v>21.4</v>
      </c>
      <c r="HS1129" s="19">
        <v>20.4</v>
      </c>
      <c r="HT1129" s="19">
        <v>19.3</v>
      </c>
      <c r="HU1129" s="19">
        <v>18.3</v>
      </c>
      <c r="HV1129" s="19">
        <v>17.3</v>
      </c>
      <c r="HW1129" s="19">
        <v>16.3</v>
      </c>
      <c r="HX1129" s="19">
        <v>15.3</v>
      </c>
      <c r="HY1129" s="19">
        <v>14.3</v>
      </c>
      <c r="HZ1129" s="19">
        <v>13.3</v>
      </c>
      <c r="IA1129" s="19">
        <v>12.2</v>
      </c>
      <c r="IB1129" s="19">
        <v>10.6</v>
      </c>
    </row>
    <row r="1130">
      <c r="A1130" s="2" t="s">
        <v>5567</v>
      </c>
      <c r="B1130" s="2" t="s">
        <v>704</v>
      </c>
      <c r="C1130" s="2" t="s">
        <v>280</v>
      </c>
      <c r="D1130" s="2" t="s">
        <v>705</v>
      </c>
      <c r="E1130" s="2" t="s">
        <v>706</v>
      </c>
      <c r="F1130" s="2" t="s">
        <v>5568</v>
      </c>
      <c r="G1130" s="2" t="s">
        <v>5568</v>
      </c>
      <c r="H1130" s="2" t="s">
        <v>5568</v>
      </c>
      <c r="I1130" s="2" t="s">
        <v>5569</v>
      </c>
      <c r="J1130" s="2" t="s">
        <v>792</v>
      </c>
      <c r="K1130" s="2" t="s">
        <v>671</v>
      </c>
      <c r="L1130" s="3">
        <v>24</v>
      </c>
      <c r="M1130" s="3">
        <v>25.2</v>
      </c>
      <c r="N1130" s="3">
        <v>49.99</v>
      </c>
      <c r="O1130" s="2" t="s">
        <v>230</v>
      </c>
      <c r="P1130" s="2" t="s">
        <v>231</v>
      </c>
      <c r="Q1130" s="2" t="s">
        <v>232</v>
      </c>
      <c r="R1130" s="2" t="s">
        <v>233</v>
      </c>
      <c r="S1130" s="2" t="s">
        <v>5570</v>
      </c>
      <c r="T1130" s="2" t="s">
        <v>348</v>
      </c>
      <c r="U1130" s="2" t="s">
        <v>665</v>
      </c>
      <c r="V1130" s="2" t="s">
        <v>236</v>
      </c>
      <c r="W1130" s="2" t="s">
        <v>620</v>
      </c>
      <c r="X1130" s="2" t="s">
        <v>233</v>
      </c>
      <c r="Y1130" s="2" t="s">
        <v>1992</v>
      </c>
      <c r="Z1130" s="4"/>
      <c r="AA1130" s="4">
        <f>=ROUNDDOWN({0},0)</f>
      </c>
      <c r="AB1130" s="5">
        <v>71</v>
      </c>
      <c r="AC1130" s="2" t="s">
        <v>154</v>
      </c>
      <c r="AD1130" s="4">
        <v>840</v>
      </c>
      <c r="AE1130" s="4">
        <v>3580</v>
      </c>
      <c r="AF1130" s="6">
        <v>73</v>
      </c>
      <c r="AG1130" s="6"/>
      <c r="AH1130" s="7">
        <v>0</v>
      </c>
      <c r="AI1130" s="4"/>
      <c r="AJ1130" s="4">
        <f>=ROUNDDOWN({0},0)</f>
      </c>
      <c r="AK1130" s="5"/>
      <c r="AL1130" s="2" t="s">
        <v>233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 t="s">
        <v>233</v>
      </c>
      <c r="BD1130" s="8" t="s">
        <v>233</v>
      </c>
      <c r="BE1130" s="4" t="s">
        <v>233</v>
      </c>
      <c r="BF1130" s="8" t="s">
        <v>233</v>
      </c>
      <c r="BG1130" s="7" t="s">
        <v>233</v>
      </c>
      <c r="BH1130" s="7" t="s">
        <v>233</v>
      </c>
      <c r="BI1130" s="7"/>
      <c r="BJ1130" s="4"/>
      <c r="BK1130" s="8"/>
      <c r="BL1130" s="2" t="s">
        <v>233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5571</v>
      </c>
      <c r="BV1130" s="2" t="s">
        <v>233</v>
      </c>
      <c r="BW1130" s="2" t="s">
        <v>233</v>
      </c>
      <c r="BX1130" s="2" t="s">
        <v>241</v>
      </c>
      <c r="BY1130" s="2" t="s">
        <v>242</v>
      </c>
      <c r="BZ1130" s="2" t="s">
        <v>230</v>
      </c>
      <c r="CA1130" s="2" t="s">
        <v>5572</v>
      </c>
      <c r="CB1130" s="2" t="s">
        <v>5573</v>
      </c>
      <c r="CC1130" s="2" t="s">
        <v>245</v>
      </c>
      <c r="CD1130" s="2" t="s">
        <v>233</v>
      </c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>
        <v>840</v>
      </c>
      <c r="DQ1130" s="4"/>
      <c r="DR1130" s="4"/>
      <c r="DS1130" s="4"/>
      <c r="DT1130" s="4"/>
      <c r="DU1130" s="4"/>
      <c r="DV1130" s="4"/>
      <c r="DW1130" s="4">
        <v>420</v>
      </c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>
        <v>640</v>
      </c>
      <c r="EM1130" s="4">
        <v>420</v>
      </c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>
        <v>420</v>
      </c>
      <c r="FE1130" s="4"/>
      <c r="FF1130" s="4"/>
      <c r="FG1130" s="4"/>
      <c r="FH1130" s="4"/>
      <c r="FI1130" s="4"/>
      <c r="FJ1130" s="4"/>
      <c r="FK1130" s="4"/>
      <c r="FL1130" s="4"/>
      <c r="FM1130" s="4"/>
      <c r="FN1130" s="4">
        <v>840</v>
      </c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>
        <v>840</v>
      </c>
      <c r="GI1130" s="4">
        <v>951</v>
      </c>
      <c r="GJ1130" s="4">
        <v>856</v>
      </c>
      <c r="GK1130" s="4">
        <v>1851</v>
      </c>
      <c r="GL1130" s="4">
        <v>1774</v>
      </c>
      <c r="GM1130" s="4">
        <v>1702</v>
      </c>
      <c r="GN1130" s="4">
        <v>1631</v>
      </c>
      <c r="GO1130" s="4">
        <v>1980</v>
      </c>
      <c r="GP1130" s="4">
        <v>1909</v>
      </c>
      <c r="GQ1130" s="4">
        <v>1838</v>
      </c>
      <c r="GR1130" s="4">
        <v>2607</v>
      </c>
      <c r="GS1130" s="4">
        <v>2536</v>
      </c>
      <c r="GT1130" s="4">
        <v>2459</v>
      </c>
      <c r="GU1130" s="4">
        <v>2388</v>
      </c>
      <c r="GV1130" s="4">
        <v>2317</v>
      </c>
      <c r="GW1130" s="4">
        <v>2246</v>
      </c>
      <c r="GX1130" s="4">
        <v>2175</v>
      </c>
      <c r="GY1130" s="4">
        <v>2104</v>
      </c>
      <c r="GZ1130" s="4">
        <v>2033</v>
      </c>
      <c r="HA1130" s="4">
        <v>1961</v>
      </c>
      <c r="HB1130" s="4">
        <v>1890</v>
      </c>
      <c r="HC1130" s="20">
        <v>0</v>
      </c>
      <c r="HD1130" s="20">
        <v>0</v>
      </c>
      <c r="HE1130" s="20">
        <v>0</v>
      </c>
      <c r="HF1130" s="20">
        <v>0</v>
      </c>
      <c r="HG1130" s="20">
        <v>0</v>
      </c>
      <c r="HH1130" s="19">
        <v>6.2</v>
      </c>
      <c r="HI1130" s="19">
        <v>12.4</v>
      </c>
      <c r="HJ1130" s="19">
        <v>12.1</v>
      </c>
      <c r="HK1130" s="19">
        <v>25.4</v>
      </c>
      <c r="HL1130" s="19">
        <v>25</v>
      </c>
      <c r="HM1130" s="19">
        <v>24</v>
      </c>
      <c r="HN1130" s="19">
        <v>23</v>
      </c>
      <c r="HO1130" s="19">
        <v>27.9</v>
      </c>
      <c r="HP1130" s="19">
        <v>26.5</v>
      </c>
      <c r="HQ1130" s="19">
        <v>25.5</v>
      </c>
      <c r="HR1130" s="19">
        <v>36.2</v>
      </c>
      <c r="HS1130" s="19">
        <v>35.2</v>
      </c>
      <c r="HT1130" s="19">
        <v>34.6</v>
      </c>
      <c r="HU1130" s="19">
        <v>33.6</v>
      </c>
      <c r="HV1130" s="19">
        <v>32.6</v>
      </c>
      <c r="HW1130" s="19">
        <v>31.6</v>
      </c>
      <c r="HX1130" s="19">
        <v>30.6</v>
      </c>
      <c r="HY1130" s="19">
        <v>29.6</v>
      </c>
      <c r="HZ1130" s="19">
        <v>28.6</v>
      </c>
      <c r="IA1130" s="19">
        <v>27.6</v>
      </c>
      <c r="IB1130" s="19">
        <v>26.3</v>
      </c>
    </row>
    <row r="1131">
      <c r="A1131" s="2" t="s">
        <v>5574</v>
      </c>
      <c r="B1131" s="2" t="s">
        <v>704</v>
      </c>
      <c r="C1131" s="2" t="s">
        <v>280</v>
      </c>
      <c r="D1131" s="2" t="s">
        <v>705</v>
      </c>
      <c r="E1131" s="2" t="s">
        <v>706</v>
      </c>
      <c r="F1131" s="2" t="s">
        <v>5568</v>
      </c>
      <c r="G1131" s="2" t="s">
        <v>5568</v>
      </c>
      <c r="H1131" s="2" t="s">
        <v>5568</v>
      </c>
      <c r="I1131" s="2" t="s">
        <v>5569</v>
      </c>
      <c r="J1131" s="2" t="s">
        <v>792</v>
      </c>
      <c r="K1131" s="2" t="s">
        <v>266</v>
      </c>
      <c r="L1131" s="3">
        <v>24</v>
      </c>
      <c r="M1131" s="3">
        <v>25.2</v>
      </c>
      <c r="N1131" s="3">
        <v>49.99</v>
      </c>
      <c r="O1131" s="2" t="s">
        <v>230</v>
      </c>
      <c r="P1131" s="2" t="s">
        <v>586</v>
      </c>
      <c r="Q1131" s="2" t="s">
        <v>232</v>
      </c>
      <c r="R1131" s="2" t="s">
        <v>233</v>
      </c>
      <c r="S1131" s="2" t="s">
        <v>5570</v>
      </c>
      <c r="T1131" s="2" t="s">
        <v>233</v>
      </c>
      <c r="U1131" s="2" t="s">
        <v>665</v>
      </c>
      <c r="V1131" s="2" t="s">
        <v>236</v>
      </c>
      <c r="W1131" s="2" t="s">
        <v>620</v>
      </c>
      <c r="X1131" s="2" t="s">
        <v>233</v>
      </c>
      <c r="Y1131" s="2" t="s">
        <v>3736</v>
      </c>
      <c r="Z1131" s="4"/>
      <c r="AA1131" s="4">
        <f>=ROUNDDOWN({0},0)</f>
      </c>
      <c r="AB1131" s="5">
        <v>67</v>
      </c>
      <c r="AC1131" s="2" t="s">
        <v>154</v>
      </c>
      <c r="AD1131" s="4">
        <v>797</v>
      </c>
      <c r="AE1131" s="4">
        <v>3327</v>
      </c>
      <c r="AF1131" s="6">
        <v>73</v>
      </c>
      <c r="AG1131" s="6"/>
      <c r="AH1131" s="7">
        <v>0</v>
      </c>
      <c r="AI1131" s="4"/>
      <c r="AJ1131" s="4">
        <f>=ROUNDDOWN({0},0)</f>
      </c>
      <c r="AK1131" s="5"/>
      <c r="AL1131" s="2" t="s">
        <v>233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 t="s">
        <v>233</v>
      </c>
      <c r="BD1131" s="8" t="s">
        <v>233</v>
      </c>
      <c r="BE1131" s="4" t="s">
        <v>233</v>
      </c>
      <c r="BF1131" s="8" t="s">
        <v>233</v>
      </c>
      <c r="BG1131" s="7" t="s">
        <v>233</v>
      </c>
      <c r="BH1131" s="7" t="s">
        <v>233</v>
      </c>
      <c r="BI1131" s="7"/>
      <c r="BJ1131" s="4">
        <v>10</v>
      </c>
      <c r="BK1131" s="8">
        <v>265.8</v>
      </c>
      <c r="BL1131" s="2" t="s">
        <v>351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5571</v>
      </c>
      <c r="BV1131" s="2" t="s">
        <v>233</v>
      </c>
      <c r="BW1131" s="2" t="s">
        <v>233</v>
      </c>
      <c r="BX1131" s="2" t="s">
        <v>241</v>
      </c>
      <c r="BY1131" s="2" t="s">
        <v>242</v>
      </c>
      <c r="BZ1131" s="2" t="s">
        <v>230</v>
      </c>
      <c r="CA1131" s="2" t="s">
        <v>3796</v>
      </c>
      <c r="CB1131" s="2" t="s">
        <v>1379</v>
      </c>
      <c r="CC1131" s="2" t="s">
        <v>245</v>
      </c>
      <c r="CD1131" s="2" t="s">
        <v>233</v>
      </c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>
        <v>797</v>
      </c>
      <c r="DQ1131" s="4"/>
      <c r="DR1131" s="4"/>
      <c r="DS1131" s="4"/>
      <c r="DT1131" s="4"/>
      <c r="DU1131" s="4"/>
      <c r="DV1131" s="4"/>
      <c r="DW1131" s="4">
        <v>640</v>
      </c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>
        <v>210</v>
      </c>
      <c r="EM1131" s="4">
        <v>420</v>
      </c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>
        <v>420</v>
      </c>
      <c r="FE1131" s="4"/>
      <c r="FF1131" s="4"/>
      <c r="FG1131" s="4"/>
      <c r="FH1131" s="4"/>
      <c r="FI1131" s="4"/>
      <c r="FJ1131" s="4"/>
      <c r="FK1131" s="4"/>
      <c r="FL1131" s="4"/>
      <c r="FM1131" s="4"/>
      <c r="FN1131" s="4">
        <v>840</v>
      </c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>
        <v>797</v>
      </c>
      <c r="GI1131" s="4">
        <v>1179</v>
      </c>
      <c r="GJ1131" s="4">
        <v>1090</v>
      </c>
      <c r="GK1131" s="4">
        <v>1659</v>
      </c>
      <c r="GL1131" s="4">
        <v>1586</v>
      </c>
      <c r="GM1131" s="4">
        <v>1518</v>
      </c>
      <c r="GN1131" s="4">
        <v>1451</v>
      </c>
      <c r="GO1131" s="4">
        <v>1804</v>
      </c>
      <c r="GP1131" s="4">
        <v>1737</v>
      </c>
      <c r="GQ1131" s="4">
        <v>1670</v>
      </c>
      <c r="GR1131" s="4">
        <v>2443</v>
      </c>
      <c r="GS1131" s="4">
        <v>2376</v>
      </c>
      <c r="GT1131" s="4">
        <v>2303</v>
      </c>
      <c r="GU1131" s="4">
        <v>2236</v>
      </c>
      <c r="GV1131" s="4">
        <v>2169</v>
      </c>
      <c r="GW1131" s="4">
        <v>2102</v>
      </c>
      <c r="GX1131" s="4">
        <v>2035</v>
      </c>
      <c r="GY1131" s="4">
        <v>1968</v>
      </c>
      <c r="GZ1131" s="4">
        <v>1901</v>
      </c>
      <c r="HA1131" s="4">
        <v>1833</v>
      </c>
      <c r="HB1131" s="4">
        <v>1766</v>
      </c>
      <c r="HC1131" s="20">
        <v>0</v>
      </c>
      <c r="HD1131" s="20">
        <v>0</v>
      </c>
      <c r="HE1131" s="20">
        <v>0</v>
      </c>
      <c r="HF1131" s="20">
        <v>0</v>
      </c>
      <c r="HG1131" s="20">
        <v>0</v>
      </c>
      <c r="HH1131" s="19">
        <v>6.6</v>
      </c>
      <c r="HI1131" s="19">
        <v>16.2</v>
      </c>
      <c r="HJ1131" s="19">
        <v>16.3</v>
      </c>
      <c r="HK1131" s="19">
        <v>24</v>
      </c>
      <c r="HL1131" s="19">
        <v>23.7</v>
      </c>
      <c r="HM1131" s="19">
        <v>22.7</v>
      </c>
      <c r="HN1131" s="19">
        <v>21.7</v>
      </c>
      <c r="HO1131" s="19">
        <v>26.9</v>
      </c>
      <c r="HP1131" s="19">
        <v>25.5</v>
      </c>
      <c r="HQ1131" s="19">
        <v>24.6</v>
      </c>
      <c r="HR1131" s="19">
        <v>35.9</v>
      </c>
      <c r="HS1131" s="19">
        <v>34.9</v>
      </c>
      <c r="HT1131" s="19">
        <v>34.4</v>
      </c>
      <c r="HU1131" s="19">
        <v>33.4</v>
      </c>
      <c r="HV1131" s="19">
        <v>32.4</v>
      </c>
      <c r="HW1131" s="19">
        <v>31.4</v>
      </c>
      <c r="HX1131" s="19">
        <v>30.4</v>
      </c>
      <c r="HY1131" s="19">
        <v>29.4</v>
      </c>
      <c r="HZ1131" s="19">
        <v>28.4</v>
      </c>
      <c r="IA1131" s="19">
        <v>27.4</v>
      </c>
      <c r="IB1131" s="19">
        <v>26</v>
      </c>
    </row>
    <row r="1132">
      <c r="A1132" s="2" t="s">
        <v>5575</v>
      </c>
      <c r="B1132" s="2" t="s">
        <v>736</v>
      </c>
      <c r="C1132" s="2" t="s">
        <v>280</v>
      </c>
      <c r="D1132" s="2" t="s">
        <v>737</v>
      </c>
      <c r="E1132" s="2" t="s">
        <v>738</v>
      </c>
      <c r="F1132" s="2" t="s">
        <v>5576</v>
      </c>
      <c r="G1132" s="2" t="s">
        <v>5576</v>
      </c>
      <c r="H1132" s="2" t="s">
        <v>5576</v>
      </c>
      <c r="I1132" s="2" t="s">
        <v>5577</v>
      </c>
      <c r="J1132" s="2" t="s">
        <v>741</v>
      </c>
      <c r="K1132" s="2" t="s">
        <v>229</v>
      </c>
      <c r="L1132" s="3">
        <v>36.42</v>
      </c>
      <c r="M1132" s="3">
        <v>38.24</v>
      </c>
      <c r="N1132" s="3">
        <v>76.49</v>
      </c>
      <c r="O1132" s="2" t="s">
        <v>230</v>
      </c>
      <c r="P1132" s="2" t="s">
        <v>721</v>
      </c>
      <c r="Q1132" s="2" t="s">
        <v>232</v>
      </c>
      <c r="R1132" s="2" t="s">
        <v>233</v>
      </c>
      <c r="S1132" s="2" t="s">
        <v>233</v>
      </c>
      <c r="T1132" s="2" t="s">
        <v>233</v>
      </c>
      <c r="U1132" s="2" t="s">
        <v>329</v>
      </c>
      <c r="V1132" s="2" t="s">
        <v>1190</v>
      </c>
      <c r="W1132" s="2" t="s">
        <v>1190</v>
      </c>
      <c r="X1132" s="2" t="s">
        <v>712</v>
      </c>
      <c r="Y1132" s="2" t="s">
        <v>614</v>
      </c>
      <c r="Z1132" s="4">
        <v>76</v>
      </c>
      <c r="AA1132" s="4">
        <f>=ROUNDDOWN(25.3333333333333,0)</f>
      </c>
      <c r="AB1132" s="5">
        <v>3</v>
      </c>
      <c r="AC1132" s="2" t="s">
        <v>233</v>
      </c>
      <c r="AD1132" s="4"/>
      <c r="AE1132" s="4"/>
      <c r="AF1132" s="6">
        <v>63</v>
      </c>
      <c r="AG1132" s="6"/>
      <c r="AH1132" s="7">
        <v>1</v>
      </c>
      <c r="AI1132" s="4"/>
      <c r="AJ1132" s="4">
        <f>=ROUNDDOWN({0},0)</f>
      </c>
      <c r="AK1132" s="5"/>
      <c r="AL1132" s="2" t="s">
        <v>233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/>
      <c r="AW1132" s="8"/>
      <c r="AX1132" s="4"/>
      <c r="AY1132" s="8"/>
      <c r="AZ1132" s="7"/>
      <c r="BA1132" s="7"/>
      <c r="BB1132" s="7"/>
      <c r="BC1132" s="4"/>
      <c r="BD1132" s="8"/>
      <c r="BE1132" s="4"/>
      <c r="BF1132" s="8"/>
      <c r="BG1132" s="7"/>
      <c r="BH1132" s="7"/>
      <c r="BI1132" s="7"/>
      <c r="BJ1132" s="4">
        <v>12</v>
      </c>
      <c r="BK1132" s="8">
        <v>533.05</v>
      </c>
      <c r="BL1132" s="2" t="s">
        <v>5578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5579</v>
      </c>
      <c r="BV1132" s="2" t="s">
        <v>233</v>
      </c>
      <c r="BW1132" s="2" t="s">
        <v>233</v>
      </c>
      <c r="BX1132" s="2" t="s">
        <v>241</v>
      </c>
      <c r="BY1132" s="2" t="s">
        <v>242</v>
      </c>
      <c r="BZ1132" s="2" t="s">
        <v>230</v>
      </c>
      <c r="CA1132" s="2" t="s">
        <v>2716</v>
      </c>
      <c r="CB1132" s="2" t="s">
        <v>5580</v>
      </c>
      <c r="CC1132" s="2" t="s">
        <v>245</v>
      </c>
      <c r="CD1132" s="2" t="s">
        <v>233</v>
      </c>
      <c r="CE1132" s="4">
        <v>76</v>
      </c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>
        <v>77</v>
      </c>
      <c r="GD1132" s="4">
        <v>73</v>
      </c>
      <c r="GE1132" s="4">
        <v>70</v>
      </c>
      <c r="GF1132" s="4">
        <v>66</v>
      </c>
      <c r="GG1132" s="4">
        <v>62</v>
      </c>
      <c r="GH1132" s="4">
        <v>58</v>
      </c>
      <c r="GI1132" s="4">
        <v>54</v>
      </c>
      <c r="GJ1132" s="4">
        <v>51</v>
      </c>
      <c r="GK1132" s="4">
        <v>48</v>
      </c>
      <c r="GL1132" s="4">
        <v>45</v>
      </c>
      <c r="GM1132" s="4">
        <v>42</v>
      </c>
      <c r="GN1132" s="4">
        <v>39</v>
      </c>
      <c r="GO1132" s="4">
        <v>36</v>
      </c>
      <c r="GP1132" s="4">
        <v>33</v>
      </c>
      <c r="GQ1132" s="4">
        <v>30</v>
      </c>
      <c r="GR1132" s="4">
        <v>27</v>
      </c>
      <c r="GS1132" s="4">
        <v>24</v>
      </c>
      <c r="GT1132" s="4">
        <v>20</v>
      </c>
      <c r="GU1132" s="4">
        <v>17</v>
      </c>
      <c r="GV1132" s="4">
        <v>14</v>
      </c>
      <c r="GW1132" s="4">
        <v>11</v>
      </c>
      <c r="GX1132" s="4">
        <v>33</v>
      </c>
      <c r="GY1132" s="4">
        <v>30</v>
      </c>
      <c r="GZ1132" s="4">
        <v>27</v>
      </c>
      <c r="HA1132" s="4">
        <v>24</v>
      </c>
      <c r="HB1132" s="4">
        <v>21</v>
      </c>
      <c r="HC1132" s="19">
        <v>19.3</v>
      </c>
      <c r="HD1132" s="19">
        <v>18.3</v>
      </c>
      <c r="HE1132" s="19">
        <v>17.5</v>
      </c>
      <c r="HF1132" s="19">
        <v>16.5</v>
      </c>
      <c r="HG1132" s="19">
        <v>15.5</v>
      </c>
      <c r="HH1132" s="19">
        <v>19.3</v>
      </c>
      <c r="HI1132" s="19">
        <v>18</v>
      </c>
      <c r="HJ1132" s="19">
        <v>17</v>
      </c>
      <c r="HK1132" s="19">
        <v>16</v>
      </c>
      <c r="HL1132" s="19">
        <v>15</v>
      </c>
      <c r="HM1132" s="19">
        <v>14</v>
      </c>
      <c r="HN1132" s="19">
        <v>13</v>
      </c>
      <c r="HO1132" s="19">
        <v>12</v>
      </c>
      <c r="HP1132" s="19">
        <v>11</v>
      </c>
      <c r="HQ1132" s="19">
        <v>10</v>
      </c>
      <c r="HR1132" s="19">
        <v>9</v>
      </c>
      <c r="HS1132" s="19">
        <v>8</v>
      </c>
      <c r="HT1132" s="19">
        <v>6.7</v>
      </c>
      <c r="HU1132" s="19">
        <v>5.7</v>
      </c>
      <c r="HV1132" s="19">
        <v>4.7</v>
      </c>
      <c r="HW1132" s="19">
        <v>3.7</v>
      </c>
      <c r="HX1132" s="19">
        <v>11</v>
      </c>
      <c r="HY1132" s="19">
        <v>10</v>
      </c>
      <c r="HZ1132" s="19">
        <v>9</v>
      </c>
      <c r="IA1132" s="19">
        <v>8</v>
      </c>
      <c r="IB1132" s="19">
        <v>7</v>
      </c>
    </row>
    <row r="1133">
      <c r="A1133" s="2" t="s">
        <v>5581</v>
      </c>
      <c r="B1133" s="2" t="s">
        <v>222</v>
      </c>
      <c r="C1133" s="2" t="s">
        <v>280</v>
      </c>
      <c r="D1133" s="2" t="s">
        <v>261</v>
      </c>
      <c r="E1133" s="2" t="s">
        <v>262</v>
      </c>
      <c r="F1133" s="2" t="s">
        <v>5582</v>
      </c>
      <c r="G1133" s="2" t="s">
        <v>5582</v>
      </c>
      <c r="H1133" s="2" t="s">
        <v>5582</v>
      </c>
      <c r="I1133" s="2" t="s">
        <v>5583</v>
      </c>
      <c r="J1133" s="2" t="s">
        <v>265</v>
      </c>
      <c r="K1133" s="2" t="s">
        <v>266</v>
      </c>
      <c r="L1133" s="3">
        <v>54.47</v>
      </c>
      <c r="M1133" s="3">
        <v>57.19</v>
      </c>
      <c r="N1133" s="3">
        <v>109.99</v>
      </c>
      <c r="O1133" s="2" t="s">
        <v>230</v>
      </c>
      <c r="P1133" s="2" t="s">
        <v>231</v>
      </c>
      <c r="Q1133" s="2" t="s">
        <v>232</v>
      </c>
      <c r="R1133" s="2" t="s">
        <v>233</v>
      </c>
      <c r="S1133" s="2" t="s">
        <v>5584</v>
      </c>
      <c r="T1133" s="2" t="s">
        <v>469</v>
      </c>
      <c r="U1133" s="2" t="s">
        <v>329</v>
      </c>
      <c r="V1133" s="2" t="s">
        <v>236</v>
      </c>
      <c r="W1133" s="2" t="s">
        <v>237</v>
      </c>
      <c r="X1133" s="2" t="s">
        <v>288</v>
      </c>
      <c r="Y1133" s="2" t="s">
        <v>1474</v>
      </c>
      <c r="Z1133" s="4">
        <v>238</v>
      </c>
      <c r="AA1133" s="4">
        <f>=ROUNDDOWN(14.875,0)</f>
      </c>
      <c r="AB1133" s="5">
        <v>16</v>
      </c>
      <c r="AC1133" s="2" t="s">
        <v>290</v>
      </c>
      <c r="AD1133" s="4">
        <v>150</v>
      </c>
      <c r="AE1133" s="4">
        <v>490</v>
      </c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233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233</v>
      </c>
      <c r="AW1133" s="8" t="s">
        <v>233</v>
      </c>
      <c r="AX1133" s="4" t="s">
        <v>233</v>
      </c>
      <c r="AY1133" s="8" t="s">
        <v>233</v>
      </c>
      <c r="AZ1133" s="7" t="s">
        <v>233</v>
      </c>
      <c r="BA1133" s="7" t="s">
        <v>233</v>
      </c>
      <c r="BB1133" s="7"/>
      <c r="BC1133" s="4" t="s">
        <v>233</v>
      </c>
      <c r="BD1133" s="8" t="s">
        <v>233</v>
      </c>
      <c r="BE1133" s="4" t="s">
        <v>233</v>
      </c>
      <c r="BF1133" s="8" t="s">
        <v>233</v>
      </c>
      <c r="BG1133" s="7" t="s">
        <v>233</v>
      </c>
      <c r="BH1133" s="7" t="s">
        <v>233</v>
      </c>
      <c r="BI1133" s="7"/>
      <c r="BJ1133" s="4">
        <v>111</v>
      </c>
      <c r="BK1133" s="8">
        <v>6890.56</v>
      </c>
      <c r="BL1133" s="2" t="s">
        <v>3737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5585</v>
      </c>
      <c r="BV1133" s="2" t="s">
        <v>233</v>
      </c>
      <c r="BW1133" s="2" t="s">
        <v>233</v>
      </c>
      <c r="BX1133" s="2" t="s">
        <v>241</v>
      </c>
      <c r="BY1133" s="2" t="s">
        <v>242</v>
      </c>
      <c r="BZ1133" s="2" t="s">
        <v>230</v>
      </c>
      <c r="CA1133" s="2" t="s">
        <v>5586</v>
      </c>
      <c r="CB1133" s="2" t="s">
        <v>5587</v>
      </c>
      <c r="CC1133" s="2" t="s">
        <v>245</v>
      </c>
      <c r="CD1133" s="2" t="s">
        <v>233</v>
      </c>
      <c r="CE1133" s="4">
        <v>133</v>
      </c>
      <c r="CF1133" s="4">
        <v>105</v>
      </c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>
        <v>150</v>
      </c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>
        <v>230</v>
      </c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>
        <v>50</v>
      </c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>
        <v>60</v>
      </c>
      <c r="FV1133" s="4"/>
      <c r="FW1133" s="4"/>
      <c r="FX1133" s="4"/>
      <c r="FY1133" s="4"/>
      <c r="FZ1133" s="4"/>
      <c r="GA1133" s="4"/>
      <c r="GB1133" s="4"/>
      <c r="GC1133" s="4">
        <v>157</v>
      </c>
      <c r="GD1133" s="4">
        <v>67</v>
      </c>
      <c r="GE1133" s="4">
        <v>24</v>
      </c>
      <c r="GF1133" s="4"/>
      <c r="GG1133" s="4"/>
      <c r="GH1133" s="4">
        <v>150</v>
      </c>
      <c r="GI1133" s="4">
        <v>109</v>
      </c>
      <c r="GJ1133" s="4">
        <v>86</v>
      </c>
      <c r="GK1133" s="4">
        <v>71</v>
      </c>
      <c r="GL1133" s="4">
        <v>286</v>
      </c>
      <c r="GM1133" s="4">
        <v>275</v>
      </c>
      <c r="GN1133" s="4">
        <v>264</v>
      </c>
      <c r="GO1133" s="4">
        <v>252</v>
      </c>
      <c r="GP1133" s="4">
        <v>290</v>
      </c>
      <c r="GQ1133" s="4">
        <v>279</v>
      </c>
      <c r="GR1133" s="4">
        <v>262</v>
      </c>
      <c r="GS1133" s="4">
        <v>246</v>
      </c>
      <c r="GT1133" s="4">
        <v>289</v>
      </c>
      <c r="GU1133" s="4">
        <v>273</v>
      </c>
      <c r="GV1133" s="4">
        <v>253</v>
      </c>
      <c r="GW1133" s="4">
        <v>233</v>
      </c>
      <c r="GX1133" s="4">
        <v>214</v>
      </c>
      <c r="GY1133" s="4">
        <v>195</v>
      </c>
      <c r="GZ1133" s="4">
        <v>191</v>
      </c>
      <c r="HA1133" s="4">
        <v>175</v>
      </c>
      <c r="HB1133" s="4">
        <v>158</v>
      </c>
      <c r="HC1133" s="19">
        <v>2.5</v>
      </c>
      <c r="HD1133" s="19">
        <v>1.4</v>
      </c>
      <c r="HE1133" s="19">
        <v>0.5</v>
      </c>
      <c r="HF1133" s="20">
        <v>0</v>
      </c>
      <c r="HG1133" s="20">
        <v>0</v>
      </c>
      <c r="HH1133" s="19">
        <v>6.3</v>
      </c>
      <c r="HI1133" s="19">
        <v>6.8</v>
      </c>
      <c r="HJ1133" s="19">
        <v>6.6</v>
      </c>
      <c r="HK1133" s="19">
        <v>5.9</v>
      </c>
      <c r="HL1133" s="19">
        <v>23.8</v>
      </c>
      <c r="HM1133" s="19">
        <v>22.9</v>
      </c>
      <c r="HN1133" s="19">
        <v>20.3</v>
      </c>
      <c r="HO1133" s="19">
        <v>18</v>
      </c>
      <c r="HP1133" s="19">
        <v>19.3</v>
      </c>
      <c r="HQ1133" s="19">
        <v>17.4</v>
      </c>
      <c r="HR1133" s="19">
        <v>15.4</v>
      </c>
      <c r="HS1133" s="19">
        <v>13.7</v>
      </c>
      <c r="HT1133" s="19">
        <v>15.2</v>
      </c>
      <c r="HU1133" s="19">
        <v>13.7</v>
      </c>
      <c r="HV1133" s="19">
        <v>14.1</v>
      </c>
      <c r="HW1133" s="19">
        <v>12.9</v>
      </c>
      <c r="HX1133" s="19">
        <v>12.6</v>
      </c>
      <c r="HY1133" s="19">
        <v>12.2</v>
      </c>
      <c r="HZ1133" s="19">
        <v>11.2</v>
      </c>
      <c r="IA1133" s="19">
        <v>10.9</v>
      </c>
      <c r="IB1133" s="19">
        <v>11.3</v>
      </c>
    </row>
    <row r="1134">
      <c r="A1134" s="2" t="s">
        <v>5588</v>
      </c>
      <c r="B1134" s="2" t="s">
        <v>222</v>
      </c>
      <c r="C1134" s="2" t="s">
        <v>280</v>
      </c>
      <c r="D1134" s="2" t="s">
        <v>297</v>
      </c>
      <c r="E1134" s="2" t="s">
        <v>4151</v>
      </c>
      <c r="F1134" s="2" t="s">
        <v>5582</v>
      </c>
      <c r="G1134" s="2" t="s">
        <v>5582</v>
      </c>
      <c r="H1134" s="2" t="s">
        <v>5582</v>
      </c>
      <c r="I1134" s="2" t="s">
        <v>5589</v>
      </c>
      <c r="J1134" s="2" t="s">
        <v>308</v>
      </c>
      <c r="K1134" s="2" t="s">
        <v>266</v>
      </c>
      <c r="L1134" s="3">
        <v>13.71</v>
      </c>
      <c r="M1134" s="3">
        <v>14.4</v>
      </c>
      <c r="N1134" s="3">
        <v>31.99</v>
      </c>
      <c r="O1134" s="2" t="s">
        <v>230</v>
      </c>
      <c r="P1134" s="2" t="s">
        <v>231</v>
      </c>
      <c r="Q1134" s="2" t="s">
        <v>232</v>
      </c>
      <c r="R1134" s="2" t="s">
        <v>233</v>
      </c>
      <c r="S1134" s="2" t="s">
        <v>5590</v>
      </c>
      <c r="T1134" s="2" t="s">
        <v>469</v>
      </c>
      <c r="U1134" s="2" t="s">
        <v>329</v>
      </c>
      <c r="V1134" s="2" t="s">
        <v>236</v>
      </c>
      <c r="W1134" s="2" t="s">
        <v>237</v>
      </c>
      <c r="X1134" s="2" t="s">
        <v>288</v>
      </c>
      <c r="Y1134" s="2" t="s">
        <v>1474</v>
      </c>
      <c r="Z1134" s="4">
        <v>323</v>
      </c>
      <c r="AA1134" s="4">
        <f>=ROUNDDOWN(20.1875,0)</f>
      </c>
      <c r="AB1134" s="5">
        <v>16</v>
      </c>
      <c r="AC1134" s="2" t="s">
        <v>290</v>
      </c>
      <c r="AD1134" s="4">
        <v>100</v>
      </c>
      <c r="AE1134" s="4">
        <v>340</v>
      </c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233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233</v>
      </c>
      <c r="AW1134" s="8" t="s">
        <v>233</v>
      </c>
      <c r="AX1134" s="4" t="s">
        <v>233</v>
      </c>
      <c r="AY1134" s="8" t="s">
        <v>233</v>
      </c>
      <c r="AZ1134" s="7" t="s">
        <v>233</v>
      </c>
      <c r="BA1134" s="7" t="s">
        <v>233</v>
      </c>
      <c r="BB1134" s="7"/>
      <c r="BC1134" s="4" t="s">
        <v>233</v>
      </c>
      <c r="BD1134" s="8" t="s">
        <v>233</v>
      </c>
      <c r="BE1134" s="4" t="s">
        <v>233</v>
      </c>
      <c r="BF1134" s="8" t="s">
        <v>233</v>
      </c>
      <c r="BG1134" s="7" t="s">
        <v>233</v>
      </c>
      <c r="BH1134" s="7" t="s">
        <v>233</v>
      </c>
      <c r="BI1134" s="7"/>
      <c r="BJ1134" s="4">
        <v>52</v>
      </c>
      <c r="BK1134" s="8">
        <v>849.19</v>
      </c>
      <c r="BL1134" s="2" t="s">
        <v>1449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5591</v>
      </c>
      <c r="BV1134" s="2" t="s">
        <v>233</v>
      </c>
      <c r="BW1134" s="2" t="s">
        <v>233</v>
      </c>
      <c r="BX1134" s="2" t="s">
        <v>241</v>
      </c>
      <c r="BY1134" s="2" t="s">
        <v>242</v>
      </c>
      <c r="BZ1134" s="2" t="s">
        <v>230</v>
      </c>
      <c r="CA1134" s="2" t="s">
        <v>5586</v>
      </c>
      <c r="CB1134" s="2" t="s">
        <v>2795</v>
      </c>
      <c r="CC1134" s="2" t="s">
        <v>245</v>
      </c>
      <c r="CD1134" s="2" t="s">
        <v>233</v>
      </c>
      <c r="CE1134" s="4">
        <v>323</v>
      </c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>
        <v>100</v>
      </c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>
        <v>30</v>
      </c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>
        <v>150</v>
      </c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>
        <v>60</v>
      </c>
      <c r="FV1134" s="4"/>
      <c r="FW1134" s="4"/>
      <c r="FX1134" s="4"/>
      <c r="FY1134" s="4"/>
      <c r="FZ1134" s="4"/>
      <c r="GA1134" s="4"/>
      <c r="GB1134" s="4"/>
      <c r="GC1134" s="4">
        <v>343</v>
      </c>
      <c r="GD1134" s="4">
        <v>271</v>
      </c>
      <c r="GE1134" s="4">
        <v>241</v>
      </c>
      <c r="GF1134" s="4">
        <v>195</v>
      </c>
      <c r="GG1134" s="4">
        <v>160</v>
      </c>
      <c r="GH1134" s="4">
        <v>220</v>
      </c>
      <c r="GI1134" s="4">
        <v>193</v>
      </c>
      <c r="GJ1134" s="4">
        <v>159</v>
      </c>
      <c r="GK1134" s="4">
        <v>129</v>
      </c>
      <c r="GL1134" s="4">
        <v>143</v>
      </c>
      <c r="GM1134" s="4">
        <v>127</v>
      </c>
      <c r="GN1134" s="4">
        <v>111</v>
      </c>
      <c r="GO1134" s="4">
        <v>95</v>
      </c>
      <c r="GP1134" s="4">
        <v>229</v>
      </c>
      <c r="GQ1134" s="4">
        <v>213</v>
      </c>
      <c r="GR1134" s="4">
        <v>197</v>
      </c>
      <c r="GS1134" s="4">
        <v>181</v>
      </c>
      <c r="GT1134" s="4">
        <v>225</v>
      </c>
      <c r="GU1134" s="4">
        <v>209</v>
      </c>
      <c r="GV1134" s="4">
        <v>193</v>
      </c>
      <c r="GW1134" s="4">
        <v>177</v>
      </c>
      <c r="GX1134" s="4">
        <v>161</v>
      </c>
      <c r="GY1134" s="4">
        <v>145</v>
      </c>
      <c r="GZ1134" s="4">
        <v>208</v>
      </c>
      <c r="HA1134" s="4">
        <v>192</v>
      </c>
      <c r="HB1134" s="4">
        <v>176</v>
      </c>
      <c r="HC1134" s="19">
        <v>7.5</v>
      </c>
      <c r="HD1134" s="19">
        <v>7.1</v>
      </c>
      <c r="HE1134" s="19">
        <v>6.5</v>
      </c>
      <c r="HF1134" s="19">
        <v>5.7</v>
      </c>
      <c r="HG1134" s="19">
        <v>4.8</v>
      </c>
      <c r="HH1134" s="19">
        <v>8.1</v>
      </c>
      <c r="HI1134" s="19">
        <v>8</v>
      </c>
      <c r="HJ1134" s="19">
        <v>8</v>
      </c>
      <c r="HK1134" s="19">
        <v>8.1</v>
      </c>
      <c r="HL1134" s="19">
        <v>8.9</v>
      </c>
      <c r="HM1134" s="19">
        <v>7.9</v>
      </c>
      <c r="HN1134" s="19">
        <v>6.9</v>
      </c>
      <c r="HO1134" s="19">
        <v>5.9</v>
      </c>
      <c r="HP1134" s="19">
        <v>14.3</v>
      </c>
      <c r="HQ1134" s="19">
        <v>13.3</v>
      </c>
      <c r="HR1134" s="19">
        <v>12.3</v>
      </c>
      <c r="HS1134" s="19">
        <v>11.3</v>
      </c>
      <c r="HT1134" s="19">
        <v>14.1</v>
      </c>
      <c r="HU1134" s="19">
        <v>13.1</v>
      </c>
      <c r="HV1134" s="19">
        <v>12.1</v>
      </c>
      <c r="HW1134" s="19">
        <v>11.1</v>
      </c>
      <c r="HX1134" s="19">
        <v>10.1</v>
      </c>
      <c r="HY1134" s="19">
        <v>9.1</v>
      </c>
      <c r="HZ1134" s="19">
        <v>13</v>
      </c>
      <c r="IA1134" s="19">
        <v>12</v>
      </c>
      <c r="IB1134" s="19">
        <v>11</v>
      </c>
    </row>
    <row r="1135">
      <c r="A1135" s="2" t="s">
        <v>5592</v>
      </c>
      <c r="B1135" s="2" t="s">
        <v>825</v>
      </c>
      <c r="C1135" s="2" t="s">
        <v>1411</v>
      </c>
      <c r="D1135" s="2" t="s">
        <v>261</v>
      </c>
      <c r="E1135" s="2" t="s">
        <v>603</v>
      </c>
      <c r="F1135" s="2" t="s">
        <v>2638</v>
      </c>
      <c r="G1135" s="2" t="s">
        <v>3974</v>
      </c>
      <c r="H1135" s="2" t="s">
        <v>5593</v>
      </c>
      <c r="I1135" s="2" t="s">
        <v>5594</v>
      </c>
      <c r="J1135" s="2" t="s">
        <v>1052</v>
      </c>
      <c r="K1135" s="2" t="s">
        <v>870</v>
      </c>
      <c r="L1135" s="3">
        <v>28.57</v>
      </c>
      <c r="M1135" s="3">
        <v>30</v>
      </c>
      <c r="N1135" s="3">
        <v>59.99</v>
      </c>
      <c r="O1135" s="2" t="s">
        <v>230</v>
      </c>
      <c r="P1135" s="2" t="s">
        <v>231</v>
      </c>
      <c r="Q1135" s="2" t="s">
        <v>232</v>
      </c>
      <c r="R1135" s="2" t="s">
        <v>233</v>
      </c>
      <c r="S1135" s="2" t="s">
        <v>5595</v>
      </c>
      <c r="T1135" s="2" t="s">
        <v>469</v>
      </c>
      <c r="U1135" s="2" t="s">
        <v>781</v>
      </c>
      <c r="V1135" s="2" t="s">
        <v>1431</v>
      </c>
      <c r="W1135" s="2" t="s">
        <v>620</v>
      </c>
      <c r="X1135" s="2" t="s">
        <v>1481</v>
      </c>
      <c r="Y1135" s="2" t="s">
        <v>5596</v>
      </c>
      <c r="Z1135" s="4">
        <v>266</v>
      </c>
      <c r="AA1135" s="4">
        <f>=ROUNDDOWN(85.8064516129032,0)</f>
      </c>
      <c r="AB1135" s="5">
        <v>3.1</v>
      </c>
      <c r="AC1135" s="2" t="s">
        <v>233</v>
      </c>
      <c r="AD1135" s="4"/>
      <c r="AE1135" s="4"/>
      <c r="AF1135" s="6">
        <v>64</v>
      </c>
      <c r="AG1135" s="6"/>
      <c r="AH1135" s="7">
        <v>1</v>
      </c>
      <c r="AI1135" s="4"/>
      <c r="AJ1135" s="4">
        <f>=ROUNDDOWN({0},0)</f>
      </c>
      <c r="AK1135" s="5"/>
      <c r="AL1135" s="2" t="s">
        <v>233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233</v>
      </c>
      <c r="AW1135" s="8" t="s">
        <v>233</v>
      </c>
      <c r="AX1135" s="4" t="s">
        <v>233</v>
      </c>
      <c r="AY1135" s="8" t="s">
        <v>233</v>
      </c>
      <c r="AZ1135" s="7" t="s">
        <v>233</v>
      </c>
      <c r="BA1135" s="7" t="s">
        <v>233</v>
      </c>
      <c r="BB1135" s="7" t="s">
        <v>233</v>
      </c>
      <c r="BC1135" s="4" t="s">
        <v>233</v>
      </c>
      <c r="BD1135" s="8" t="s">
        <v>233</v>
      </c>
      <c r="BE1135" s="4" t="s">
        <v>233</v>
      </c>
      <c r="BF1135" s="8" t="s">
        <v>233</v>
      </c>
      <c r="BG1135" s="7" t="s">
        <v>233</v>
      </c>
      <c r="BH1135" s="7" t="s">
        <v>233</v>
      </c>
      <c r="BI1135" s="7"/>
      <c r="BJ1135" s="4">
        <v>16</v>
      </c>
      <c r="BK1135" s="8">
        <v>516.3</v>
      </c>
      <c r="BL1135" s="2" t="s">
        <v>674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5597</v>
      </c>
      <c r="BV1135" s="2" t="s">
        <v>233</v>
      </c>
      <c r="BW1135" s="2" t="s">
        <v>233</v>
      </c>
      <c r="BX1135" s="2" t="s">
        <v>241</v>
      </c>
      <c r="BY1135" s="2" t="s">
        <v>242</v>
      </c>
      <c r="BZ1135" s="2" t="s">
        <v>230</v>
      </c>
      <c r="CA1135" s="2" t="s">
        <v>5598</v>
      </c>
      <c r="CB1135" s="2" t="s">
        <v>5599</v>
      </c>
      <c r="CC1135" s="2" t="s">
        <v>245</v>
      </c>
      <c r="CD1135" s="2" t="s">
        <v>233</v>
      </c>
      <c r="CE1135" s="4">
        <v>266</v>
      </c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>
        <v>268</v>
      </c>
      <c r="GD1135" s="4">
        <v>261</v>
      </c>
      <c r="GE1135" s="4">
        <v>256</v>
      </c>
      <c r="GF1135" s="4">
        <v>251</v>
      </c>
      <c r="GG1135" s="4">
        <v>246</v>
      </c>
      <c r="GH1135" s="4">
        <v>241</v>
      </c>
      <c r="GI1135" s="4">
        <v>236</v>
      </c>
      <c r="GJ1135" s="4">
        <v>231</v>
      </c>
      <c r="GK1135" s="4">
        <v>226</v>
      </c>
      <c r="GL1135" s="4">
        <v>221</v>
      </c>
      <c r="GM1135" s="4">
        <v>218</v>
      </c>
      <c r="GN1135" s="4">
        <v>215</v>
      </c>
      <c r="GO1135" s="4">
        <v>212</v>
      </c>
      <c r="GP1135" s="4">
        <v>209</v>
      </c>
      <c r="GQ1135" s="4">
        <v>206</v>
      </c>
      <c r="GR1135" s="4">
        <v>203</v>
      </c>
      <c r="GS1135" s="4">
        <v>200</v>
      </c>
      <c r="GT1135" s="4">
        <v>196</v>
      </c>
      <c r="GU1135" s="4">
        <v>279</v>
      </c>
      <c r="GV1135" s="4">
        <v>276</v>
      </c>
      <c r="GW1135" s="4">
        <v>273</v>
      </c>
      <c r="GX1135" s="4">
        <v>270</v>
      </c>
      <c r="GY1135" s="4">
        <v>267</v>
      </c>
      <c r="GZ1135" s="4">
        <v>264</v>
      </c>
      <c r="HA1135" s="4">
        <v>256</v>
      </c>
      <c r="HB1135" s="4">
        <v>248</v>
      </c>
      <c r="HC1135" s="19">
        <v>44.7</v>
      </c>
      <c r="HD1135" s="19">
        <v>52.2</v>
      </c>
      <c r="HE1135" s="19">
        <v>51.2</v>
      </c>
      <c r="HF1135" s="19">
        <v>50.2</v>
      </c>
      <c r="HG1135" s="19">
        <v>49.2</v>
      </c>
      <c r="HH1135" s="19">
        <v>48.2</v>
      </c>
      <c r="HI1135" s="19">
        <v>59</v>
      </c>
      <c r="HJ1135" s="19">
        <v>57.8</v>
      </c>
      <c r="HK1135" s="19">
        <v>56.5</v>
      </c>
      <c r="HL1135" s="19">
        <v>73.7</v>
      </c>
      <c r="HM1135" s="19">
        <v>72.7</v>
      </c>
      <c r="HN1135" s="19">
        <v>71.7</v>
      </c>
      <c r="HO1135" s="19">
        <v>70.7</v>
      </c>
      <c r="HP1135" s="19">
        <v>69.7</v>
      </c>
      <c r="HQ1135" s="19">
        <v>68.7</v>
      </c>
      <c r="HR1135" s="19">
        <v>67.7</v>
      </c>
      <c r="HS1135" s="19">
        <v>66.7</v>
      </c>
      <c r="HT1135" s="19">
        <v>65.3</v>
      </c>
      <c r="HU1135" s="19">
        <v>93</v>
      </c>
      <c r="HV1135" s="19">
        <v>92</v>
      </c>
      <c r="HW1135" s="19">
        <v>68.3</v>
      </c>
      <c r="HX1135" s="19">
        <v>45</v>
      </c>
      <c r="HY1135" s="19">
        <v>38.1</v>
      </c>
      <c r="HZ1135" s="19">
        <v>33</v>
      </c>
      <c r="IA1135" s="19">
        <v>32</v>
      </c>
      <c r="IB1135" s="19">
        <v>31</v>
      </c>
    </row>
    <row r="1136">
      <c r="A1136" s="2" t="s">
        <v>5600</v>
      </c>
      <c r="B1136" s="2" t="s">
        <v>825</v>
      </c>
      <c r="C1136" s="2" t="s">
        <v>1411</v>
      </c>
      <c r="D1136" s="2" t="s">
        <v>774</v>
      </c>
      <c r="E1136" s="2" t="s">
        <v>827</v>
      </c>
      <c r="F1136" s="2" t="s">
        <v>2638</v>
      </c>
      <c r="G1136" s="2" t="s">
        <v>3974</v>
      </c>
      <c r="H1136" s="2" t="s">
        <v>5593</v>
      </c>
      <c r="I1136" s="2" t="s">
        <v>5601</v>
      </c>
      <c r="J1136" s="2" t="s">
        <v>1052</v>
      </c>
      <c r="K1136" s="2" t="s">
        <v>870</v>
      </c>
      <c r="L1136" s="3">
        <v>23.8</v>
      </c>
      <c r="M1136" s="3">
        <v>24.99</v>
      </c>
      <c r="N1136" s="3">
        <v>49.99</v>
      </c>
      <c r="O1136" s="2" t="s">
        <v>2686</v>
      </c>
      <c r="P1136" s="2" t="s">
        <v>231</v>
      </c>
      <c r="Q1136" s="2" t="s">
        <v>232</v>
      </c>
      <c r="R1136" s="2" t="s">
        <v>233</v>
      </c>
      <c r="S1136" s="2" t="s">
        <v>5595</v>
      </c>
      <c r="T1136" s="2" t="s">
        <v>469</v>
      </c>
      <c r="U1136" s="2" t="s">
        <v>781</v>
      </c>
      <c r="V1136" s="2" t="s">
        <v>1431</v>
      </c>
      <c r="W1136" s="2" t="s">
        <v>620</v>
      </c>
      <c r="X1136" s="2" t="s">
        <v>1481</v>
      </c>
      <c r="Y1136" s="2" t="s">
        <v>5602</v>
      </c>
      <c r="Z1136" s="4">
        <v>117</v>
      </c>
      <c r="AA1136" s="4">
        <f>=ROUNDDOWN(167.142857142857,0)</f>
      </c>
      <c r="AB1136" s="5">
        <v>0.7</v>
      </c>
      <c r="AC1136" s="2" t="s">
        <v>233</v>
      </c>
      <c r="AD1136" s="4"/>
      <c r="AE1136" s="4"/>
      <c r="AF1136" s="6">
        <v>64</v>
      </c>
      <c r="AG1136" s="6"/>
      <c r="AH1136" s="7">
        <v>1</v>
      </c>
      <c r="AI1136" s="4"/>
      <c r="AJ1136" s="4">
        <f>=ROUNDDOWN({0},0)</f>
      </c>
      <c r="AK1136" s="5"/>
      <c r="AL1136" s="2" t="s">
        <v>233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233</v>
      </c>
      <c r="AW1136" s="8" t="s">
        <v>233</v>
      </c>
      <c r="AX1136" s="4" t="s">
        <v>233</v>
      </c>
      <c r="AY1136" s="8" t="s">
        <v>233</v>
      </c>
      <c r="AZ1136" s="7" t="s">
        <v>233</v>
      </c>
      <c r="BA1136" s="7" t="s">
        <v>233</v>
      </c>
      <c r="BB1136" s="7" t="s">
        <v>233</v>
      </c>
      <c r="BC1136" s="4" t="s">
        <v>233</v>
      </c>
      <c r="BD1136" s="8" t="s">
        <v>233</v>
      </c>
      <c r="BE1136" s="4" t="s">
        <v>233</v>
      </c>
      <c r="BF1136" s="8" t="s">
        <v>233</v>
      </c>
      <c r="BG1136" s="7" t="s">
        <v>233</v>
      </c>
      <c r="BH1136" s="7" t="s">
        <v>233</v>
      </c>
      <c r="BI1136" s="7"/>
      <c r="BJ1136" s="4">
        <v>4</v>
      </c>
      <c r="BK1136" s="8">
        <v>106.84</v>
      </c>
      <c r="BL1136" s="2" t="s">
        <v>5603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5604</v>
      </c>
      <c r="BV1136" s="2" t="s">
        <v>233</v>
      </c>
      <c r="BW1136" s="2" t="s">
        <v>233</v>
      </c>
      <c r="BX1136" s="2" t="s">
        <v>241</v>
      </c>
      <c r="BY1136" s="2" t="s">
        <v>242</v>
      </c>
      <c r="BZ1136" s="2" t="s">
        <v>230</v>
      </c>
      <c r="CA1136" s="2" t="s">
        <v>3112</v>
      </c>
      <c r="CB1136" s="2" t="s">
        <v>5352</v>
      </c>
      <c r="CC1136" s="2" t="s">
        <v>245</v>
      </c>
      <c r="CD1136" s="2" t="s">
        <v>233</v>
      </c>
      <c r="CE1136" s="4">
        <v>117</v>
      </c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>
        <v>118</v>
      </c>
      <c r="GD1136" s="4">
        <v>116</v>
      </c>
      <c r="GE1136" s="4">
        <v>115</v>
      </c>
      <c r="GF1136" s="4">
        <v>114</v>
      </c>
      <c r="GG1136" s="4">
        <v>113</v>
      </c>
      <c r="GH1136" s="4">
        <v>111</v>
      </c>
      <c r="GI1136" s="4">
        <v>109</v>
      </c>
      <c r="GJ1136" s="4">
        <v>108</v>
      </c>
      <c r="GK1136" s="4">
        <v>107</v>
      </c>
      <c r="GL1136" s="4">
        <v>106</v>
      </c>
      <c r="GM1136" s="4">
        <v>105</v>
      </c>
      <c r="GN1136" s="4">
        <v>104</v>
      </c>
      <c r="GO1136" s="4">
        <v>103</v>
      </c>
      <c r="GP1136" s="4">
        <v>102</v>
      </c>
      <c r="GQ1136" s="4">
        <v>101</v>
      </c>
      <c r="GR1136" s="4">
        <v>100</v>
      </c>
      <c r="GS1136" s="4">
        <v>99</v>
      </c>
      <c r="GT1136" s="4">
        <v>98</v>
      </c>
      <c r="GU1136" s="4">
        <v>97</v>
      </c>
      <c r="GV1136" s="4">
        <v>96</v>
      </c>
      <c r="GW1136" s="4">
        <v>95</v>
      </c>
      <c r="GX1136" s="4">
        <v>94</v>
      </c>
      <c r="GY1136" s="4">
        <v>93</v>
      </c>
      <c r="GZ1136" s="4">
        <v>92</v>
      </c>
      <c r="HA1136" s="4">
        <v>91</v>
      </c>
      <c r="HB1136" s="4">
        <v>90</v>
      </c>
      <c r="HC1136" s="19">
        <v>118</v>
      </c>
      <c r="HD1136" s="19">
        <v>116</v>
      </c>
      <c r="HE1136" s="19">
        <v>57.5</v>
      </c>
      <c r="HF1136" s="19">
        <v>57</v>
      </c>
      <c r="HG1136" s="19">
        <v>56.5</v>
      </c>
      <c r="HH1136" s="19">
        <v>111</v>
      </c>
      <c r="HI1136" s="19">
        <v>109</v>
      </c>
      <c r="HJ1136" s="19">
        <v>108</v>
      </c>
      <c r="HK1136" s="19">
        <v>107</v>
      </c>
      <c r="HL1136" s="19">
        <v>106</v>
      </c>
      <c r="HM1136" s="19">
        <v>105</v>
      </c>
      <c r="HN1136" s="19">
        <v>104</v>
      </c>
      <c r="HO1136" s="19">
        <v>103</v>
      </c>
      <c r="HP1136" s="19">
        <v>102</v>
      </c>
      <c r="HQ1136" s="19">
        <v>101</v>
      </c>
      <c r="HR1136" s="19">
        <v>100</v>
      </c>
      <c r="HS1136" s="19">
        <v>99</v>
      </c>
      <c r="HT1136" s="19">
        <v>98</v>
      </c>
      <c r="HU1136" s="19">
        <v>97</v>
      </c>
      <c r="HV1136" s="19">
        <v>96</v>
      </c>
      <c r="HW1136" s="19">
        <v>95</v>
      </c>
      <c r="HX1136" s="19">
        <v>94</v>
      </c>
      <c r="HY1136" s="19">
        <v>93</v>
      </c>
      <c r="HZ1136" s="19">
        <v>92</v>
      </c>
      <c r="IA1136" s="19">
        <v>91</v>
      </c>
      <c r="IB1136" s="19">
        <v>90</v>
      </c>
    </row>
    <row r="1137">
      <c r="A1137" s="2" t="s">
        <v>5605</v>
      </c>
      <c r="B1137" s="2" t="s">
        <v>761</v>
      </c>
      <c r="C1137" s="2" t="s">
        <v>280</v>
      </c>
      <c r="D1137" s="2" t="s">
        <v>763</v>
      </c>
      <c r="E1137" s="2" t="s">
        <v>764</v>
      </c>
      <c r="F1137" s="2" t="s">
        <v>5606</v>
      </c>
      <c r="G1137" s="2" t="s">
        <v>5607</v>
      </c>
      <c r="H1137" s="2" t="s">
        <v>5608</v>
      </c>
      <c r="I1137" s="2" t="s">
        <v>5609</v>
      </c>
      <c r="J1137" s="2" t="s">
        <v>741</v>
      </c>
      <c r="K1137" s="2" t="s">
        <v>1014</v>
      </c>
      <c r="L1137" s="3">
        <v>171</v>
      </c>
      <c r="M1137" s="3">
        <v>179.55</v>
      </c>
      <c r="N1137" s="3">
        <v>359</v>
      </c>
      <c r="O1137" s="2" t="s">
        <v>230</v>
      </c>
      <c r="P1137" s="2" t="s">
        <v>721</v>
      </c>
      <c r="Q1137" s="2" t="s">
        <v>232</v>
      </c>
      <c r="R1137" s="2" t="s">
        <v>233</v>
      </c>
      <c r="S1137" s="2" t="s">
        <v>233</v>
      </c>
      <c r="T1137" s="2" t="s">
        <v>233</v>
      </c>
      <c r="U1137" s="2" t="s">
        <v>329</v>
      </c>
      <c r="V1137" s="2" t="s">
        <v>236</v>
      </c>
      <c r="W1137" s="2" t="s">
        <v>712</v>
      </c>
      <c r="X1137" s="2" t="s">
        <v>1141</v>
      </c>
      <c r="Y1137" s="2" t="s">
        <v>5610</v>
      </c>
      <c r="Z1137" s="4">
        <v>33</v>
      </c>
      <c r="AA1137" s="4">
        <f>=ROUNDDOWN(33,0)</f>
      </c>
      <c r="AB1137" s="5">
        <v>1</v>
      </c>
      <c r="AC1137" s="2" t="s">
        <v>1975</v>
      </c>
      <c r="AD1137" s="4">
        <v>98</v>
      </c>
      <c r="AE1137" s="4">
        <v>98</v>
      </c>
      <c r="AF1137" s="6">
        <v>66</v>
      </c>
      <c r="AG1137" s="6"/>
      <c r="AH1137" s="7">
        <v>1</v>
      </c>
      <c r="AI1137" s="4"/>
      <c r="AJ1137" s="4">
        <f>=ROUNDDOWN({0},0)</f>
      </c>
      <c r="AK1137" s="5"/>
      <c r="AL1137" s="2" t="s">
        <v>233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/>
      <c r="BD1137" s="8"/>
      <c r="BE1137" s="4"/>
      <c r="BF1137" s="8"/>
      <c r="BG1137" s="7"/>
      <c r="BH1137" s="7"/>
      <c r="BI1137" s="7"/>
      <c r="BJ1137" s="4">
        <v>2</v>
      </c>
      <c r="BK1137" s="8">
        <v>387.82</v>
      </c>
      <c r="BL1137" s="2" t="s">
        <v>5611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5612</v>
      </c>
      <c r="BV1137" s="2" t="s">
        <v>233</v>
      </c>
      <c r="BW1137" s="2" t="s">
        <v>233</v>
      </c>
      <c r="BX1137" s="2" t="s">
        <v>241</v>
      </c>
      <c r="BY1137" s="2" t="s">
        <v>242</v>
      </c>
      <c r="BZ1137" s="2" t="s">
        <v>230</v>
      </c>
      <c r="CA1137" s="2" t="s">
        <v>5613</v>
      </c>
      <c r="CB1137" s="2" t="s">
        <v>3949</v>
      </c>
      <c r="CC1137" s="2" t="s">
        <v>245</v>
      </c>
      <c r="CD1137" s="2" t="s">
        <v>233</v>
      </c>
      <c r="CE1137" s="4"/>
      <c r="CF1137" s="4">
        <v>33</v>
      </c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>
        <v>98</v>
      </c>
      <c r="FT1137" s="4"/>
      <c r="FU1137" s="4"/>
      <c r="FV1137" s="4"/>
      <c r="FW1137" s="4"/>
      <c r="FX1137" s="4"/>
      <c r="FY1137" s="4"/>
      <c r="FZ1137" s="4"/>
      <c r="GA1137" s="4"/>
      <c r="GB1137" s="4"/>
      <c r="GC1137" s="4">
        <v>35</v>
      </c>
      <c r="GD1137" s="4">
        <v>32</v>
      </c>
      <c r="GE1137" s="4">
        <v>30</v>
      </c>
      <c r="GF1137" s="4">
        <v>29</v>
      </c>
      <c r="GG1137" s="4">
        <v>27</v>
      </c>
      <c r="GH1137" s="4">
        <v>26</v>
      </c>
      <c r="GI1137" s="4">
        <v>25</v>
      </c>
      <c r="GJ1137" s="4">
        <v>24</v>
      </c>
      <c r="GK1137" s="4">
        <v>23</v>
      </c>
      <c r="GL1137" s="4">
        <v>22</v>
      </c>
      <c r="GM1137" s="4">
        <v>21</v>
      </c>
      <c r="GN1137" s="4">
        <v>20</v>
      </c>
      <c r="GO1137" s="4">
        <v>19</v>
      </c>
      <c r="GP1137" s="4">
        <v>18</v>
      </c>
      <c r="GQ1137" s="4">
        <v>17</v>
      </c>
      <c r="GR1137" s="4">
        <v>16</v>
      </c>
      <c r="GS1137" s="4">
        <v>15</v>
      </c>
      <c r="GT1137" s="4">
        <v>112</v>
      </c>
      <c r="GU1137" s="4">
        <v>111</v>
      </c>
      <c r="GV1137" s="4">
        <v>110</v>
      </c>
      <c r="GW1137" s="4">
        <v>109</v>
      </c>
      <c r="GX1137" s="4">
        <v>108</v>
      </c>
      <c r="GY1137" s="4">
        <v>107</v>
      </c>
      <c r="GZ1137" s="4">
        <v>106</v>
      </c>
      <c r="HA1137" s="4">
        <v>105</v>
      </c>
      <c r="HB1137" s="4">
        <v>104</v>
      </c>
      <c r="HC1137" s="19">
        <v>17.5</v>
      </c>
      <c r="HD1137" s="19">
        <v>16</v>
      </c>
      <c r="HE1137" s="19">
        <v>30</v>
      </c>
      <c r="HF1137" s="19">
        <v>29</v>
      </c>
      <c r="HG1137" s="19">
        <v>27</v>
      </c>
      <c r="HH1137" s="19">
        <v>26</v>
      </c>
      <c r="HI1137" s="19">
        <v>25</v>
      </c>
      <c r="HJ1137" s="19">
        <v>24</v>
      </c>
      <c r="HK1137" s="19">
        <v>23</v>
      </c>
      <c r="HL1137" s="19">
        <v>22</v>
      </c>
      <c r="HM1137" s="19">
        <v>21</v>
      </c>
      <c r="HN1137" s="19">
        <v>20</v>
      </c>
      <c r="HO1137" s="19">
        <v>19</v>
      </c>
      <c r="HP1137" s="19">
        <v>18</v>
      </c>
      <c r="HQ1137" s="19">
        <v>17</v>
      </c>
      <c r="HR1137" s="19">
        <v>16</v>
      </c>
      <c r="HS1137" s="19">
        <v>15</v>
      </c>
      <c r="HT1137" s="19">
        <v>112</v>
      </c>
      <c r="HU1137" s="19">
        <v>111</v>
      </c>
      <c r="HV1137" s="19">
        <v>110</v>
      </c>
      <c r="HW1137" s="19">
        <v>109</v>
      </c>
      <c r="HX1137" s="19">
        <v>108</v>
      </c>
      <c r="HY1137" s="19">
        <v>107</v>
      </c>
      <c r="HZ1137" s="19">
        <v>106</v>
      </c>
      <c r="IA1137" s="19">
        <v>105</v>
      </c>
      <c r="IB1137" s="19">
        <v>104</v>
      </c>
    </row>
    <row r="1138">
      <c r="A1138" s="2" t="s">
        <v>5614</v>
      </c>
      <c r="B1138" s="2" t="s">
        <v>736</v>
      </c>
      <c r="C1138" s="2" t="s">
        <v>280</v>
      </c>
      <c r="D1138" s="2" t="s">
        <v>1197</v>
      </c>
      <c r="E1138" s="2" t="s">
        <v>1198</v>
      </c>
      <c r="F1138" s="2" t="s">
        <v>5615</v>
      </c>
      <c r="G1138" s="2" t="s">
        <v>5615</v>
      </c>
      <c r="H1138" s="2" t="s">
        <v>5615</v>
      </c>
      <c r="I1138" s="2" t="s">
        <v>5616</v>
      </c>
      <c r="J1138" s="2" t="s">
        <v>741</v>
      </c>
      <c r="K1138" s="2" t="s">
        <v>5617</v>
      </c>
      <c r="L1138" s="3">
        <v>6.66</v>
      </c>
      <c r="M1138" s="3">
        <v>6.99</v>
      </c>
      <c r="N1138" s="3">
        <v>19.99</v>
      </c>
      <c r="O1138" s="2" t="s">
        <v>230</v>
      </c>
      <c r="P1138" s="2" t="s">
        <v>721</v>
      </c>
      <c r="Q1138" s="2" t="s">
        <v>232</v>
      </c>
      <c r="R1138" s="2" t="s">
        <v>233</v>
      </c>
      <c r="S1138" s="2" t="s">
        <v>233</v>
      </c>
      <c r="T1138" s="2" t="s">
        <v>233</v>
      </c>
      <c r="U1138" s="2" t="s">
        <v>329</v>
      </c>
      <c r="V1138" s="2" t="s">
        <v>1268</v>
      </c>
      <c r="W1138" s="2" t="s">
        <v>237</v>
      </c>
      <c r="X1138" s="2" t="s">
        <v>916</v>
      </c>
      <c r="Y1138" s="2" t="s">
        <v>1277</v>
      </c>
      <c r="Z1138" s="4">
        <v>207</v>
      </c>
      <c r="AA1138" s="4">
        <f>=ROUNDDOWN(41.4,0)</f>
      </c>
      <c r="AB1138" s="5">
        <v>5</v>
      </c>
      <c r="AC1138" s="2" t="s">
        <v>233</v>
      </c>
      <c r="AD1138" s="4"/>
      <c r="AE1138" s="4"/>
      <c r="AF1138" s="6">
        <v>63</v>
      </c>
      <c r="AG1138" s="6"/>
      <c r="AH1138" s="7">
        <v>1</v>
      </c>
      <c r="AI1138" s="4"/>
      <c r="AJ1138" s="4">
        <f>=ROUNDDOWN({0},0)</f>
      </c>
      <c r="AK1138" s="5"/>
      <c r="AL1138" s="2" t="s">
        <v>233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/>
      <c r="BD1138" s="8"/>
      <c r="BE1138" s="4"/>
      <c r="BF1138" s="8"/>
      <c r="BG1138" s="7"/>
      <c r="BH1138" s="7"/>
      <c r="BI1138" s="7"/>
      <c r="BJ1138" s="4">
        <v>46</v>
      </c>
      <c r="BK1138" s="8">
        <v>372.61</v>
      </c>
      <c r="BL1138" s="2" t="s">
        <v>4217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5618</v>
      </c>
      <c r="BV1138" s="2" t="s">
        <v>233</v>
      </c>
      <c r="BW1138" s="2" t="s">
        <v>233</v>
      </c>
      <c r="BX1138" s="2" t="s">
        <v>241</v>
      </c>
      <c r="BY1138" s="2" t="s">
        <v>242</v>
      </c>
      <c r="BZ1138" s="2" t="s">
        <v>230</v>
      </c>
      <c r="CA1138" s="2" t="s">
        <v>2716</v>
      </c>
      <c r="CB1138" s="2" t="s">
        <v>233</v>
      </c>
      <c r="CC1138" s="2" t="s">
        <v>245</v>
      </c>
      <c r="CD1138" s="2" t="s">
        <v>233</v>
      </c>
      <c r="CE1138" s="4"/>
      <c r="CF1138" s="4">
        <v>207</v>
      </c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>
        <v>208</v>
      </c>
      <c r="GD1138" s="4">
        <v>206</v>
      </c>
      <c r="GE1138" s="4">
        <v>205</v>
      </c>
      <c r="GF1138" s="4">
        <v>204</v>
      </c>
      <c r="GG1138" s="4">
        <v>203</v>
      </c>
      <c r="GH1138" s="4">
        <v>202</v>
      </c>
      <c r="GI1138" s="4">
        <v>201</v>
      </c>
      <c r="GJ1138" s="4">
        <v>200</v>
      </c>
      <c r="GK1138" s="4">
        <v>199</v>
      </c>
      <c r="GL1138" s="4">
        <v>198</v>
      </c>
      <c r="GM1138" s="4">
        <v>197</v>
      </c>
      <c r="GN1138" s="4">
        <v>196</v>
      </c>
      <c r="GO1138" s="4">
        <v>194</v>
      </c>
      <c r="GP1138" s="4">
        <v>189</v>
      </c>
      <c r="GQ1138" s="4">
        <v>184</v>
      </c>
      <c r="GR1138" s="4">
        <v>179</v>
      </c>
      <c r="GS1138" s="4">
        <v>174</v>
      </c>
      <c r="GT1138" s="4">
        <v>169</v>
      </c>
      <c r="GU1138" s="4">
        <v>164</v>
      </c>
      <c r="GV1138" s="4">
        <v>159</v>
      </c>
      <c r="GW1138" s="4">
        <v>154</v>
      </c>
      <c r="GX1138" s="4">
        <v>149</v>
      </c>
      <c r="GY1138" s="4">
        <v>144</v>
      </c>
      <c r="GZ1138" s="4">
        <v>139</v>
      </c>
      <c r="HA1138" s="4">
        <v>133</v>
      </c>
      <c r="HB1138" s="4">
        <v>128</v>
      </c>
      <c r="HC1138" s="19">
        <v>208</v>
      </c>
      <c r="HD1138" s="19">
        <v>206</v>
      </c>
      <c r="HE1138" s="19">
        <v>205</v>
      </c>
      <c r="HF1138" s="19">
        <v>204</v>
      </c>
      <c r="HG1138" s="19">
        <v>203</v>
      </c>
      <c r="HH1138" s="19">
        <v>202</v>
      </c>
      <c r="HI1138" s="19">
        <v>201</v>
      </c>
      <c r="HJ1138" s="19">
        <v>200</v>
      </c>
      <c r="HK1138" s="19">
        <v>199</v>
      </c>
      <c r="HL1138" s="19">
        <v>99</v>
      </c>
      <c r="HM1138" s="19">
        <v>65.7</v>
      </c>
      <c r="HN1138" s="19">
        <v>49</v>
      </c>
      <c r="HO1138" s="19">
        <v>38.8</v>
      </c>
      <c r="HP1138" s="19">
        <v>37.8</v>
      </c>
      <c r="HQ1138" s="19">
        <v>36.8</v>
      </c>
      <c r="HR1138" s="19">
        <v>35.8</v>
      </c>
      <c r="HS1138" s="19">
        <v>34.8</v>
      </c>
      <c r="HT1138" s="19">
        <v>33.8</v>
      </c>
      <c r="HU1138" s="19">
        <v>32.8</v>
      </c>
      <c r="HV1138" s="19">
        <v>31.8</v>
      </c>
      <c r="HW1138" s="19">
        <v>30.8</v>
      </c>
      <c r="HX1138" s="19">
        <v>29.8</v>
      </c>
      <c r="HY1138" s="19">
        <v>28.8</v>
      </c>
      <c r="HZ1138" s="19">
        <v>27.8</v>
      </c>
      <c r="IA1138" s="19">
        <v>26.6</v>
      </c>
      <c r="IB1138" s="19">
        <v>25.6</v>
      </c>
    </row>
    <row r="1139">
      <c r="A1139" s="2" t="s">
        <v>5619</v>
      </c>
      <c r="B1139" s="2" t="s">
        <v>872</v>
      </c>
      <c r="C1139" s="2" t="s">
        <v>2050</v>
      </c>
      <c r="D1139" s="2" t="s">
        <v>261</v>
      </c>
      <c r="E1139" s="2" t="s">
        <v>603</v>
      </c>
      <c r="F1139" s="2" t="s">
        <v>5620</v>
      </c>
      <c r="G1139" s="2" t="s">
        <v>233</v>
      </c>
      <c r="H1139" s="2" t="s">
        <v>233</v>
      </c>
      <c r="I1139" s="2" t="s">
        <v>5621</v>
      </c>
      <c r="J1139" s="2" t="s">
        <v>265</v>
      </c>
      <c r="K1139" s="2" t="s">
        <v>452</v>
      </c>
      <c r="L1139" s="3">
        <v>125</v>
      </c>
      <c r="M1139" s="3">
        <v>131.24</v>
      </c>
      <c r="N1139" s="3">
        <v>259.99</v>
      </c>
      <c r="O1139" s="2" t="s">
        <v>230</v>
      </c>
      <c r="P1139" s="2" t="s">
        <v>231</v>
      </c>
      <c r="Q1139" s="2" t="s">
        <v>232</v>
      </c>
      <c r="R1139" s="2" t="s">
        <v>233</v>
      </c>
      <c r="S1139" s="2" t="s">
        <v>5622</v>
      </c>
      <c r="T1139" s="2" t="s">
        <v>233</v>
      </c>
      <c r="U1139" s="2" t="s">
        <v>233</v>
      </c>
      <c r="V1139" s="2" t="s">
        <v>1033</v>
      </c>
      <c r="W1139" s="2" t="s">
        <v>916</v>
      </c>
      <c r="X1139" s="2" t="s">
        <v>818</v>
      </c>
      <c r="Y1139" s="2" t="s">
        <v>238</v>
      </c>
      <c r="Z1139" s="4">
        <v>30</v>
      </c>
      <c r="AA1139" s="4">
        <f>=ROUNDDOWN(10.7142857142857,0)</f>
      </c>
      <c r="AB1139" s="5">
        <v>2.8</v>
      </c>
      <c r="AC1139" s="2" t="s">
        <v>725</v>
      </c>
      <c r="AD1139" s="4">
        <v>210</v>
      </c>
      <c r="AE1139" s="4">
        <v>210</v>
      </c>
      <c r="AF1139" s="6">
        <v>69</v>
      </c>
      <c r="AG1139" s="6"/>
      <c r="AH1139" s="7">
        <v>1</v>
      </c>
      <c r="AI1139" s="4"/>
      <c r="AJ1139" s="4">
        <f>=ROUNDDOWN({0},0)</f>
      </c>
      <c r="AK1139" s="5"/>
      <c r="AL1139" s="2" t="s">
        <v>233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/>
      <c r="BD1139" s="8"/>
      <c r="BE1139" s="4"/>
      <c r="BF1139" s="8"/>
      <c r="BG1139" s="7"/>
      <c r="BH1139" s="7"/>
      <c r="BI1139" s="7"/>
      <c r="BJ1139" s="4">
        <v>10</v>
      </c>
      <c r="BK1139" s="8">
        <v>1376.87</v>
      </c>
      <c r="BL1139" s="2" t="s">
        <v>5623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5624</v>
      </c>
      <c r="BV1139" s="2" t="s">
        <v>233</v>
      </c>
      <c r="BW1139" s="2" t="s">
        <v>233</v>
      </c>
      <c r="BX1139" s="2" t="s">
        <v>241</v>
      </c>
      <c r="BY1139" s="2" t="s">
        <v>242</v>
      </c>
      <c r="BZ1139" s="2" t="s">
        <v>230</v>
      </c>
      <c r="CA1139" s="2" t="s">
        <v>243</v>
      </c>
      <c r="CB1139" s="2" t="s">
        <v>2631</v>
      </c>
      <c r="CC1139" s="2" t="s">
        <v>245</v>
      </c>
      <c r="CD1139" s="2" t="s">
        <v>233</v>
      </c>
      <c r="CE1139" s="4">
        <v>30</v>
      </c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>
        <v>210</v>
      </c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>
        <v>30</v>
      </c>
      <c r="GD1139" s="4">
        <v>26</v>
      </c>
      <c r="GE1139" s="4">
        <v>21</v>
      </c>
      <c r="GF1139" s="4">
        <v>17</v>
      </c>
      <c r="GG1139" s="4">
        <v>9</v>
      </c>
      <c r="GH1139" s="4">
        <v>5</v>
      </c>
      <c r="GI1139" s="4">
        <v>212</v>
      </c>
      <c r="GJ1139" s="4">
        <v>209</v>
      </c>
      <c r="GK1139" s="4">
        <v>207</v>
      </c>
      <c r="GL1139" s="4">
        <v>204</v>
      </c>
      <c r="GM1139" s="4">
        <v>202</v>
      </c>
      <c r="GN1139" s="4">
        <v>199</v>
      </c>
      <c r="GO1139" s="4">
        <v>197</v>
      </c>
      <c r="GP1139" s="4">
        <v>195</v>
      </c>
      <c r="GQ1139" s="4">
        <v>192</v>
      </c>
      <c r="GR1139" s="4">
        <v>189</v>
      </c>
      <c r="GS1139" s="4">
        <v>186</v>
      </c>
      <c r="GT1139" s="4">
        <v>183</v>
      </c>
      <c r="GU1139" s="4">
        <v>180</v>
      </c>
      <c r="GV1139" s="4">
        <v>177</v>
      </c>
      <c r="GW1139" s="4">
        <v>174</v>
      </c>
      <c r="GX1139" s="4">
        <v>171</v>
      </c>
      <c r="GY1139" s="4">
        <v>168</v>
      </c>
      <c r="GZ1139" s="4">
        <v>165</v>
      </c>
      <c r="HA1139" s="4">
        <v>162</v>
      </c>
      <c r="HB1139" s="4">
        <v>159</v>
      </c>
      <c r="HC1139" s="19">
        <v>6</v>
      </c>
      <c r="HD1139" s="19">
        <v>5.2</v>
      </c>
      <c r="HE1139" s="19">
        <v>4.2</v>
      </c>
      <c r="HF1139" s="19">
        <v>4.3</v>
      </c>
      <c r="HG1139" s="19">
        <v>3</v>
      </c>
      <c r="HH1139" s="19">
        <v>1.7</v>
      </c>
      <c r="HI1139" s="19">
        <v>106</v>
      </c>
      <c r="HJ1139" s="19">
        <v>104.5</v>
      </c>
      <c r="HK1139" s="19">
        <v>103.5</v>
      </c>
      <c r="HL1139" s="19">
        <v>102</v>
      </c>
      <c r="HM1139" s="19">
        <v>101</v>
      </c>
      <c r="HN1139" s="19">
        <v>99.5</v>
      </c>
      <c r="HO1139" s="19">
        <v>65.7</v>
      </c>
      <c r="HP1139" s="19">
        <v>65</v>
      </c>
      <c r="HQ1139" s="19">
        <v>64</v>
      </c>
      <c r="HR1139" s="19">
        <v>63</v>
      </c>
      <c r="HS1139" s="19">
        <v>62</v>
      </c>
      <c r="HT1139" s="19">
        <v>61</v>
      </c>
      <c r="HU1139" s="19">
        <v>60</v>
      </c>
      <c r="HV1139" s="19">
        <v>59</v>
      </c>
      <c r="HW1139" s="19">
        <v>58</v>
      </c>
      <c r="HX1139" s="19">
        <v>57</v>
      </c>
      <c r="HY1139" s="19">
        <v>56</v>
      </c>
      <c r="HZ1139" s="19">
        <v>55</v>
      </c>
      <c r="IA1139" s="19">
        <v>54</v>
      </c>
      <c r="IB1139" s="19">
        <v>53</v>
      </c>
    </row>
    <row r="1140">
      <c r="A1140" s="2" t="s">
        <v>5625</v>
      </c>
      <c r="B1140" s="2" t="s">
        <v>761</v>
      </c>
      <c r="C1140" s="2" t="s">
        <v>762</v>
      </c>
      <c r="D1140" s="2" t="s">
        <v>1834</v>
      </c>
      <c r="E1140" s="2" t="s">
        <v>1835</v>
      </c>
      <c r="F1140" s="2" t="s">
        <v>5626</v>
      </c>
      <c r="G1140" s="2" t="s">
        <v>5626</v>
      </c>
      <c r="H1140" s="2" t="s">
        <v>5626</v>
      </c>
      <c r="I1140" s="2" t="s">
        <v>5627</v>
      </c>
      <c r="J1140" s="2" t="s">
        <v>741</v>
      </c>
      <c r="K1140" s="2" t="s">
        <v>300</v>
      </c>
      <c r="L1140" s="3">
        <v>195</v>
      </c>
      <c r="M1140" s="3">
        <v>204.75</v>
      </c>
      <c r="N1140" s="3">
        <v>409</v>
      </c>
      <c r="O1140" s="2" t="s">
        <v>230</v>
      </c>
      <c r="P1140" s="2" t="s">
        <v>721</v>
      </c>
      <c r="Q1140" s="2" t="s">
        <v>232</v>
      </c>
      <c r="R1140" s="2" t="s">
        <v>233</v>
      </c>
      <c r="S1140" s="2" t="s">
        <v>5628</v>
      </c>
      <c r="T1140" s="2" t="s">
        <v>233</v>
      </c>
      <c r="U1140" s="2" t="s">
        <v>233</v>
      </c>
      <c r="V1140" s="2" t="s">
        <v>236</v>
      </c>
      <c r="W1140" s="2" t="s">
        <v>3342</v>
      </c>
      <c r="X1140" s="2" t="s">
        <v>233</v>
      </c>
      <c r="Y1140" s="2" t="s">
        <v>238</v>
      </c>
      <c r="Z1140" s="4">
        <v>96</v>
      </c>
      <c r="AA1140" s="4">
        <f>=ROUNDDOWN(96,0)</f>
      </c>
      <c r="AB1140" s="5">
        <v>1</v>
      </c>
      <c r="AC1140" s="2" t="s">
        <v>233</v>
      </c>
      <c r="AD1140" s="4"/>
      <c r="AE1140" s="4"/>
      <c r="AF1140" s="6">
        <v>76</v>
      </c>
      <c r="AG1140" s="6"/>
      <c r="AH1140" s="7">
        <v>1</v>
      </c>
      <c r="AI1140" s="4"/>
      <c r="AJ1140" s="4">
        <f>=ROUNDDOWN({0},0)</f>
      </c>
      <c r="AK1140" s="5"/>
      <c r="AL1140" s="2" t="s">
        <v>233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/>
      <c r="BD1140" s="8"/>
      <c r="BE1140" s="4"/>
      <c r="BF1140" s="8"/>
      <c r="BG1140" s="7"/>
      <c r="BH1140" s="7"/>
      <c r="BI1140" s="7"/>
      <c r="BJ1140" s="4"/>
      <c r="BK1140" s="8"/>
      <c r="BL1140" s="2" t="s">
        <v>233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5629</v>
      </c>
      <c r="BV1140" s="2" t="s">
        <v>233</v>
      </c>
      <c r="BW1140" s="2" t="s">
        <v>233</v>
      </c>
      <c r="BX1140" s="2" t="s">
        <v>241</v>
      </c>
      <c r="BY1140" s="2" t="s">
        <v>242</v>
      </c>
      <c r="BZ1140" s="2" t="s">
        <v>230</v>
      </c>
      <c r="CA1140" s="2" t="s">
        <v>243</v>
      </c>
      <c r="CB1140" s="2" t="s">
        <v>5630</v>
      </c>
      <c r="CC1140" s="2" t="s">
        <v>245</v>
      </c>
      <c r="CD1140" s="2" t="s">
        <v>233</v>
      </c>
      <c r="CE1140" s="4"/>
      <c r="CF1140" s="4">
        <v>96</v>
      </c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>
        <v>96</v>
      </c>
      <c r="GD1140" s="4">
        <v>95</v>
      </c>
      <c r="GE1140" s="4">
        <v>94</v>
      </c>
      <c r="GF1140" s="4">
        <v>93</v>
      </c>
      <c r="GG1140" s="4">
        <v>91</v>
      </c>
      <c r="GH1140" s="4">
        <v>90</v>
      </c>
      <c r="GI1140" s="4">
        <v>89</v>
      </c>
      <c r="GJ1140" s="4">
        <v>88</v>
      </c>
      <c r="GK1140" s="4">
        <v>87</v>
      </c>
      <c r="GL1140" s="4">
        <v>86</v>
      </c>
      <c r="GM1140" s="4">
        <v>85</v>
      </c>
      <c r="GN1140" s="4">
        <v>84</v>
      </c>
      <c r="GO1140" s="4">
        <v>83</v>
      </c>
      <c r="GP1140" s="4">
        <v>82</v>
      </c>
      <c r="GQ1140" s="4">
        <v>81</v>
      </c>
      <c r="GR1140" s="4">
        <v>80</v>
      </c>
      <c r="GS1140" s="4">
        <v>79</v>
      </c>
      <c r="GT1140" s="4">
        <v>78</v>
      </c>
      <c r="GU1140" s="4">
        <v>77</v>
      </c>
      <c r="GV1140" s="4">
        <v>76</v>
      </c>
      <c r="GW1140" s="4">
        <v>75</v>
      </c>
      <c r="GX1140" s="4">
        <v>74</v>
      </c>
      <c r="GY1140" s="4">
        <v>73</v>
      </c>
      <c r="GZ1140" s="4">
        <v>72</v>
      </c>
      <c r="HA1140" s="4">
        <v>71</v>
      </c>
      <c r="HB1140" s="4">
        <v>70</v>
      </c>
      <c r="HC1140" s="19">
        <v>96</v>
      </c>
      <c r="HD1140" s="19">
        <v>95</v>
      </c>
      <c r="HE1140" s="19">
        <v>94</v>
      </c>
      <c r="HF1140" s="19">
        <v>93</v>
      </c>
      <c r="HG1140" s="19">
        <v>91</v>
      </c>
      <c r="HH1140" s="19">
        <v>90</v>
      </c>
      <c r="HI1140" s="19">
        <v>89</v>
      </c>
      <c r="HJ1140" s="19">
        <v>88</v>
      </c>
      <c r="HK1140" s="19">
        <v>87</v>
      </c>
      <c r="HL1140" s="19">
        <v>86</v>
      </c>
      <c r="HM1140" s="19">
        <v>85</v>
      </c>
      <c r="HN1140" s="19">
        <v>84</v>
      </c>
      <c r="HO1140" s="19">
        <v>83</v>
      </c>
      <c r="HP1140" s="19">
        <v>82</v>
      </c>
      <c r="HQ1140" s="19">
        <v>81</v>
      </c>
      <c r="HR1140" s="19">
        <v>80</v>
      </c>
      <c r="HS1140" s="19">
        <v>79</v>
      </c>
      <c r="HT1140" s="19">
        <v>78</v>
      </c>
      <c r="HU1140" s="19">
        <v>77</v>
      </c>
      <c r="HV1140" s="19">
        <v>76</v>
      </c>
      <c r="HW1140" s="19">
        <v>75</v>
      </c>
      <c r="HX1140" s="19">
        <v>74</v>
      </c>
      <c r="HY1140" s="19">
        <v>73</v>
      </c>
      <c r="HZ1140" s="19">
        <v>72</v>
      </c>
      <c r="IA1140" s="19">
        <v>71</v>
      </c>
      <c r="IB1140" s="19">
        <v>70</v>
      </c>
    </row>
    <row r="1141">
      <c r="A1141" s="2" t="s">
        <v>5631</v>
      </c>
      <c r="B1141" s="2" t="s">
        <v>761</v>
      </c>
      <c r="C1141" s="2" t="s">
        <v>280</v>
      </c>
      <c r="D1141" s="2" t="s">
        <v>1531</v>
      </c>
      <c r="E1141" s="2" t="s">
        <v>1532</v>
      </c>
      <c r="F1141" s="2" t="s">
        <v>5632</v>
      </c>
      <c r="G1141" s="2" t="s">
        <v>5633</v>
      </c>
      <c r="H1141" s="2" t="s">
        <v>5634</v>
      </c>
      <c r="I1141" s="2" t="s">
        <v>5635</v>
      </c>
      <c r="J1141" s="2" t="s">
        <v>741</v>
      </c>
      <c r="K1141" s="2" t="s">
        <v>452</v>
      </c>
      <c r="L1141" s="3">
        <v>172.8</v>
      </c>
      <c r="M1141" s="3">
        <v>181.44</v>
      </c>
      <c r="N1141" s="3">
        <v>359</v>
      </c>
      <c r="O1141" s="2" t="s">
        <v>230</v>
      </c>
      <c r="P1141" s="2" t="s">
        <v>721</v>
      </c>
      <c r="Q1141" s="2" t="s">
        <v>232</v>
      </c>
      <c r="R1141" s="2" t="s">
        <v>233</v>
      </c>
      <c r="S1141" s="2" t="s">
        <v>233</v>
      </c>
      <c r="T1141" s="2" t="s">
        <v>233</v>
      </c>
      <c r="U1141" s="2" t="s">
        <v>329</v>
      </c>
      <c r="V1141" s="2" t="s">
        <v>609</v>
      </c>
      <c r="W1141" s="2" t="s">
        <v>712</v>
      </c>
      <c r="X1141" s="2" t="s">
        <v>818</v>
      </c>
      <c r="Y1141" s="2" t="s">
        <v>5636</v>
      </c>
      <c r="Z1141" s="4">
        <v>12</v>
      </c>
      <c r="AA1141" s="4">
        <f>=ROUNDDOWN(6,0)</f>
      </c>
      <c r="AB1141" s="5">
        <v>2</v>
      </c>
      <c r="AC1141" s="2" t="s">
        <v>731</v>
      </c>
      <c r="AD1141" s="4">
        <v>15</v>
      </c>
      <c r="AE1141" s="4">
        <v>193</v>
      </c>
      <c r="AF1141" s="6">
        <v>66</v>
      </c>
      <c r="AG1141" s="6">
        <v>49</v>
      </c>
      <c r="AH1141" s="7">
        <v>1</v>
      </c>
      <c r="AI1141" s="4"/>
      <c r="AJ1141" s="4">
        <f>=ROUNDDOWN({0},0)</f>
      </c>
      <c r="AK1141" s="5"/>
      <c r="AL1141" s="2" t="s">
        <v>233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/>
      <c r="AW1141" s="8"/>
      <c r="AX1141" s="4"/>
      <c r="AY1141" s="8"/>
      <c r="AZ1141" s="7"/>
      <c r="BA1141" s="7"/>
      <c r="BB1141" s="7"/>
      <c r="BC1141" s="4"/>
      <c r="BD1141" s="8"/>
      <c r="BE1141" s="4"/>
      <c r="BF1141" s="8"/>
      <c r="BG1141" s="7"/>
      <c r="BH1141" s="7"/>
      <c r="BI1141" s="7"/>
      <c r="BJ1141" s="4">
        <v>10</v>
      </c>
      <c r="BK1141" s="8">
        <v>1870.63</v>
      </c>
      <c r="BL1141" s="2" t="s">
        <v>5637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5638</v>
      </c>
      <c r="BV1141" s="2" t="s">
        <v>233</v>
      </c>
      <c r="BW1141" s="2" t="s">
        <v>233</v>
      </c>
      <c r="BX1141" s="2" t="s">
        <v>241</v>
      </c>
      <c r="BY1141" s="2" t="s">
        <v>242</v>
      </c>
      <c r="BZ1141" s="2" t="s">
        <v>230</v>
      </c>
      <c r="CA1141" s="2" t="s">
        <v>5639</v>
      </c>
      <c r="CB1141" s="2" t="s">
        <v>4050</v>
      </c>
      <c r="CC1141" s="2" t="s">
        <v>245</v>
      </c>
      <c r="CD1141" s="2" t="s">
        <v>233</v>
      </c>
      <c r="CE1141" s="4"/>
      <c r="CF1141" s="4">
        <v>12</v>
      </c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>
        <v>15</v>
      </c>
      <c r="CX1141" s="4"/>
      <c r="CY1141" s="4"/>
      <c r="CZ1141" s="4">
        <v>65</v>
      </c>
      <c r="DA1141" s="4"/>
      <c r="DB1141" s="4"/>
      <c r="DC1141" s="4"/>
      <c r="DD1141" s="4"/>
      <c r="DE1141" s="4"/>
      <c r="DF1141" s="4"/>
      <c r="DG1141" s="4">
        <v>20</v>
      </c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>
        <v>93</v>
      </c>
      <c r="FV1141" s="4"/>
      <c r="FW1141" s="4"/>
      <c r="FX1141" s="4"/>
      <c r="FY1141" s="4"/>
      <c r="FZ1141" s="4"/>
      <c r="GA1141" s="4"/>
      <c r="GB1141" s="4"/>
      <c r="GC1141" s="4">
        <v>12</v>
      </c>
      <c r="GD1141" s="4">
        <v>25</v>
      </c>
      <c r="GE1141" s="4">
        <v>87</v>
      </c>
      <c r="GF1141" s="4">
        <v>105</v>
      </c>
      <c r="GG1141" s="4">
        <v>101</v>
      </c>
      <c r="GH1141" s="4">
        <v>98</v>
      </c>
      <c r="GI1141" s="4">
        <v>96</v>
      </c>
      <c r="GJ1141" s="4">
        <v>95</v>
      </c>
      <c r="GK1141" s="4">
        <v>94</v>
      </c>
      <c r="GL1141" s="4">
        <v>92</v>
      </c>
      <c r="GM1141" s="4">
        <v>91</v>
      </c>
      <c r="GN1141" s="4">
        <v>89</v>
      </c>
      <c r="GO1141" s="4">
        <v>88</v>
      </c>
      <c r="GP1141" s="4">
        <v>87</v>
      </c>
      <c r="GQ1141" s="4">
        <v>85</v>
      </c>
      <c r="GR1141" s="4">
        <v>83</v>
      </c>
      <c r="GS1141" s="4">
        <v>81</v>
      </c>
      <c r="GT1141" s="4">
        <v>172</v>
      </c>
      <c r="GU1141" s="4">
        <v>170</v>
      </c>
      <c r="GV1141" s="4">
        <v>168</v>
      </c>
      <c r="GW1141" s="4">
        <v>166</v>
      </c>
      <c r="GX1141" s="4">
        <v>164</v>
      </c>
      <c r="GY1141" s="4">
        <v>162</v>
      </c>
      <c r="GZ1141" s="4">
        <v>160</v>
      </c>
      <c r="HA1141" s="4">
        <v>158</v>
      </c>
      <c r="HB1141" s="4">
        <v>156</v>
      </c>
      <c r="HC1141" s="19">
        <v>2</v>
      </c>
      <c r="HD1141" s="19">
        <v>4.2</v>
      </c>
      <c r="HE1141" s="19">
        <v>14.5</v>
      </c>
      <c r="HF1141" s="19">
        <v>21.3</v>
      </c>
      <c r="HG1141" s="19">
        <v>20.3</v>
      </c>
      <c r="HH1141" s="19">
        <v>19.5</v>
      </c>
      <c r="HI1141" s="19">
        <v>38</v>
      </c>
      <c r="HJ1141" s="19">
        <v>18.8</v>
      </c>
      <c r="HK1141" s="19">
        <v>18.5</v>
      </c>
      <c r="HL1141" s="19">
        <v>36</v>
      </c>
      <c r="HM1141" s="19">
        <v>17.8</v>
      </c>
      <c r="HN1141" s="19">
        <v>17.3</v>
      </c>
      <c r="HO1141" s="19">
        <v>17</v>
      </c>
      <c r="HP1141" s="19">
        <v>16.8</v>
      </c>
      <c r="HQ1141" s="19">
        <v>16.3</v>
      </c>
      <c r="HR1141" s="19">
        <v>15.8</v>
      </c>
      <c r="HS1141" s="19">
        <v>15.3</v>
      </c>
      <c r="HT1141" s="19">
        <v>38</v>
      </c>
      <c r="HU1141" s="19">
        <v>37.5</v>
      </c>
      <c r="HV1141" s="19">
        <v>37</v>
      </c>
      <c r="HW1141" s="19">
        <v>36.5</v>
      </c>
      <c r="HX1141" s="19">
        <v>36</v>
      </c>
      <c r="HY1141" s="19">
        <v>35.5</v>
      </c>
      <c r="HZ1141" s="19">
        <v>35</v>
      </c>
      <c r="IA1141" s="19">
        <v>34.5</v>
      </c>
      <c r="IB1141" s="19">
        <v>34</v>
      </c>
    </row>
    <row r="1142">
      <c r="A1142" s="2" t="s">
        <v>5640</v>
      </c>
      <c r="B1142" s="2" t="s">
        <v>773</v>
      </c>
      <c r="C1142" s="2" t="s">
        <v>908</v>
      </c>
      <c r="D1142" s="2" t="s">
        <v>985</v>
      </c>
      <c r="E1142" s="2" t="s">
        <v>986</v>
      </c>
      <c r="F1142" s="2" t="s">
        <v>5641</v>
      </c>
      <c r="G1142" s="2" t="s">
        <v>5641</v>
      </c>
      <c r="H1142" s="2" t="s">
        <v>233</v>
      </c>
      <c r="I1142" s="2" t="s">
        <v>988</v>
      </c>
      <c r="J1142" s="2" t="s">
        <v>989</v>
      </c>
      <c r="K1142" s="2" t="s">
        <v>1525</v>
      </c>
      <c r="L1142" s="3">
        <v>37.72</v>
      </c>
      <c r="M1142" s="3">
        <v>39.61</v>
      </c>
      <c r="N1142" s="3">
        <v>81.99</v>
      </c>
      <c r="O1142" s="2" t="s">
        <v>230</v>
      </c>
      <c r="P1142" s="2" t="s">
        <v>231</v>
      </c>
      <c r="Q1142" s="2" t="s">
        <v>232</v>
      </c>
      <c r="R1142" s="2" t="s">
        <v>233</v>
      </c>
      <c r="S1142" s="2" t="s">
        <v>5642</v>
      </c>
      <c r="T1142" s="2" t="s">
        <v>913</v>
      </c>
      <c r="U1142" s="2" t="s">
        <v>233</v>
      </c>
      <c r="V1142" s="2" t="s">
        <v>914</v>
      </c>
      <c r="W1142" s="2" t="s">
        <v>915</v>
      </c>
      <c r="X1142" s="2" t="s">
        <v>916</v>
      </c>
      <c r="Y1142" s="2" t="s">
        <v>238</v>
      </c>
      <c r="Z1142" s="4">
        <v>705</v>
      </c>
      <c r="AA1142" s="4">
        <f>=ROUNDDOWN(47,0)</f>
      </c>
      <c r="AB1142" s="5">
        <v>15</v>
      </c>
      <c r="AC1142" s="2" t="s">
        <v>140</v>
      </c>
      <c r="AD1142" s="4">
        <v>270</v>
      </c>
      <c r="AE1142" s="4">
        <v>270</v>
      </c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233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/>
      <c r="AW1142" s="8"/>
      <c r="AX1142" s="4"/>
      <c r="AY1142" s="8"/>
      <c r="AZ1142" s="7"/>
      <c r="BA1142" s="7"/>
      <c r="BB1142" s="7"/>
      <c r="BC1142" s="4" t="s">
        <v>233</v>
      </c>
      <c r="BD1142" s="8" t="s">
        <v>233</v>
      </c>
      <c r="BE1142" s="4" t="s">
        <v>233</v>
      </c>
      <c r="BF1142" s="8" t="s">
        <v>233</v>
      </c>
      <c r="BG1142" s="7" t="s">
        <v>233</v>
      </c>
      <c r="BH1142" s="7" t="s">
        <v>233</v>
      </c>
      <c r="BI1142" s="7"/>
      <c r="BJ1142" s="4">
        <v>32</v>
      </c>
      <c r="BK1142" s="8">
        <v>1329.72</v>
      </c>
      <c r="BL1142" s="2" t="s">
        <v>2078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5643</v>
      </c>
      <c r="BV1142" s="2" t="s">
        <v>233</v>
      </c>
      <c r="BW1142" s="2" t="s">
        <v>233</v>
      </c>
      <c r="BX1142" s="2" t="s">
        <v>241</v>
      </c>
      <c r="BY1142" s="2" t="s">
        <v>242</v>
      </c>
      <c r="BZ1142" s="2" t="s">
        <v>230</v>
      </c>
      <c r="CA1142" s="2" t="s">
        <v>992</v>
      </c>
      <c r="CB1142" s="2" t="s">
        <v>881</v>
      </c>
      <c r="CC1142" s="2" t="s">
        <v>245</v>
      </c>
      <c r="CD1142" s="2" t="s">
        <v>233</v>
      </c>
      <c r="CE1142" s="4">
        <v>149</v>
      </c>
      <c r="CF1142" s="4">
        <v>556</v>
      </c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>
        <v>270</v>
      </c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>
        <v>709</v>
      </c>
      <c r="GD1142" s="4">
        <v>673</v>
      </c>
      <c r="GE1142" s="4">
        <v>919</v>
      </c>
      <c r="GF1142" s="4">
        <v>891</v>
      </c>
      <c r="GG1142" s="4">
        <v>830</v>
      </c>
      <c r="GH1142" s="4">
        <v>772</v>
      </c>
      <c r="GI1142" s="4">
        <v>700</v>
      </c>
      <c r="GJ1142" s="4">
        <v>667</v>
      </c>
      <c r="GK1142" s="4">
        <v>658</v>
      </c>
      <c r="GL1142" s="4">
        <v>642</v>
      </c>
      <c r="GM1142" s="4">
        <v>633</v>
      </c>
      <c r="GN1142" s="4">
        <v>614</v>
      </c>
      <c r="GO1142" s="4">
        <v>601</v>
      </c>
      <c r="GP1142" s="4">
        <v>588</v>
      </c>
      <c r="GQ1142" s="4">
        <v>580</v>
      </c>
      <c r="GR1142" s="4">
        <v>567</v>
      </c>
      <c r="GS1142" s="4">
        <v>556</v>
      </c>
      <c r="GT1142" s="4">
        <v>546</v>
      </c>
      <c r="GU1142" s="4">
        <v>536</v>
      </c>
      <c r="GV1142" s="4">
        <v>528</v>
      </c>
      <c r="GW1142" s="4">
        <v>517</v>
      </c>
      <c r="GX1142" s="4">
        <v>511</v>
      </c>
      <c r="GY1142" s="4">
        <v>505</v>
      </c>
      <c r="GZ1142" s="4">
        <v>502</v>
      </c>
      <c r="HA1142" s="4">
        <v>499</v>
      </c>
      <c r="HB1142" s="4">
        <v>498</v>
      </c>
      <c r="HC1142" s="19">
        <v>19.2</v>
      </c>
      <c r="HD1142" s="19">
        <v>15.7</v>
      </c>
      <c r="HE1142" s="19">
        <v>16.7</v>
      </c>
      <c r="HF1142" s="19">
        <v>15.9</v>
      </c>
      <c r="HG1142" s="19">
        <v>19.3</v>
      </c>
      <c r="HH1142" s="19">
        <v>24.1</v>
      </c>
      <c r="HI1142" s="19">
        <v>41.2</v>
      </c>
      <c r="HJ1142" s="19">
        <v>51.3</v>
      </c>
      <c r="HK1142" s="19">
        <v>47</v>
      </c>
      <c r="HL1142" s="19">
        <v>45.9</v>
      </c>
      <c r="HM1142" s="19">
        <v>48.7</v>
      </c>
      <c r="HN1142" s="19">
        <v>51.2</v>
      </c>
      <c r="HO1142" s="19">
        <v>54.6</v>
      </c>
      <c r="HP1142" s="19">
        <v>58.8</v>
      </c>
      <c r="HQ1142" s="19">
        <v>52.7</v>
      </c>
      <c r="HR1142" s="19">
        <v>56.7</v>
      </c>
      <c r="HS1142" s="19">
        <v>55.6</v>
      </c>
      <c r="HT1142" s="19">
        <v>60.7</v>
      </c>
      <c r="HU1142" s="19">
        <v>67</v>
      </c>
      <c r="HV1142" s="19">
        <v>88</v>
      </c>
      <c r="HW1142" s="19">
        <v>129.3</v>
      </c>
      <c r="HX1142" s="19">
        <v>170.3</v>
      </c>
      <c r="HY1142" s="19">
        <v>168.3</v>
      </c>
      <c r="HZ1142" s="19">
        <v>167.3</v>
      </c>
      <c r="IA1142" s="19">
        <v>166.3</v>
      </c>
      <c r="IB1142" s="19">
        <v>166</v>
      </c>
    </row>
    <row r="1143">
      <c r="A1143" s="2" t="s">
        <v>5644</v>
      </c>
      <c r="B1143" s="2" t="s">
        <v>773</v>
      </c>
      <c r="C1143" s="2" t="s">
        <v>908</v>
      </c>
      <c r="D1143" s="2" t="s">
        <v>985</v>
      </c>
      <c r="E1143" s="2" t="s">
        <v>986</v>
      </c>
      <c r="F1143" s="2" t="s">
        <v>5641</v>
      </c>
      <c r="G1143" s="2" t="s">
        <v>5641</v>
      </c>
      <c r="H1143" s="2" t="s">
        <v>233</v>
      </c>
      <c r="I1143" s="2" t="s">
        <v>988</v>
      </c>
      <c r="J1143" s="2" t="s">
        <v>989</v>
      </c>
      <c r="K1143" s="2" t="s">
        <v>1121</v>
      </c>
      <c r="L1143" s="3">
        <v>37.72</v>
      </c>
      <c r="M1143" s="3">
        <v>39.61</v>
      </c>
      <c r="N1143" s="3">
        <v>81.99</v>
      </c>
      <c r="O1143" s="2" t="s">
        <v>230</v>
      </c>
      <c r="P1143" s="2" t="s">
        <v>231</v>
      </c>
      <c r="Q1143" s="2" t="s">
        <v>232</v>
      </c>
      <c r="R1143" s="2" t="s">
        <v>233</v>
      </c>
      <c r="S1143" s="2" t="s">
        <v>5645</v>
      </c>
      <c r="T1143" s="2" t="s">
        <v>913</v>
      </c>
      <c r="U1143" s="2" t="s">
        <v>233</v>
      </c>
      <c r="V1143" s="2" t="s">
        <v>914</v>
      </c>
      <c r="W1143" s="2" t="s">
        <v>915</v>
      </c>
      <c r="X1143" s="2" t="s">
        <v>916</v>
      </c>
      <c r="Y1143" s="2" t="s">
        <v>238</v>
      </c>
      <c r="Z1143" s="4">
        <v>848</v>
      </c>
      <c r="AA1143" s="4">
        <f>=ROUNDDOWN(40.3809523809524,0)</f>
      </c>
      <c r="AB1143" s="5">
        <v>21</v>
      </c>
      <c r="AC1143" s="2" t="s">
        <v>140</v>
      </c>
      <c r="AD1143" s="4">
        <v>190</v>
      </c>
      <c r="AE1143" s="4">
        <v>310</v>
      </c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233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/>
      <c r="AW1143" s="8"/>
      <c r="AX1143" s="4"/>
      <c r="AY1143" s="8"/>
      <c r="AZ1143" s="7"/>
      <c r="BA1143" s="7"/>
      <c r="BB1143" s="7"/>
      <c r="BC1143" s="4" t="s">
        <v>233</v>
      </c>
      <c r="BD1143" s="8" t="s">
        <v>233</v>
      </c>
      <c r="BE1143" s="4" t="s">
        <v>233</v>
      </c>
      <c r="BF1143" s="8" t="s">
        <v>233</v>
      </c>
      <c r="BG1143" s="7" t="s">
        <v>233</v>
      </c>
      <c r="BH1143" s="7" t="s">
        <v>233</v>
      </c>
      <c r="BI1143" s="7"/>
      <c r="BJ1143" s="4">
        <v>54</v>
      </c>
      <c r="BK1143" s="8">
        <v>2200.1</v>
      </c>
      <c r="BL1143" s="2" t="s">
        <v>5646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5643</v>
      </c>
      <c r="BV1143" s="2" t="s">
        <v>233</v>
      </c>
      <c r="BW1143" s="2" t="s">
        <v>233</v>
      </c>
      <c r="BX1143" s="2" t="s">
        <v>241</v>
      </c>
      <c r="BY1143" s="2" t="s">
        <v>242</v>
      </c>
      <c r="BZ1143" s="2" t="s">
        <v>230</v>
      </c>
      <c r="CA1143" s="2" t="s">
        <v>992</v>
      </c>
      <c r="CB1143" s="2" t="s">
        <v>4240</v>
      </c>
      <c r="CC1143" s="2" t="s">
        <v>245</v>
      </c>
      <c r="CD1143" s="2" t="s">
        <v>233</v>
      </c>
      <c r="CE1143" s="4">
        <v>150</v>
      </c>
      <c r="CF1143" s="4">
        <v>698</v>
      </c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>
        <v>190</v>
      </c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>
        <v>120</v>
      </c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>
        <v>853</v>
      </c>
      <c r="GD1143" s="4">
        <v>799</v>
      </c>
      <c r="GE1143" s="4">
        <v>940</v>
      </c>
      <c r="GF1143" s="4">
        <v>882</v>
      </c>
      <c r="GG1143" s="4">
        <v>752</v>
      </c>
      <c r="GH1143" s="4">
        <v>748</v>
      </c>
      <c r="GI1143" s="4">
        <v>594</v>
      </c>
      <c r="GJ1143" s="4">
        <v>524</v>
      </c>
      <c r="GK1143" s="4">
        <v>505</v>
      </c>
      <c r="GL1143" s="4">
        <v>471</v>
      </c>
      <c r="GM1143" s="4">
        <v>452</v>
      </c>
      <c r="GN1143" s="4">
        <v>412</v>
      </c>
      <c r="GO1143" s="4">
        <v>385</v>
      </c>
      <c r="GP1143" s="4">
        <v>358</v>
      </c>
      <c r="GQ1143" s="4">
        <v>347</v>
      </c>
      <c r="GR1143" s="4">
        <v>329</v>
      </c>
      <c r="GS1143" s="4">
        <v>313</v>
      </c>
      <c r="GT1143" s="4">
        <v>299</v>
      </c>
      <c r="GU1143" s="4">
        <v>285</v>
      </c>
      <c r="GV1143" s="4">
        <v>273</v>
      </c>
      <c r="GW1143" s="4">
        <v>258</v>
      </c>
      <c r="GX1143" s="4">
        <v>250</v>
      </c>
      <c r="GY1143" s="4">
        <v>242</v>
      </c>
      <c r="GZ1143" s="4">
        <v>238</v>
      </c>
      <c r="HA1143" s="4">
        <v>234</v>
      </c>
      <c r="HB1143" s="4">
        <v>232</v>
      </c>
      <c r="HC1143" s="19">
        <v>11.7</v>
      </c>
      <c r="HD1143" s="19">
        <v>8.9</v>
      </c>
      <c r="HE1143" s="19">
        <v>8.1</v>
      </c>
      <c r="HF1143" s="19">
        <v>7.4</v>
      </c>
      <c r="HG1143" s="19">
        <v>8.2</v>
      </c>
      <c r="HH1143" s="19">
        <v>10.8</v>
      </c>
      <c r="HI1143" s="19">
        <v>16.5</v>
      </c>
      <c r="HJ1143" s="19">
        <v>18.7</v>
      </c>
      <c r="HK1143" s="19">
        <v>16.8</v>
      </c>
      <c r="HL1143" s="19">
        <v>16.8</v>
      </c>
      <c r="HM1143" s="19">
        <v>17.4</v>
      </c>
      <c r="HN1143" s="19">
        <v>19.6</v>
      </c>
      <c r="HO1143" s="19">
        <v>21.4</v>
      </c>
      <c r="HP1143" s="19">
        <v>23.9</v>
      </c>
      <c r="HQ1143" s="19">
        <v>21.7</v>
      </c>
      <c r="HR1143" s="19">
        <v>23.5</v>
      </c>
      <c r="HS1143" s="19">
        <v>22.4</v>
      </c>
      <c r="HT1143" s="19">
        <v>24.9</v>
      </c>
      <c r="HU1143" s="19">
        <v>25.9</v>
      </c>
      <c r="HV1143" s="19">
        <v>30.3</v>
      </c>
      <c r="HW1143" s="19">
        <v>43</v>
      </c>
      <c r="HX1143" s="19">
        <v>62.5</v>
      </c>
      <c r="HY1143" s="19">
        <v>60.5</v>
      </c>
      <c r="HZ1143" s="19">
        <v>59.5</v>
      </c>
      <c r="IA1143" s="19">
        <v>58.5</v>
      </c>
      <c r="IB1143" s="19">
        <v>58</v>
      </c>
    </row>
    <row r="1144">
      <c r="A1144" s="2" t="s">
        <v>5647</v>
      </c>
      <c r="B1144" s="2" t="s">
        <v>872</v>
      </c>
      <c r="C1144" s="2" t="s">
        <v>908</v>
      </c>
      <c r="D1144" s="2" t="s">
        <v>884</v>
      </c>
      <c r="E1144" s="2" t="s">
        <v>4689</v>
      </c>
      <c r="F1144" s="2" t="s">
        <v>5641</v>
      </c>
      <c r="G1144" s="2" t="s">
        <v>5641</v>
      </c>
      <c r="H1144" s="2" t="s">
        <v>5641</v>
      </c>
      <c r="I1144" s="2" t="s">
        <v>5648</v>
      </c>
      <c r="J1144" s="2" t="s">
        <v>275</v>
      </c>
      <c r="K1144" s="2" t="s">
        <v>1014</v>
      </c>
      <c r="L1144" s="3">
        <v>54.99</v>
      </c>
      <c r="M1144" s="3">
        <v>57.74</v>
      </c>
      <c r="N1144" s="3">
        <v>109.99</v>
      </c>
      <c r="O1144" s="2" t="s">
        <v>230</v>
      </c>
      <c r="P1144" s="2" t="s">
        <v>231</v>
      </c>
      <c r="Q1144" s="2" t="s">
        <v>232</v>
      </c>
      <c r="R1144" s="2" t="s">
        <v>233</v>
      </c>
      <c r="S1144" s="2" t="s">
        <v>5649</v>
      </c>
      <c r="T1144" s="2" t="s">
        <v>233</v>
      </c>
      <c r="U1144" s="2" t="s">
        <v>233</v>
      </c>
      <c r="V1144" s="2" t="s">
        <v>914</v>
      </c>
      <c r="W1144" s="2" t="s">
        <v>915</v>
      </c>
      <c r="X1144" s="2" t="s">
        <v>1481</v>
      </c>
      <c r="Y1144" s="2" t="s">
        <v>238</v>
      </c>
      <c r="Z1144" s="4">
        <v>154</v>
      </c>
      <c r="AA1144" s="4">
        <f>=ROUNDDOWN(30.8,0)</f>
      </c>
      <c r="AB1144" s="5">
        <v>5</v>
      </c>
      <c r="AC1144" s="2" t="s">
        <v>151</v>
      </c>
      <c r="AD1144" s="4">
        <v>60</v>
      </c>
      <c r="AE1144" s="4">
        <v>180</v>
      </c>
      <c r="AF1144" s="6">
        <v>69</v>
      </c>
      <c r="AG1144" s="6"/>
      <c r="AH1144" s="7">
        <v>1</v>
      </c>
      <c r="AI1144" s="4"/>
      <c r="AJ1144" s="4">
        <f>=ROUNDDOWN({0},0)</f>
      </c>
      <c r="AK1144" s="5"/>
      <c r="AL1144" s="2" t="s">
        <v>233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/>
      <c r="AW1144" s="8"/>
      <c r="AX1144" s="4"/>
      <c r="AY1144" s="8"/>
      <c r="AZ1144" s="7"/>
      <c r="BA1144" s="7"/>
      <c r="BB1144" s="7"/>
      <c r="BC1144" s="4" t="s">
        <v>233</v>
      </c>
      <c r="BD1144" s="8" t="s">
        <v>233</v>
      </c>
      <c r="BE1144" s="4" t="s">
        <v>233</v>
      </c>
      <c r="BF1144" s="8" t="s">
        <v>233</v>
      </c>
      <c r="BG1144" s="7" t="s">
        <v>233</v>
      </c>
      <c r="BH1144" s="7" t="s">
        <v>233</v>
      </c>
      <c r="BI1144" s="7"/>
      <c r="BJ1144" s="4">
        <v>25</v>
      </c>
      <c r="BK1144" s="8">
        <v>1401.8</v>
      </c>
      <c r="BL1144" s="2" t="s">
        <v>449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5650</v>
      </c>
      <c r="BV1144" s="2" t="s">
        <v>233</v>
      </c>
      <c r="BW1144" s="2" t="s">
        <v>233</v>
      </c>
      <c r="BX1144" s="2" t="s">
        <v>241</v>
      </c>
      <c r="BY1144" s="2" t="s">
        <v>242</v>
      </c>
      <c r="BZ1144" s="2" t="s">
        <v>230</v>
      </c>
      <c r="CA1144" s="2" t="s">
        <v>881</v>
      </c>
      <c r="CB1144" s="2" t="s">
        <v>5651</v>
      </c>
      <c r="CC1144" s="2" t="s">
        <v>245</v>
      </c>
      <c r="CD1144" s="2" t="s">
        <v>233</v>
      </c>
      <c r="CE1144" s="4">
        <v>154</v>
      </c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>
        <v>60</v>
      </c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>
        <v>50</v>
      </c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>
        <v>70</v>
      </c>
      <c r="GB1144" s="4"/>
      <c r="GC1144" s="4">
        <v>172</v>
      </c>
      <c r="GD1144" s="4">
        <v>114</v>
      </c>
      <c r="GE1144" s="4">
        <v>94</v>
      </c>
      <c r="GF1144" s="4">
        <v>76</v>
      </c>
      <c r="GG1144" s="4">
        <v>108</v>
      </c>
      <c r="GH1144" s="4">
        <v>87</v>
      </c>
      <c r="GI1144" s="4">
        <v>70</v>
      </c>
      <c r="GJ1144" s="4">
        <v>60</v>
      </c>
      <c r="GK1144" s="4">
        <v>51</v>
      </c>
      <c r="GL1144" s="4">
        <v>42</v>
      </c>
      <c r="GM1144" s="4">
        <v>34</v>
      </c>
      <c r="GN1144" s="4">
        <v>27</v>
      </c>
      <c r="GO1144" s="4">
        <v>20</v>
      </c>
      <c r="GP1144" s="4">
        <v>13</v>
      </c>
      <c r="GQ1144" s="4">
        <v>57</v>
      </c>
      <c r="GR1144" s="4">
        <v>51</v>
      </c>
      <c r="GS1144" s="4">
        <v>45</v>
      </c>
      <c r="GT1144" s="4">
        <v>39</v>
      </c>
      <c r="GU1144" s="4">
        <v>33</v>
      </c>
      <c r="GV1144" s="4">
        <v>27</v>
      </c>
      <c r="GW1144" s="4">
        <v>91</v>
      </c>
      <c r="GX1144" s="4">
        <v>85</v>
      </c>
      <c r="GY1144" s="4">
        <v>79</v>
      </c>
      <c r="GZ1144" s="4">
        <v>73</v>
      </c>
      <c r="HA1144" s="4">
        <v>68</v>
      </c>
      <c r="HB1144" s="4">
        <v>63</v>
      </c>
      <c r="HC1144" s="19">
        <v>5.5</v>
      </c>
      <c r="HD1144" s="19">
        <v>5.2</v>
      </c>
      <c r="HE1144" s="19">
        <v>4.5</v>
      </c>
      <c r="HF1144" s="19">
        <v>4</v>
      </c>
      <c r="HG1144" s="19">
        <v>7.7</v>
      </c>
      <c r="HH1144" s="19">
        <v>7.9</v>
      </c>
      <c r="HI1144" s="19">
        <v>7.8</v>
      </c>
      <c r="HJ1144" s="19">
        <v>7.5</v>
      </c>
      <c r="HK1144" s="19">
        <v>6.4</v>
      </c>
      <c r="HL1144" s="19">
        <v>6</v>
      </c>
      <c r="HM1144" s="19">
        <v>4.9</v>
      </c>
      <c r="HN1144" s="19">
        <v>4.5</v>
      </c>
      <c r="HO1144" s="19">
        <v>3.3</v>
      </c>
      <c r="HP1144" s="19">
        <v>2.2</v>
      </c>
      <c r="HQ1144" s="19">
        <v>9.5</v>
      </c>
      <c r="HR1144" s="19">
        <v>8.5</v>
      </c>
      <c r="HS1144" s="19">
        <v>7.5</v>
      </c>
      <c r="HT1144" s="19">
        <v>6.5</v>
      </c>
      <c r="HU1144" s="19">
        <v>5.5</v>
      </c>
      <c r="HV1144" s="19">
        <v>4.5</v>
      </c>
      <c r="HW1144" s="19">
        <v>15.2</v>
      </c>
      <c r="HX1144" s="19">
        <v>14.2</v>
      </c>
      <c r="HY1144" s="19">
        <v>15.8</v>
      </c>
      <c r="HZ1144" s="19">
        <v>14.6</v>
      </c>
      <c r="IA1144" s="19">
        <v>13.6</v>
      </c>
      <c r="IB1144" s="19">
        <v>12.6</v>
      </c>
    </row>
    <row r="1145">
      <c r="A1145" s="2" t="s">
        <v>5652</v>
      </c>
      <c r="B1145" s="2" t="s">
        <v>811</v>
      </c>
      <c r="C1145" s="2" t="s">
        <v>762</v>
      </c>
      <c r="D1145" s="2" t="s">
        <v>813</v>
      </c>
      <c r="E1145" s="2" t="s">
        <v>814</v>
      </c>
      <c r="F1145" s="2" t="s">
        <v>5653</v>
      </c>
      <c r="G1145" s="2" t="s">
        <v>5653</v>
      </c>
      <c r="H1145" s="2" t="s">
        <v>5653</v>
      </c>
      <c r="I1145" s="2" t="s">
        <v>5654</v>
      </c>
      <c r="J1145" s="2" t="s">
        <v>741</v>
      </c>
      <c r="K1145" s="2" t="s">
        <v>452</v>
      </c>
      <c r="L1145" s="3">
        <v>72</v>
      </c>
      <c r="M1145" s="3">
        <v>75.6</v>
      </c>
      <c r="N1145" s="3">
        <v>149.99</v>
      </c>
      <c r="O1145" s="2" t="s">
        <v>230</v>
      </c>
      <c r="P1145" s="2" t="s">
        <v>231</v>
      </c>
      <c r="Q1145" s="2" t="s">
        <v>232</v>
      </c>
      <c r="R1145" s="2" t="s">
        <v>233</v>
      </c>
      <c r="S1145" s="2" t="s">
        <v>5655</v>
      </c>
      <c r="T1145" s="2" t="s">
        <v>233</v>
      </c>
      <c r="U1145" s="2" t="s">
        <v>233</v>
      </c>
      <c r="V1145" s="2" t="s">
        <v>236</v>
      </c>
      <c r="W1145" s="2" t="s">
        <v>620</v>
      </c>
      <c r="X1145" s="2" t="s">
        <v>233</v>
      </c>
      <c r="Y1145" s="2" t="s">
        <v>238</v>
      </c>
      <c r="Z1145" s="4">
        <v>156</v>
      </c>
      <c r="AA1145" s="4">
        <f>=ROUNDDOWN(52,0)</f>
      </c>
      <c r="AB1145" s="5">
        <v>3</v>
      </c>
      <c r="AC1145" s="2" t="s">
        <v>233</v>
      </c>
      <c r="AD1145" s="4"/>
      <c r="AE1145" s="4"/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233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/>
      <c r="AW1145" s="8"/>
      <c r="AX1145" s="4"/>
      <c r="AY1145" s="8"/>
      <c r="AZ1145" s="7"/>
      <c r="BA1145" s="7"/>
      <c r="BB1145" s="7"/>
      <c r="BC1145" s="4"/>
      <c r="BD1145" s="8"/>
      <c r="BE1145" s="4"/>
      <c r="BF1145" s="8"/>
      <c r="BG1145" s="7"/>
      <c r="BH1145" s="7"/>
      <c r="BI1145" s="7"/>
      <c r="BJ1145" s="4">
        <v>10</v>
      </c>
      <c r="BK1145" s="8">
        <v>859.38</v>
      </c>
      <c r="BL1145" s="2" t="s">
        <v>5656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5657</v>
      </c>
      <c r="BV1145" s="2" t="s">
        <v>233</v>
      </c>
      <c r="BW1145" s="2" t="s">
        <v>233</v>
      </c>
      <c r="BX1145" s="2" t="s">
        <v>241</v>
      </c>
      <c r="BY1145" s="2" t="s">
        <v>242</v>
      </c>
      <c r="BZ1145" s="2" t="s">
        <v>230</v>
      </c>
      <c r="CA1145" s="2" t="s">
        <v>4260</v>
      </c>
      <c r="CB1145" s="2" t="s">
        <v>5658</v>
      </c>
      <c r="CC1145" s="2" t="s">
        <v>245</v>
      </c>
      <c r="CD1145" s="2" t="s">
        <v>233</v>
      </c>
      <c r="CE1145" s="4"/>
      <c r="CF1145" s="4">
        <v>156</v>
      </c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>
        <v>157</v>
      </c>
      <c r="GD1145" s="4">
        <v>153</v>
      </c>
      <c r="GE1145" s="4">
        <v>150</v>
      </c>
      <c r="GF1145" s="4">
        <v>147</v>
      </c>
      <c r="GG1145" s="4">
        <v>143</v>
      </c>
      <c r="GH1145" s="4">
        <v>140</v>
      </c>
      <c r="GI1145" s="4">
        <v>137</v>
      </c>
      <c r="GJ1145" s="4">
        <v>134</v>
      </c>
      <c r="GK1145" s="4">
        <v>131</v>
      </c>
      <c r="GL1145" s="4">
        <v>128</v>
      </c>
      <c r="GM1145" s="4">
        <v>125</v>
      </c>
      <c r="GN1145" s="4">
        <v>122</v>
      </c>
      <c r="GO1145" s="4">
        <v>119</v>
      </c>
      <c r="GP1145" s="4">
        <v>116</v>
      </c>
      <c r="GQ1145" s="4">
        <v>113</v>
      </c>
      <c r="GR1145" s="4">
        <v>110</v>
      </c>
      <c r="GS1145" s="4">
        <v>107</v>
      </c>
      <c r="GT1145" s="4">
        <v>103</v>
      </c>
      <c r="GU1145" s="4">
        <v>100</v>
      </c>
      <c r="GV1145" s="4">
        <v>97</v>
      </c>
      <c r="GW1145" s="4">
        <v>94</v>
      </c>
      <c r="GX1145" s="4">
        <v>91</v>
      </c>
      <c r="GY1145" s="4">
        <v>88</v>
      </c>
      <c r="GZ1145" s="4">
        <v>85</v>
      </c>
      <c r="HA1145" s="4">
        <v>82</v>
      </c>
      <c r="HB1145" s="4">
        <v>79</v>
      </c>
      <c r="HC1145" s="19">
        <v>39.3</v>
      </c>
      <c r="HD1145" s="19">
        <v>51</v>
      </c>
      <c r="HE1145" s="19">
        <v>50</v>
      </c>
      <c r="HF1145" s="19">
        <v>49</v>
      </c>
      <c r="HG1145" s="19">
        <v>47.7</v>
      </c>
      <c r="HH1145" s="19">
        <v>46.7</v>
      </c>
      <c r="HI1145" s="19">
        <v>45.7</v>
      </c>
      <c r="HJ1145" s="19">
        <v>44.7</v>
      </c>
      <c r="HK1145" s="19">
        <v>43.7</v>
      </c>
      <c r="HL1145" s="19">
        <v>42.7</v>
      </c>
      <c r="HM1145" s="19">
        <v>41.7</v>
      </c>
      <c r="HN1145" s="19">
        <v>40.7</v>
      </c>
      <c r="HO1145" s="19">
        <v>39.7</v>
      </c>
      <c r="HP1145" s="19">
        <v>38.7</v>
      </c>
      <c r="HQ1145" s="19">
        <v>37.7</v>
      </c>
      <c r="HR1145" s="19">
        <v>36.7</v>
      </c>
      <c r="HS1145" s="19">
        <v>35.7</v>
      </c>
      <c r="HT1145" s="19">
        <v>34.3</v>
      </c>
      <c r="HU1145" s="19">
        <v>33.3</v>
      </c>
      <c r="HV1145" s="19">
        <v>32.3</v>
      </c>
      <c r="HW1145" s="19">
        <v>31.3</v>
      </c>
      <c r="HX1145" s="19">
        <v>30.3</v>
      </c>
      <c r="HY1145" s="19">
        <v>29.3</v>
      </c>
      <c r="HZ1145" s="19">
        <v>28.3</v>
      </c>
      <c r="IA1145" s="19">
        <v>27.3</v>
      </c>
      <c r="IB1145" s="19">
        <v>26.3</v>
      </c>
    </row>
    <row r="1146">
      <c r="A1146" s="2" t="s">
        <v>5659</v>
      </c>
      <c r="B1146" s="2" t="s">
        <v>847</v>
      </c>
      <c r="C1146" s="2" t="s">
        <v>848</v>
      </c>
      <c r="D1146" s="2" t="s">
        <v>849</v>
      </c>
      <c r="E1146" s="2" t="s">
        <v>850</v>
      </c>
      <c r="F1146" s="2" t="s">
        <v>5660</v>
      </c>
      <c r="G1146" s="2" t="s">
        <v>5660</v>
      </c>
      <c r="H1146" s="2" t="s">
        <v>5660</v>
      </c>
      <c r="I1146" s="2" t="s">
        <v>5661</v>
      </c>
      <c r="J1146" s="2" t="s">
        <v>5662</v>
      </c>
      <c r="K1146" s="2" t="s">
        <v>5663</v>
      </c>
      <c r="L1146" s="3">
        <v>23.5</v>
      </c>
      <c r="M1146" s="3">
        <v>24.68</v>
      </c>
      <c r="N1146" s="3">
        <v>49.99</v>
      </c>
      <c r="O1146" s="2" t="s">
        <v>230</v>
      </c>
      <c r="P1146" s="2" t="s">
        <v>721</v>
      </c>
      <c r="Q1146" s="2" t="s">
        <v>232</v>
      </c>
      <c r="R1146" s="2" t="s">
        <v>233</v>
      </c>
      <c r="S1146" s="2" t="s">
        <v>233</v>
      </c>
      <c r="T1146" s="2" t="s">
        <v>233</v>
      </c>
      <c r="U1146" s="2" t="s">
        <v>329</v>
      </c>
      <c r="V1146" s="2" t="s">
        <v>609</v>
      </c>
      <c r="W1146" s="2" t="s">
        <v>233</v>
      </c>
      <c r="X1146" s="2" t="s">
        <v>233</v>
      </c>
      <c r="Y1146" s="2" t="s">
        <v>4945</v>
      </c>
      <c r="Z1146" s="4">
        <v>807</v>
      </c>
      <c r="AA1146" s="4">
        <f>=ROUNDDOWN(201.75,0)</f>
      </c>
      <c r="AB1146" s="5">
        <v>4</v>
      </c>
      <c r="AC1146" s="2" t="s">
        <v>233</v>
      </c>
      <c r="AD1146" s="4"/>
      <c r="AE1146" s="4"/>
      <c r="AF1146" s="6">
        <v>64</v>
      </c>
      <c r="AG1146" s="6"/>
      <c r="AH1146" s="7">
        <v>1</v>
      </c>
      <c r="AI1146" s="4"/>
      <c r="AJ1146" s="4">
        <f>=ROUNDDOWN({0},0)</f>
      </c>
      <c r="AK1146" s="5"/>
      <c r="AL1146" s="2" t="s">
        <v>233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/>
      <c r="BD1146" s="8"/>
      <c r="BE1146" s="4"/>
      <c r="BF1146" s="8"/>
      <c r="BG1146" s="7"/>
      <c r="BH1146" s="7"/>
      <c r="BI1146" s="7"/>
      <c r="BJ1146" s="4">
        <v>23</v>
      </c>
      <c r="BK1146" s="8">
        <v>522.94</v>
      </c>
      <c r="BL1146" s="2" t="s">
        <v>3195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5664</v>
      </c>
      <c r="BV1146" s="2" t="s">
        <v>233</v>
      </c>
      <c r="BW1146" s="2" t="s">
        <v>233</v>
      </c>
      <c r="BX1146" s="2" t="s">
        <v>241</v>
      </c>
      <c r="BY1146" s="2" t="s">
        <v>242</v>
      </c>
      <c r="BZ1146" s="2" t="s">
        <v>230</v>
      </c>
      <c r="CA1146" s="2" t="s">
        <v>3197</v>
      </c>
      <c r="CB1146" s="2" t="s">
        <v>3978</v>
      </c>
      <c r="CC1146" s="2" t="s">
        <v>245</v>
      </c>
      <c r="CD1146" s="2" t="s">
        <v>233</v>
      </c>
      <c r="CE1146" s="4"/>
      <c r="CF1146" s="4">
        <v>807</v>
      </c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>
        <v>810</v>
      </c>
      <c r="GD1146" s="4">
        <v>803</v>
      </c>
      <c r="GE1146" s="4">
        <v>797</v>
      </c>
      <c r="GF1146" s="4">
        <v>792</v>
      </c>
      <c r="GG1146" s="4">
        <v>785</v>
      </c>
      <c r="GH1146" s="4">
        <v>778</v>
      </c>
      <c r="GI1146" s="4">
        <v>770</v>
      </c>
      <c r="GJ1146" s="4">
        <v>759</v>
      </c>
      <c r="GK1146" s="4">
        <v>755</v>
      </c>
      <c r="GL1146" s="4">
        <v>751</v>
      </c>
      <c r="GM1146" s="4">
        <v>746</v>
      </c>
      <c r="GN1146" s="4">
        <v>741</v>
      </c>
      <c r="GO1146" s="4">
        <v>736</v>
      </c>
      <c r="GP1146" s="4">
        <v>731</v>
      </c>
      <c r="GQ1146" s="4">
        <v>726</v>
      </c>
      <c r="GR1146" s="4">
        <v>722</v>
      </c>
      <c r="GS1146" s="4">
        <v>718</v>
      </c>
      <c r="GT1146" s="4">
        <v>714</v>
      </c>
      <c r="GU1146" s="4">
        <v>710</v>
      </c>
      <c r="GV1146" s="4">
        <v>706</v>
      </c>
      <c r="GW1146" s="4">
        <v>702</v>
      </c>
      <c r="GX1146" s="4">
        <v>698</v>
      </c>
      <c r="GY1146" s="4">
        <v>694</v>
      </c>
      <c r="GZ1146" s="4">
        <v>690</v>
      </c>
      <c r="HA1146" s="4">
        <v>686</v>
      </c>
      <c r="HB1146" s="4">
        <v>682</v>
      </c>
      <c r="HC1146" s="19">
        <v>135</v>
      </c>
      <c r="HD1146" s="19">
        <v>133.8</v>
      </c>
      <c r="HE1146" s="19">
        <v>113.9</v>
      </c>
      <c r="HF1146" s="19">
        <v>99</v>
      </c>
      <c r="HG1146" s="19">
        <v>98.1</v>
      </c>
      <c r="HH1146" s="19">
        <v>111.1</v>
      </c>
      <c r="HI1146" s="19">
        <v>128.3</v>
      </c>
      <c r="HJ1146" s="19">
        <v>189.8</v>
      </c>
      <c r="HK1146" s="19">
        <v>151</v>
      </c>
      <c r="HL1146" s="19">
        <v>150.2</v>
      </c>
      <c r="HM1146" s="19">
        <v>149.2</v>
      </c>
      <c r="HN1146" s="19">
        <v>148.2</v>
      </c>
      <c r="HO1146" s="19">
        <v>184</v>
      </c>
      <c r="HP1146" s="19">
        <v>182.8</v>
      </c>
      <c r="HQ1146" s="19">
        <v>181.5</v>
      </c>
      <c r="HR1146" s="19">
        <v>180.5</v>
      </c>
      <c r="HS1146" s="19">
        <v>179.5</v>
      </c>
      <c r="HT1146" s="19">
        <v>178.5</v>
      </c>
      <c r="HU1146" s="19">
        <v>177.5</v>
      </c>
      <c r="HV1146" s="19">
        <v>176.5</v>
      </c>
      <c r="HW1146" s="19">
        <v>175.5</v>
      </c>
      <c r="HX1146" s="19">
        <v>174.5</v>
      </c>
      <c r="HY1146" s="19">
        <v>173.5</v>
      </c>
      <c r="HZ1146" s="19">
        <v>172.5</v>
      </c>
      <c r="IA1146" s="19">
        <v>171.5</v>
      </c>
      <c r="IB1146" s="19">
        <v>170.5</v>
      </c>
    </row>
    <row r="1147">
      <c r="A1147" s="2" t="s">
        <v>5665</v>
      </c>
      <c r="B1147" s="2" t="s">
        <v>825</v>
      </c>
      <c r="C1147" s="2" t="s">
        <v>5666</v>
      </c>
      <c r="D1147" s="2" t="s">
        <v>261</v>
      </c>
      <c r="E1147" s="2" t="s">
        <v>603</v>
      </c>
      <c r="F1147" s="2" t="s">
        <v>5359</v>
      </c>
      <c r="G1147" s="2" t="s">
        <v>5667</v>
      </c>
      <c r="H1147" s="2" t="s">
        <v>5668</v>
      </c>
      <c r="I1147" s="2" t="s">
        <v>5669</v>
      </c>
      <c r="J1147" s="2" t="s">
        <v>228</v>
      </c>
      <c r="K1147" s="2" t="s">
        <v>266</v>
      </c>
      <c r="L1147" s="3">
        <v>30.95</v>
      </c>
      <c r="M1147" s="3">
        <v>32.5</v>
      </c>
      <c r="N1147" s="3">
        <v>64.99</v>
      </c>
      <c r="O1147" s="2" t="s">
        <v>230</v>
      </c>
      <c r="P1147" s="2" t="s">
        <v>231</v>
      </c>
      <c r="Q1147" s="2" t="s">
        <v>232</v>
      </c>
      <c r="R1147" s="2" t="s">
        <v>233</v>
      </c>
      <c r="S1147" s="2" t="s">
        <v>5670</v>
      </c>
      <c r="T1147" s="2" t="s">
        <v>469</v>
      </c>
      <c r="U1147" s="2" t="s">
        <v>781</v>
      </c>
      <c r="V1147" s="2" t="s">
        <v>236</v>
      </c>
      <c r="W1147" s="2" t="s">
        <v>237</v>
      </c>
      <c r="X1147" s="2" t="s">
        <v>233</v>
      </c>
      <c r="Y1147" s="2" t="s">
        <v>5671</v>
      </c>
      <c r="Z1147" s="4">
        <v>599</v>
      </c>
      <c r="AA1147" s="4">
        <f>=ROUNDDOWN(49.9166666666667,0)</f>
      </c>
      <c r="AB1147" s="5">
        <v>12</v>
      </c>
      <c r="AC1147" s="2" t="s">
        <v>233</v>
      </c>
      <c r="AD1147" s="4"/>
      <c r="AE1147" s="4"/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233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233</v>
      </c>
      <c r="AW1147" s="8" t="s">
        <v>233</v>
      </c>
      <c r="AX1147" s="4" t="s">
        <v>233</v>
      </c>
      <c r="AY1147" s="8" t="s">
        <v>233</v>
      </c>
      <c r="AZ1147" s="7" t="s">
        <v>233</v>
      </c>
      <c r="BA1147" s="7" t="s">
        <v>233</v>
      </c>
      <c r="BB1147" s="7"/>
      <c r="BC1147" s="4" t="s">
        <v>233</v>
      </c>
      <c r="BD1147" s="8" t="s">
        <v>233</v>
      </c>
      <c r="BE1147" s="4" t="s">
        <v>233</v>
      </c>
      <c r="BF1147" s="8" t="s">
        <v>233</v>
      </c>
      <c r="BG1147" s="7" t="s">
        <v>233</v>
      </c>
      <c r="BH1147" s="7" t="s">
        <v>233</v>
      </c>
      <c r="BI1147" s="7"/>
      <c r="BJ1147" s="4">
        <v>47</v>
      </c>
      <c r="BK1147" s="8">
        <v>1702.64</v>
      </c>
      <c r="BL1147" s="2" t="s">
        <v>5672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5673</v>
      </c>
      <c r="BV1147" s="2" t="s">
        <v>233</v>
      </c>
      <c r="BW1147" s="2" t="s">
        <v>233</v>
      </c>
      <c r="BX1147" s="2" t="s">
        <v>293</v>
      </c>
      <c r="BY1147" s="2" t="s">
        <v>242</v>
      </c>
      <c r="BZ1147" s="2" t="s">
        <v>230</v>
      </c>
      <c r="CA1147" s="2" t="s">
        <v>1681</v>
      </c>
      <c r="CB1147" s="2" t="s">
        <v>902</v>
      </c>
      <c r="CC1147" s="2" t="s">
        <v>245</v>
      </c>
      <c r="CD1147" s="2" t="s">
        <v>233</v>
      </c>
      <c r="CE1147" s="4">
        <v>301</v>
      </c>
      <c r="CF1147" s="4">
        <v>298</v>
      </c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>
        <v>604</v>
      </c>
      <c r="GD1147" s="4">
        <v>557</v>
      </c>
      <c r="GE1147" s="4">
        <v>538</v>
      </c>
      <c r="GF1147" s="4">
        <v>519</v>
      </c>
      <c r="GG1147" s="4">
        <v>492</v>
      </c>
      <c r="GH1147" s="4">
        <v>470</v>
      </c>
      <c r="GI1147" s="4">
        <v>447</v>
      </c>
      <c r="GJ1147" s="4">
        <v>430</v>
      </c>
      <c r="GK1147" s="4">
        <v>421</v>
      </c>
      <c r="GL1147" s="4">
        <v>408</v>
      </c>
      <c r="GM1147" s="4">
        <v>395</v>
      </c>
      <c r="GN1147" s="4">
        <v>383</v>
      </c>
      <c r="GO1147" s="4">
        <v>370</v>
      </c>
      <c r="GP1147" s="4">
        <v>357</v>
      </c>
      <c r="GQ1147" s="4">
        <v>344</v>
      </c>
      <c r="GR1147" s="4">
        <v>331</v>
      </c>
      <c r="GS1147" s="4">
        <v>319</v>
      </c>
      <c r="GT1147" s="4">
        <v>306</v>
      </c>
      <c r="GU1147" s="4">
        <v>294</v>
      </c>
      <c r="GV1147" s="4">
        <v>281</v>
      </c>
      <c r="GW1147" s="4">
        <v>268</v>
      </c>
      <c r="GX1147" s="4">
        <v>255</v>
      </c>
      <c r="GY1147" s="4">
        <v>242</v>
      </c>
      <c r="GZ1147" s="4">
        <v>231</v>
      </c>
      <c r="HA1147" s="4">
        <v>219</v>
      </c>
      <c r="HB1147" s="4">
        <v>208</v>
      </c>
      <c r="HC1147" s="19">
        <v>21.6</v>
      </c>
      <c r="HD1147" s="19">
        <v>25.3</v>
      </c>
      <c r="HE1147" s="19">
        <v>23.4</v>
      </c>
      <c r="HF1147" s="19">
        <v>23.6</v>
      </c>
      <c r="HG1147" s="19">
        <v>27.3</v>
      </c>
      <c r="HH1147" s="19">
        <v>29.4</v>
      </c>
      <c r="HI1147" s="19">
        <v>34.4</v>
      </c>
      <c r="HJ1147" s="19">
        <v>35.8</v>
      </c>
      <c r="HK1147" s="19">
        <v>32.4</v>
      </c>
      <c r="HL1147" s="19">
        <v>31.4</v>
      </c>
      <c r="HM1147" s="19">
        <v>30.4</v>
      </c>
      <c r="HN1147" s="19">
        <v>29.5</v>
      </c>
      <c r="HO1147" s="19">
        <v>28.5</v>
      </c>
      <c r="HP1147" s="19">
        <v>27.5</v>
      </c>
      <c r="HQ1147" s="19">
        <v>28.7</v>
      </c>
      <c r="HR1147" s="19">
        <v>27.6</v>
      </c>
      <c r="HS1147" s="19">
        <v>24.5</v>
      </c>
      <c r="HT1147" s="19">
        <v>23.5</v>
      </c>
      <c r="HU1147" s="19">
        <v>22.6</v>
      </c>
      <c r="HV1147" s="19">
        <v>23.4</v>
      </c>
      <c r="HW1147" s="19">
        <v>22.3</v>
      </c>
      <c r="HX1147" s="19">
        <v>21.3</v>
      </c>
      <c r="HY1147" s="19">
        <v>22</v>
      </c>
      <c r="HZ1147" s="19">
        <v>19.3</v>
      </c>
      <c r="IA1147" s="19">
        <v>18.3</v>
      </c>
      <c r="IB1147" s="19">
        <v>17.3</v>
      </c>
    </row>
    <row r="1148">
      <c r="A1148" s="2" t="s">
        <v>5674</v>
      </c>
      <c r="B1148" s="2" t="s">
        <v>825</v>
      </c>
      <c r="C1148" s="2" t="s">
        <v>5666</v>
      </c>
      <c r="D1148" s="2" t="s">
        <v>261</v>
      </c>
      <c r="E1148" s="2" t="s">
        <v>603</v>
      </c>
      <c r="F1148" s="2" t="s">
        <v>5359</v>
      </c>
      <c r="G1148" s="2" t="s">
        <v>5667</v>
      </c>
      <c r="H1148" s="2" t="s">
        <v>5668</v>
      </c>
      <c r="I1148" s="2" t="s">
        <v>5669</v>
      </c>
      <c r="J1148" s="2" t="s">
        <v>265</v>
      </c>
      <c r="K1148" s="2" t="s">
        <v>266</v>
      </c>
      <c r="L1148" s="3">
        <v>38.09</v>
      </c>
      <c r="M1148" s="3">
        <v>39.99</v>
      </c>
      <c r="N1148" s="3">
        <v>79.99</v>
      </c>
      <c r="O1148" s="2" t="s">
        <v>230</v>
      </c>
      <c r="P1148" s="2" t="s">
        <v>231</v>
      </c>
      <c r="Q1148" s="2" t="s">
        <v>232</v>
      </c>
      <c r="R1148" s="2" t="s">
        <v>233</v>
      </c>
      <c r="S1148" s="2" t="s">
        <v>5670</v>
      </c>
      <c r="T1148" s="2" t="s">
        <v>469</v>
      </c>
      <c r="U1148" s="2" t="s">
        <v>287</v>
      </c>
      <c r="V1148" s="2" t="s">
        <v>236</v>
      </c>
      <c r="W1148" s="2" t="s">
        <v>237</v>
      </c>
      <c r="X1148" s="2" t="s">
        <v>233</v>
      </c>
      <c r="Y1148" s="2" t="s">
        <v>5671</v>
      </c>
      <c r="Z1148" s="4">
        <v>489</v>
      </c>
      <c r="AA1148" s="4">
        <f>=ROUNDDOWN(54.3333333333333,0)</f>
      </c>
      <c r="AB1148" s="5">
        <v>9</v>
      </c>
      <c r="AC1148" s="2" t="s">
        <v>233</v>
      </c>
      <c r="AD1148" s="4"/>
      <c r="AE1148" s="4"/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233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233</v>
      </c>
      <c r="AW1148" s="8" t="s">
        <v>233</v>
      </c>
      <c r="AX1148" s="4" t="s">
        <v>233</v>
      </c>
      <c r="AY1148" s="8" t="s">
        <v>233</v>
      </c>
      <c r="AZ1148" s="7" t="s">
        <v>233</v>
      </c>
      <c r="BA1148" s="7" t="s">
        <v>233</v>
      </c>
      <c r="BB1148" s="7"/>
      <c r="BC1148" s="4" t="s">
        <v>233</v>
      </c>
      <c r="BD1148" s="8" t="s">
        <v>233</v>
      </c>
      <c r="BE1148" s="4" t="s">
        <v>233</v>
      </c>
      <c r="BF1148" s="8" t="s">
        <v>233</v>
      </c>
      <c r="BG1148" s="7" t="s">
        <v>233</v>
      </c>
      <c r="BH1148" s="7" t="s">
        <v>233</v>
      </c>
      <c r="BI1148" s="7"/>
      <c r="BJ1148" s="4">
        <v>22</v>
      </c>
      <c r="BK1148" s="8">
        <v>967.53</v>
      </c>
      <c r="BL1148" s="2" t="s">
        <v>5675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5673</v>
      </c>
      <c r="BV1148" s="2" t="s">
        <v>233</v>
      </c>
      <c r="BW1148" s="2" t="s">
        <v>233</v>
      </c>
      <c r="BX1148" s="2" t="s">
        <v>293</v>
      </c>
      <c r="BY1148" s="2" t="s">
        <v>242</v>
      </c>
      <c r="BZ1148" s="2" t="s">
        <v>230</v>
      </c>
      <c r="CA1148" s="2" t="s">
        <v>1681</v>
      </c>
      <c r="CB1148" s="2" t="s">
        <v>5676</v>
      </c>
      <c r="CC1148" s="2" t="s">
        <v>245</v>
      </c>
      <c r="CD1148" s="2" t="s">
        <v>233</v>
      </c>
      <c r="CE1148" s="4">
        <v>193</v>
      </c>
      <c r="CF1148" s="4">
        <v>296</v>
      </c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>
        <v>494</v>
      </c>
      <c r="GD1148" s="4">
        <v>434</v>
      </c>
      <c r="GE1148" s="4">
        <v>420</v>
      </c>
      <c r="GF1148" s="4">
        <v>404</v>
      </c>
      <c r="GG1148" s="4">
        <v>381</v>
      </c>
      <c r="GH1148" s="4">
        <v>362</v>
      </c>
      <c r="GI1148" s="4">
        <v>343</v>
      </c>
      <c r="GJ1148" s="4">
        <v>330</v>
      </c>
      <c r="GK1148" s="4">
        <v>323</v>
      </c>
      <c r="GL1148" s="4">
        <v>313</v>
      </c>
      <c r="GM1148" s="4">
        <v>304</v>
      </c>
      <c r="GN1148" s="4">
        <v>295</v>
      </c>
      <c r="GO1148" s="4">
        <v>286</v>
      </c>
      <c r="GP1148" s="4">
        <v>277</v>
      </c>
      <c r="GQ1148" s="4">
        <v>268</v>
      </c>
      <c r="GR1148" s="4">
        <v>259</v>
      </c>
      <c r="GS1148" s="4">
        <v>250</v>
      </c>
      <c r="GT1148" s="4">
        <v>240</v>
      </c>
      <c r="GU1148" s="4">
        <v>231</v>
      </c>
      <c r="GV1148" s="4">
        <v>221</v>
      </c>
      <c r="GW1148" s="4">
        <v>211</v>
      </c>
      <c r="GX1148" s="4">
        <v>201</v>
      </c>
      <c r="GY1148" s="4">
        <v>191</v>
      </c>
      <c r="GZ1148" s="4">
        <v>182</v>
      </c>
      <c r="HA1148" s="4">
        <v>173</v>
      </c>
      <c r="HB1148" s="4">
        <v>164</v>
      </c>
      <c r="HC1148" s="19">
        <v>17.6</v>
      </c>
      <c r="HD1148" s="19">
        <v>24.1</v>
      </c>
      <c r="HE1148" s="19">
        <v>22.1</v>
      </c>
      <c r="HF1148" s="19">
        <v>22.4</v>
      </c>
      <c r="HG1148" s="19">
        <v>27.2</v>
      </c>
      <c r="HH1148" s="19">
        <v>30.2</v>
      </c>
      <c r="HI1148" s="19">
        <v>34.3</v>
      </c>
      <c r="HJ1148" s="19">
        <v>36.7</v>
      </c>
      <c r="HK1148" s="19">
        <v>35.9</v>
      </c>
      <c r="HL1148" s="19">
        <v>34.8</v>
      </c>
      <c r="HM1148" s="19">
        <v>33.8</v>
      </c>
      <c r="HN1148" s="19">
        <v>32.8</v>
      </c>
      <c r="HO1148" s="19">
        <v>31.8</v>
      </c>
      <c r="HP1148" s="19">
        <v>30.8</v>
      </c>
      <c r="HQ1148" s="19">
        <v>29.8</v>
      </c>
      <c r="HR1148" s="19">
        <v>25.9</v>
      </c>
      <c r="HS1148" s="19">
        <v>25</v>
      </c>
      <c r="HT1148" s="19">
        <v>24</v>
      </c>
      <c r="HU1148" s="19">
        <v>23.1</v>
      </c>
      <c r="HV1148" s="19">
        <v>22.1</v>
      </c>
      <c r="HW1148" s="19">
        <v>21.1</v>
      </c>
      <c r="HX1148" s="19">
        <v>22.3</v>
      </c>
      <c r="HY1148" s="19">
        <v>21.2</v>
      </c>
      <c r="HZ1148" s="19">
        <v>20.2</v>
      </c>
      <c r="IA1148" s="19">
        <v>21.6</v>
      </c>
      <c r="IB1148" s="19">
        <v>20.5</v>
      </c>
    </row>
    <row r="1149">
      <c r="A1149" s="2" t="s">
        <v>5677</v>
      </c>
      <c r="B1149" s="2" t="s">
        <v>736</v>
      </c>
      <c r="C1149" s="2" t="s">
        <v>812</v>
      </c>
      <c r="D1149" s="2" t="s">
        <v>737</v>
      </c>
      <c r="E1149" s="2" t="s">
        <v>2612</v>
      </c>
      <c r="F1149" s="2" t="s">
        <v>5678</v>
      </c>
      <c r="G1149" s="2" t="s">
        <v>5678</v>
      </c>
      <c r="H1149" s="2" t="s">
        <v>5678</v>
      </c>
      <c r="I1149" s="2" t="s">
        <v>5679</v>
      </c>
      <c r="J1149" s="2" t="s">
        <v>741</v>
      </c>
      <c r="K1149" s="2" t="s">
        <v>2996</v>
      </c>
      <c r="L1149" s="3">
        <v>38.09</v>
      </c>
      <c r="M1149" s="3">
        <v>39.99</v>
      </c>
      <c r="N1149" s="3">
        <v>79.99</v>
      </c>
      <c r="O1149" s="2" t="s">
        <v>230</v>
      </c>
      <c r="P1149" s="2" t="s">
        <v>231</v>
      </c>
      <c r="Q1149" s="2" t="s">
        <v>232</v>
      </c>
      <c r="R1149" s="2" t="s">
        <v>233</v>
      </c>
      <c r="S1149" s="2" t="s">
        <v>233</v>
      </c>
      <c r="T1149" s="2" t="s">
        <v>233</v>
      </c>
      <c r="U1149" s="2" t="s">
        <v>711</v>
      </c>
      <c r="V1149" s="2" t="s">
        <v>1268</v>
      </c>
      <c r="W1149" s="2" t="s">
        <v>1190</v>
      </c>
      <c r="X1149" s="2" t="s">
        <v>5680</v>
      </c>
      <c r="Y1149" s="2" t="s">
        <v>5681</v>
      </c>
      <c r="Z1149" s="4">
        <v>63</v>
      </c>
      <c r="AA1149" s="4">
        <f>=ROUNDDOWN(15.75,0)</f>
      </c>
      <c r="AB1149" s="5">
        <v>4</v>
      </c>
      <c r="AC1149" s="2" t="s">
        <v>746</v>
      </c>
      <c r="AD1149" s="4">
        <v>70</v>
      </c>
      <c r="AE1149" s="4">
        <v>70</v>
      </c>
      <c r="AF1149" s="6">
        <v>65</v>
      </c>
      <c r="AG1149" s="6"/>
      <c r="AH1149" s="7">
        <v>0.6452</v>
      </c>
      <c r="AI1149" s="4"/>
      <c r="AJ1149" s="4">
        <f>=ROUNDDOWN({0},0)</f>
      </c>
      <c r="AK1149" s="5"/>
      <c r="AL1149" s="2" t="s">
        <v>233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/>
      <c r="BD1149" s="8"/>
      <c r="BE1149" s="4"/>
      <c r="BF1149" s="8"/>
      <c r="BG1149" s="7"/>
      <c r="BH1149" s="7"/>
      <c r="BI1149" s="7"/>
      <c r="BJ1149" s="4">
        <v>4</v>
      </c>
      <c r="BK1149" s="8">
        <v>172.57</v>
      </c>
      <c r="BL1149" s="2" t="s">
        <v>5682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5683</v>
      </c>
      <c r="BV1149" s="2" t="s">
        <v>233</v>
      </c>
      <c r="BW1149" s="2" t="s">
        <v>233</v>
      </c>
      <c r="BX1149" s="2" t="s">
        <v>241</v>
      </c>
      <c r="BY1149" s="2" t="s">
        <v>242</v>
      </c>
      <c r="BZ1149" s="2" t="s">
        <v>230</v>
      </c>
      <c r="CA1149" s="2" t="s">
        <v>5684</v>
      </c>
      <c r="CB1149" s="2" t="s">
        <v>4892</v>
      </c>
      <c r="CC1149" s="2" t="s">
        <v>245</v>
      </c>
      <c r="CD1149" s="2" t="s">
        <v>233</v>
      </c>
      <c r="CE1149" s="4"/>
      <c r="CF1149" s="4">
        <v>63</v>
      </c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>
        <v>70</v>
      </c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>
        <v>67</v>
      </c>
      <c r="GD1149" s="4">
        <v>62</v>
      </c>
      <c r="GE1149" s="4">
        <v>59</v>
      </c>
      <c r="GF1149" s="4">
        <v>55</v>
      </c>
      <c r="GG1149" s="4">
        <v>51</v>
      </c>
      <c r="GH1149" s="4">
        <v>117</v>
      </c>
      <c r="GI1149" s="4">
        <v>112</v>
      </c>
      <c r="GJ1149" s="4">
        <v>108</v>
      </c>
      <c r="GK1149" s="4">
        <v>104</v>
      </c>
      <c r="GL1149" s="4">
        <v>100</v>
      </c>
      <c r="GM1149" s="4">
        <v>96</v>
      </c>
      <c r="GN1149" s="4">
        <v>92</v>
      </c>
      <c r="GO1149" s="4">
        <v>88</v>
      </c>
      <c r="GP1149" s="4">
        <v>84</v>
      </c>
      <c r="GQ1149" s="4">
        <v>80</v>
      </c>
      <c r="GR1149" s="4">
        <v>76</v>
      </c>
      <c r="GS1149" s="4">
        <v>72</v>
      </c>
      <c r="GT1149" s="4">
        <v>67</v>
      </c>
      <c r="GU1149" s="4">
        <v>63</v>
      </c>
      <c r="GV1149" s="4">
        <v>59</v>
      </c>
      <c r="GW1149" s="4">
        <v>55</v>
      </c>
      <c r="GX1149" s="4">
        <v>51</v>
      </c>
      <c r="GY1149" s="4">
        <v>47</v>
      </c>
      <c r="GZ1149" s="4">
        <v>43</v>
      </c>
      <c r="HA1149" s="4">
        <v>39</v>
      </c>
      <c r="HB1149" s="4">
        <v>35</v>
      </c>
      <c r="HC1149" s="19">
        <v>16.8</v>
      </c>
      <c r="HD1149" s="19">
        <v>15.5</v>
      </c>
      <c r="HE1149" s="19">
        <v>14.8</v>
      </c>
      <c r="HF1149" s="19">
        <v>13.8</v>
      </c>
      <c r="HG1149" s="19">
        <v>12.8</v>
      </c>
      <c r="HH1149" s="19">
        <v>29.3</v>
      </c>
      <c r="HI1149" s="19">
        <v>28</v>
      </c>
      <c r="HJ1149" s="19">
        <v>27</v>
      </c>
      <c r="HK1149" s="19">
        <v>26</v>
      </c>
      <c r="HL1149" s="19">
        <v>25</v>
      </c>
      <c r="HM1149" s="19">
        <v>24</v>
      </c>
      <c r="HN1149" s="19">
        <v>23</v>
      </c>
      <c r="HO1149" s="19">
        <v>22</v>
      </c>
      <c r="HP1149" s="19">
        <v>21</v>
      </c>
      <c r="HQ1149" s="19">
        <v>20</v>
      </c>
      <c r="HR1149" s="19">
        <v>19</v>
      </c>
      <c r="HS1149" s="19">
        <v>18</v>
      </c>
      <c r="HT1149" s="19">
        <v>16.8</v>
      </c>
      <c r="HU1149" s="19">
        <v>15.8</v>
      </c>
      <c r="HV1149" s="19">
        <v>14.8</v>
      </c>
      <c r="HW1149" s="19">
        <v>13.8</v>
      </c>
      <c r="HX1149" s="19">
        <v>12.8</v>
      </c>
      <c r="HY1149" s="19">
        <v>11.8</v>
      </c>
      <c r="HZ1149" s="19">
        <v>10.8</v>
      </c>
      <c r="IA1149" s="19">
        <v>9.8</v>
      </c>
      <c r="IB1149" s="19">
        <v>8.8</v>
      </c>
    </row>
    <row r="1150">
      <c r="A1150" s="2" t="s">
        <v>5685</v>
      </c>
      <c r="B1150" s="2" t="s">
        <v>872</v>
      </c>
      <c r="C1150" s="2" t="s">
        <v>280</v>
      </c>
      <c r="D1150" s="2" t="s">
        <v>884</v>
      </c>
      <c r="E1150" s="2" t="s">
        <v>3542</v>
      </c>
      <c r="F1150" s="2" t="s">
        <v>5686</v>
      </c>
      <c r="G1150" s="2" t="s">
        <v>5687</v>
      </c>
      <c r="H1150" s="2" t="s">
        <v>5688</v>
      </c>
      <c r="I1150" s="2" t="s">
        <v>5689</v>
      </c>
      <c r="J1150" s="2" t="s">
        <v>265</v>
      </c>
      <c r="K1150" s="2" t="s">
        <v>5690</v>
      </c>
      <c r="L1150" s="3">
        <v>36.8</v>
      </c>
      <c r="M1150" s="3">
        <v>38.64</v>
      </c>
      <c r="N1150" s="3">
        <v>79.99</v>
      </c>
      <c r="O1150" s="2" t="s">
        <v>230</v>
      </c>
      <c r="P1150" s="2" t="s">
        <v>231</v>
      </c>
      <c r="Q1150" s="2" t="s">
        <v>232</v>
      </c>
      <c r="R1150" s="2" t="s">
        <v>233</v>
      </c>
      <c r="S1150" s="2" t="s">
        <v>5691</v>
      </c>
      <c r="T1150" s="2" t="s">
        <v>469</v>
      </c>
      <c r="U1150" s="2" t="s">
        <v>781</v>
      </c>
      <c r="V1150" s="2" t="s">
        <v>914</v>
      </c>
      <c r="W1150" s="2" t="s">
        <v>915</v>
      </c>
      <c r="X1150" s="2" t="s">
        <v>3873</v>
      </c>
      <c r="Y1150" s="2" t="s">
        <v>5692</v>
      </c>
      <c r="Z1150" s="4">
        <v>1150</v>
      </c>
      <c r="AA1150" s="4">
        <f>=ROUNDDOWN(69.6969696969697,0)</f>
      </c>
      <c r="AB1150" s="5">
        <v>16.5</v>
      </c>
      <c r="AC1150" s="2" t="s">
        <v>233</v>
      </c>
      <c r="AD1150" s="4"/>
      <c r="AE1150" s="4"/>
      <c r="AF1150" s="6">
        <v>65</v>
      </c>
      <c r="AG1150" s="6"/>
      <c r="AH1150" s="7">
        <v>1</v>
      </c>
      <c r="AI1150" s="4"/>
      <c r="AJ1150" s="4">
        <f>=ROUNDDOWN({0},0)</f>
      </c>
      <c r="AK1150" s="5"/>
      <c r="AL1150" s="2" t="s">
        <v>233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233</v>
      </c>
      <c r="AW1150" s="8" t="s">
        <v>233</v>
      </c>
      <c r="AX1150" s="4" t="s">
        <v>233</v>
      </c>
      <c r="AY1150" s="8" t="s">
        <v>233</v>
      </c>
      <c r="AZ1150" s="7" t="s">
        <v>233</v>
      </c>
      <c r="BA1150" s="7" t="s">
        <v>233</v>
      </c>
      <c r="BB1150" s="7"/>
      <c r="BC1150" s="4" t="s">
        <v>233</v>
      </c>
      <c r="BD1150" s="8" t="s">
        <v>233</v>
      </c>
      <c r="BE1150" s="4" t="s">
        <v>233</v>
      </c>
      <c r="BF1150" s="8" t="s">
        <v>233</v>
      </c>
      <c r="BG1150" s="7" t="s">
        <v>233</v>
      </c>
      <c r="BH1150" s="7" t="s">
        <v>233</v>
      </c>
      <c r="BI1150" s="7"/>
      <c r="BJ1150" s="4">
        <v>163</v>
      </c>
      <c r="BK1150" s="8">
        <v>6039.02</v>
      </c>
      <c r="BL1150" s="2" t="s">
        <v>5693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5694</v>
      </c>
      <c r="BV1150" s="2" t="s">
        <v>233</v>
      </c>
      <c r="BW1150" s="2" t="s">
        <v>233</v>
      </c>
      <c r="BX1150" s="2" t="s">
        <v>241</v>
      </c>
      <c r="BY1150" s="2" t="s">
        <v>242</v>
      </c>
      <c r="BZ1150" s="2" t="s">
        <v>230</v>
      </c>
      <c r="CA1150" s="2" t="s">
        <v>315</v>
      </c>
      <c r="CB1150" s="2" t="s">
        <v>5695</v>
      </c>
      <c r="CC1150" s="2" t="s">
        <v>245</v>
      </c>
      <c r="CD1150" s="2" t="s">
        <v>233</v>
      </c>
      <c r="CE1150" s="4">
        <v>417</v>
      </c>
      <c r="CF1150" s="4">
        <v>733</v>
      </c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>
        <v>1172</v>
      </c>
      <c r="GD1150" s="4">
        <v>1106</v>
      </c>
      <c r="GE1150" s="4">
        <v>1065</v>
      </c>
      <c r="GF1150" s="4">
        <v>1012</v>
      </c>
      <c r="GG1150" s="4">
        <v>892</v>
      </c>
      <c r="GH1150" s="4">
        <v>808</v>
      </c>
      <c r="GI1150" s="4">
        <v>718</v>
      </c>
      <c r="GJ1150" s="4">
        <v>692</v>
      </c>
      <c r="GK1150" s="4">
        <v>675</v>
      </c>
      <c r="GL1150" s="4">
        <v>649</v>
      </c>
      <c r="GM1150" s="4">
        <v>623</v>
      </c>
      <c r="GN1150" s="4">
        <v>597</v>
      </c>
      <c r="GO1150" s="4">
        <v>571</v>
      </c>
      <c r="GP1150" s="4">
        <v>545</v>
      </c>
      <c r="GQ1150" s="4">
        <v>519</v>
      </c>
      <c r="GR1150" s="4">
        <v>502</v>
      </c>
      <c r="GS1150" s="4">
        <v>485</v>
      </c>
      <c r="GT1150" s="4">
        <v>466</v>
      </c>
      <c r="GU1150" s="4">
        <v>449</v>
      </c>
      <c r="GV1150" s="4">
        <v>432</v>
      </c>
      <c r="GW1150" s="4">
        <v>415</v>
      </c>
      <c r="GX1150" s="4">
        <v>398</v>
      </c>
      <c r="GY1150" s="4">
        <v>381</v>
      </c>
      <c r="GZ1150" s="4">
        <v>364</v>
      </c>
      <c r="HA1150" s="4">
        <v>347</v>
      </c>
      <c r="HB1150" s="4">
        <v>330</v>
      </c>
      <c r="HC1150" s="19">
        <v>16.7</v>
      </c>
      <c r="HD1150" s="19">
        <v>14.9</v>
      </c>
      <c r="HE1150" s="19">
        <v>12.2</v>
      </c>
      <c r="HF1150" s="19">
        <v>12.7</v>
      </c>
      <c r="HG1150" s="19">
        <v>16.5</v>
      </c>
      <c r="HH1150" s="19">
        <v>20.2</v>
      </c>
      <c r="HI1150" s="19">
        <v>29.9</v>
      </c>
      <c r="HJ1150" s="19">
        <v>28.8</v>
      </c>
      <c r="HK1150" s="19">
        <v>26</v>
      </c>
      <c r="HL1150" s="19">
        <v>25</v>
      </c>
      <c r="HM1150" s="19">
        <v>24</v>
      </c>
      <c r="HN1150" s="19">
        <v>24.9</v>
      </c>
      <c r="HO1150" s="19">
        <v>26</v>
      </c>
      <c r="HP1150" s="19">
        <v>27.3</v>
      </c>
      <c r="HQ1150" s="19">
        <v>28.8</v>
      </c>
      <c r="HR1150" s="19">
        <v>27.9</v>
      </c>
      <c r="HS1150" s="19">
        <v>26.9</v>
      </c>
      <c r="HT1150" s="19">
        <v>27.4</v>
      </c>
      <c r="HU1150" s="19">
        <v>26.4</v>
      </c>
      <c r="HV1150" s="19">
        <v>25.4</v>
      </c>
      <c r="HW1150" s="19">
        <v>24.4</v>
      </c>
      <c r="HX1150" s="19">
        <v>23.4</v>
      </c>
      <c r="HY1150" s="19">
        <v>22.4</v>
      </c>
      <c r="HZ1150" s="19">
        <v>21.4</v>
      </c>
      <c r="IA1150" s="19">
        <v>20.4</v>
      </c>
      <c r="IB1150" s="19">
        <v>19.4</v>
      </c>
    </row>
    <row r="1151">
      <c r="A1151" s="2" t="s">
        <v>5696</v>
      </c>
      <c r="B1151" s="2" t="s">
        <v>872</v>
      </c>
      <c r="C1151" s="2" t="s">
        <v>280</v>
      </c>
      <c r="D1151" s="2" t="s">
        <v>884</v>
      </c>
      <c r="E1151" s="2" t="s">
        <v>3542</v>
      </c>
      <c r="F1151" s="2" t="s">
        <v>5686</v>
      </c>
      <c r="G1151" s="2" t="s">
        <v>5687</v>
      </c>
      <c r="H1151" s="2" t="s">
        <v>5688</v>
      </c>
      <c r="I1151" s="2" t="s">
        <v>5689</v>
      </c>
      <c r="J1151" s="2" t="s">
        <v>275</v>
      </c>
      <c r="K1151" s="2" t="s">
        <v>5690</v>
      </c>
      <c r="L1151" s="3">
        <v>42.3</v>
      </c>
      <c r="M1151" s="3">
        <v>44.41</v>
      </c>
      <c r="N1151" s="3">
        <v>89.99</v>
      </c>
      <c r="O1151" s="2" t="s">
        <v>230</v>
      </c>
      <c r="P1151" s="2" t="s">
        <v>231</v>
      </c>
      <c r="Q1151" s="2" t="s">
        <v>232</v>
      </c>
      <c r="R1151" s="2" t="s">
        <v>233</v>
      </c>
      <c r="S1151" s="2" t="s">
        <v>5691</v>
      </c>
      <c r="T1151" s="2" t="s">
        <v>469</v>
      </c>
      <c r="U1151" s="2" t="s">
        <v>781</v>
      </c>
      <c r="V1151" s="2" t="s">
        <v>914</v>
      </c>
      <c r="W1151" s="2" t="s">
        <v>915</v>
      </c>
      <c r="X1151" s="2" t="s">
        <v>3873</v>
      </c>
      <c r="Y1151" s="2" t="s">
        <v>5692</v>
      </c>
      <c r="Z1151" s="4">
        <v>1229</v>
      </c>
      <c r="AA1151" s="4">
        <f>=ROUNDDOWN(73.5928143712575,0)</f>
      </c>
      <c r="AB1151" s="5">
        <v>16.7</v>
      </c>
      <c r="AC1151" s="2" t="s">
        <v>233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233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233</v>
      </c>
      <c r="AW1151" s="8" t="s">
        <v>233</v>
      </c>
      <c r="AX1151" s="4" t="s">
        <v>233</v>
      </c>
      <c r="AY1151" s="8" t="s">
        <v>233</v>
      </c>
      <c r="AZ1151" s="7" t="s">
        <v>233</v>
      </c>
      <c r="BA1151" s="7" t="s">
        <v>233</v>
      </c>
      <c r="BB1151" s="7"/>
      <c r="BC1151" s="4" t="s">
        <v>233</v>
      </c>
      <c r="BD1151" s="8" t="s">
        <v>233</v>
      </c>
      <c r="BE1151" s="4" t="s">
        <v>233</v>
      </c>
      <c r="BF1151" s="8" t="s">
        <v>233</v>
      </c>
      <c r="BG1151" s="7" t="s">
        <v>233</v>
      </c>
      <c r="BH1151" s="7" t="s">
        <v>233</v>
      </c>
      <c r="BI1151" s="7"/>
      <c r="BJ1151" s="4">
        <v>168</v>
      </c>
      <c r="BK1151" s="8">
        <v>7103.21</v>
      </c>
      <c r="BL1151" s="2" t="s">
        <v>5693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5694</v>
      </c>
      <c r="BV1151" s="2" t="s">
        <v>233</v>
      </c>
      <c r="BW1151" s="2" t="s">
        <v>233</v>
      </c>
      <c r="BX1151" s="2" t="s">
        <v>241</v>
      </c>
      <c r="BY1151" s="2" t="s">
        <v>242</v>
      </c>
      <c r="BZ1151" s="2" t="s">
        <v>230</v>
      </c>
      <c r="CA1151" s="2" t="s">
        <v>315</v>
      </c>
      <c r="CB1151" s="2" t="s">
        <v>5697</v>
      </c>
      <c r="CC1151" s="2" t="s">
        <v>245</v>
      </c>
      <c r="CD1151" s="2" t="s">
        <v>233</v>
      </c>
      <c r="CE1151" s="4">
        <v>258</v>
      </c>
      <c r="CF1151" s="4">
        <v>971</v>
      </c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>
        <v>1251</v>
      </c>
      <c r="GD1151" s="4">
        <v>1134</v>
      </c>
      <c r="GE1151" s="4">
        <v>1085</v>
      </c>
      <c r="GF1151" s="4">
        <v>1023</v>
      </c>
      <c r="GG1151" s="4">
        <v>884</v>
      </c>
      <c r="GH1151" s="4">
        <v>806</v>
      </c>
      <c r="GI1151" s="4">
        <v>723</v>
      </c>
      <c r="GJ1151" s="4">
        <v>696</v>
      </c>
      <c r="GK1151" s="4">
        <v>680</v>
      </c>
      <c r="GL1151" s="4">
        <v>643</v>
      </c>
      <c r="GM1151" s="4">
        <v>606</v>
      </c>
      <c r="GN1151" s="4">
        <v>569</v>
      </c>
      <c r="GO1151" s="4">
        <v>532</v>
      </c>
      <c r="GP1151" s="4">
        <v>495</v>
      </c>
      <c r="GQ1151" s="4">
        <v>458</v>
      </c>
      <c r="GR1151" s="4">
        <v>441</v>
      </c>
      <c r="GS1151" s="4">
        <v>424</v>
      </c>
      <c r="GT1151" s="4">
        <v>406</v>
      </c>
      <c r="GU1151" s="4">
        <v>389</v>
      </c>
      <c r="GV1151" s="4">
        <v>372</v>
      </c>
      <c r="GW1151" s="4">
        <v>355</v>
      </c>
      <c r="GX1151" s="4">
        <v>338</v>
      </c>
      <c r="GY1151" s="4">
        <v>321</v>
      </c>
      <c r="GZ1151" s="4">
        <v>304</v>
      </c>
      <c r="HA1151" s="4">
        <v>287</v>
      </c>
      <c r="HB1151" s="4">
        <v>270</v>
      </c>
      <c r="HC1151" s="19">
        <v>13.6</v>
      </c>
      <c r="HD1151" s="19">
        <v>13.8</v>
      </c>
      <c r="HE1151" s="19">
        <v>12.1</v>
      </c>
      <c r="HF1151" s="19">
        <v>12.5</v>
      </c>
      <c r="HG1151" s="19">
        <v>17.3</v>
      </c>
      <c r="HH1151" s="19">
        <v>19.7</v>
      </c>
      <c r="HI1151" s="19">
        <v>24.9</v>
      </c>
      <c r="HJ1151" s="19">
        <v>21.8</v>
      </c>
      <c r="HK1151" s="19">
        <v>18.4</v>
      </c>
      <c r="HL1151" s="19">
        <v>17.4</v>
      </c>
      <c r="HM1151" s="19">
        <v>16.4</v>
      </c>
      <c r="HN1151" s="19">
        <v>17.8</v>
      </c>
      <c r="HO1151" s="19">
        <v>19.7</v>
      </c>
      <c r="HP1151" s="19">
        <v>22.5</v>
      </c>
      <c r="HQ1151" s="19">
        <v>26.9</v>
      </c>
      <c r="HR1151" s="19">
        <v>25.9</v>
      </c>
      <c r="HS1151" s="19">
        <v>24.9</v>
      </c>
      <c r="HT1151" s="19">
        <v>23.9</v>
      </c>
      <c r="HU1151" s="19">
        <v>22.9</v>
      </c>
      <c r="HV1151" s="19">
        <v>21.9</v>
      </c>
      <c r="HW1151" s="19">
        <v>20.9</v>
      </c>
      <c r="HX1151" s="19">
        <v>19.9</v>
      </c>
      <c r="HY1151" s="19">
        <v>18.9</v>
      </c>
      <c r="HZ1151" s="19">
        <v>17.9</v>
      </c>
      <c r="IA1151" s="19">
        <v>16.9</v>
      </c>
      <c r="IB1151" s="19">
        <v>15.9</v>
      </c>
    </row>
    <row r="1152">
      <c r="A1152" s="2" t="s">
        <v>5698</v>
      </c>
      <c r="B1152" s="2" t="s">
        <v>872</v>
      </c>
      <c r="C1152" s="2" t="s">
        <v>280</v>
      </c>
      <c r="D1152" s="2" t="s">
        <v>884</v>
      </c>
      <c r="E1152" s="2" t="s">
        <v>3542</v>
      </c>
      <c r="F1152" s="2" t="s">
        <v>5686</v>
      </c>
      <c r="G1152" s="2" t="s">
        <v>5687</v>
      </c>
      <c r="H1152" s="2" t="s">
        <v>5688</v>
      </c>
      <c r="I1152" s="2" t="s">
        <v>5689</v>
      </c>
      <c r="J1152" s="2" t="s">
        <v>275</v>
      </c>
      <c r="K1152" s="2" t="s">
        <v>5699</v>
      </c>
      <c r="L1152" s="3">
        <v>42.3</v>
      </c>
      <c r="M1152" s="3">
        <v>44.41</v>
      </c>
      <c r="N1152" s="3">
        <v>89.99</v>
      </c>
      <c r="O1152" s="2" t="s">
        <v>230</v>
      </c>
      <c r="P1152" s="2" t="s">
        <v>231</v>
      </c>
      <c r="Q1152" s="2" t="s">
        <v>232</v>
      </c>
      <c r="R1152" s="2" t="s">
        <v>233</v>
      </c>
      <c r="S1152" s="2" t="s">
        <v>5700</v>
      </c>
      <c r="T1152" s="2" t="s">
        <v>469</v>
      </c>
      <c r="U1152" s="2" t="s">
        <v>781</v>
      </c>
      <c r="V1152" s="2" t="s">
        <v>914</v>
      </c>
      <c r="W1152" s="2" t="s">
        <v>915</v>
      </c>
      <c r="X1152" s="2" t="s">
        <v>3873</v>
      </c>
      <c r="Y1152" s="2" t="s">
        <v>5701</v>
      </c>
      <c r="Z1152" s="4">
        <v>784</v>
      </c>
      <c r="AA1152" s="4">
        <f>=ROUNDDOWN(65.3333333333333,0)</f>
      </c>
      <c r="AB1152" s="5">
        <v>12</v>
      </c>
      <c r="AC1152" s="2" t="s">
        <v>233</v>
      </c>
      <c r="AD1152" s="4"/>
      <c r="AE1152" s="4"/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233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 t="s">
        <v>233</v>
      </c>
      <c r="BD1152" s="8" t="s">
        <v>233</v>
      </c>
      <c r="BE1152" s="4" t="s">
        <v>233</v>
      </c>
      <c r="BF1152" s="8" t="s">
        <v>233</v>
      </c>
      <c r="BG1152" s="7" t="s">
        <v>233</v>
      </c>
      <c r="BH1152" s="7" t="s">
        <v>233</v>
      </c>
      <c r="BI1152" s="7"/>
      <c r="BJ1152" s="4">
        <v>144</v>
      </c>
      <c r="BK1152" s="8">
        <v>6167.8</v>
      </c>
      <c r="BL1152" s="2" t="s">
        <v>5702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5694</v>
      </c>
      <c r="BV1152" s="2" t="s">
        <v>233</v>
      </c>
      <c r="BW1152" s="2" t="s">
        <v>233</v>
      </c>
      <c r="BX1152" s="2" t="s">
        <v>241</v>
      </c>
      <c r="BY1152" s="2" t="s">
        <v>242</v>
      </c>
      <c r="BZ1152" s="2" t="s">
        <v>230</v>
      </c>
      <c r="CA1152" s="2" t="s">
        <v>2726</v>
      </c>
      <c r="CB1152" s="2" t="s">
        <v>4794</v>
      </c>
      <c r="CC1152" s="2" t="s">
        <v>245</v>
      </c>
      <c r="CD1152" s="2" t="s">
        <v>233</v>
      </c>
      <c r="CE1152" s="4">
        <v>603</v>
      </c>
      <c r="CF1152" s="4">
        <v>181</v>
      </c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>
        <v>805</v>
      </c>
      <c r="GD1152" s="4">
        <v>701</v>
      </c>
      <c r="GE1152" s="4">
        <v>667</v>
      </c>
      <c r="GF1152" s="4">
        <v>625</v>
      </c>
      <c r="GG1152" s="4">
        <v>533</v>
      </c>
      <c r="GH1152" s="4">
        <v>480</v>
      </c>
      <c r="GI1152" s="4">
        <v>424</v>
      </c>
      <c r="GJ1152" s="4">
        <v>404</v>
      </c>
      <c r="GK1152" s="4">
        <v>393</v>
      </c>
      <c r="GL1152" s="4">
        <v>368</v>
      </c>
      <c r="GM1152" s="4">
        <v>343</v>
      </c>
      <c r="GN1152" s="4">
        <v>318</v>
      </c>
      <c r="GO1152" s="4">
        <v>293</v>
      </c>
      <c r="GP1152" s="4">
        <v>268</v>
      </c>
      <c r="GQ1152" s="4">
        <v>243</v>
      </c>
      <c r="GR1152" s="4">
        <v>231</v>
      </c>
      <c r="GS1152" s="4">
        <v>219</v>
      </c>
      <c r="GT1152" s="4">
        <v>206</v>
      </c>
      <c r="GU1152" s="4">
        <v>194</v>
      </c>
      <c r="GV1152" s="4">
        <v>182</v>
      </c>
      <c r="GW1152" s="4">
        <v>170</v>
      </c>
      <c r="GX1152" s="4">
        <v>158</v>
      </c>
      <c r="GY1152" s="4">
        <v>146</v>
      </c>
      <c r="GZ1152" s="4">
        <v>134</v>
      </c>
      <c r="HA1152" s="4">
        <v>122</v>
      </c>
      <c r="HB1152" s="4">
        <v>110</v>
      </c>
      <c r="HC1152" s="19">
        <v>11.8</v>
      </c>
      <c r="HD1152" s="19">
        <v>12.7</v>
      </c>
      <c r="HE1152" s="19">
        <v>10.9</v>
      </c>
      <c r="HF1152" s="19">
        <v>11.4</v>
      </c>
      <c r="HG1152" s="19">
        <v>15.2</v>
      </c>
      <c r="HH1152" s="19">
        <v>17.1</v>
      </c>
      <c r="HI1152" s="19">
        <v>21.2</v>
      </c>
      <c r="HJ1152" s="19">
        <v>18.4</v>
      </c>
      <c r="HK1152" s="19">
        <v>15.7</v>
      </c>
      <c r="HL1152" s="19">
        <v>14.7</v>
      </c>
      <c r="HM1152" s="19">
        <v>13.7</v>
      </c>
      <c r="HN1152" s="19">
        <v>14.5</v>
      </c>
      <c r="HO1152" s="19">
        <v>16.3</v>
      </c>
      <c r="HP1152" s="19">
        <v>16.8</v>
      </c>
      <c r="HQ1152" s="19">
        <v>20.3</v>
      </c>
      <c r="HR1152" s="19">
        <v>19.3</v>
      </c>
      <c r="HS1152" s="19">
        <v>18.3</v>
      </c>
      <c r="HT1152" s="19">
        <v>17.2</v>
      </c>
      <c r="HU1152" s="19">
        <v>16.2</v>
      </c>
      <c r="HV1152" s="19">
        <v>15.2</v>
      </c>
      <c r="HW1152" s="19">
        <v>14.2</v>
      </c>
      <c r="HX1152" s="19">
        <v>13.2</v>
      </c>
      <c r="HY1152" s="19">
        <v>12.2</v>
      </c>
      <c r="HZ1152" s="19">
        <v>11.2</v>
      </c>
      <c r="IA1152" s="19">
        <v>10.2</v>
      </c>
      <c r="IB1152" s="19">
        <v>9.2</v>
      </c>
    </row>
    <row r="1153">
      <c r="A1153" s="2" t="s">
        <v>5703</v>
      </c>
      <c r="B1153" s="2" t="s">
        <v>872</v>
      </c>
      <c r="C1153" s="2" t="s">
        <v>280</v>
      </c>
      <c r="D1153" s="2" t="s">
        <v>261</v>
      </c>
      <c r="E1153" s="2" t="s">
        <v>603</v>
      </c>
      <c r="F1153" s="2" t="s">
        <v>5704</v>
      </c>
      <c r="G1153" s="2" t="s">
        <v>5705</v>
      </c>
      <c r="H1153" s="2" t="s">
        <v>5706</v>
      </c>
      <c r="I1153" s="2" t="s">
        <v>5707</v>
      </c>
      <c r="J1153" s="2" t="s">
        <v>256</v>
      </c>
      <c r="K1153" s="2" t="s">
        <v>458</v>
      </c>
      <c r="L1153" s="3">
        <v>76.49</v>
      </c>
      <c r="M1153" s="3">
        <v>80.32</v>
      </c>
      <c r="N1153" s="3">
        <v>149.99</v>
      </c>
      <c r="O1153" s="2" t="s">
        <v>230</v>
      </c>
      <c r="P1153" s="2" t="s">
        <v>231</v>
      </c>
      <c r="Q1153" s="2" t="s">
        <v>232</v>
      </c>
      <c r="R1153" s="2" t="s">
        <v>233</v>
      </c>
      <c r="S1153" s="2" t="s">
        <v>5708</v>
      </c>
      <c r="T1153" s="2" t="s">
        <v>233</v>
      </c>
      <c r="U1153" s="2" t="s">
        <v>635</v>
      </c>
      <c r="V1153" s="2" t="s">
        <v>945</v>
      </c>
      <c r="W1153" s="2" t="s">
        <v>620</v>
      </c>
      <c r="X1153" s="2" t="s">
        <v>1123</v>
      </c>
      <c r="Y1153" s="2" t="s">
        <v>238</v>
      </c>
      <c r="Z1153" s="4">
        <v>417</v>
      </c>
      <c r="AA1153" s="4">
        <f>=ROUNDDOWN(26.0625,0)</f>
      </c>
      <c r="AB1153" s="5">
        <v>16</v>
      </c>
      <c r="AC1153" s="2" t="s">
        <v>2901</v>
      </c>
      <c r="AD1153" s="4">
        <v>310</v>
      </c>
      <c r="AE1153" s="4">
        <v>310</v>
      </c>
      <c r="AF1153" s="6">
        <v>64</v>
      </c>
      <c r="AG1153" s="6">
        <v>47</v>
      </c>
      <c r="AH1153" s="7">
        <v>1</v>
      </c>
      <c r="AI1153" s="4"/>
      <c r="AJ1153" s="4">
        <f>=ROUNDDOWN({0},0)</f>
      </c>
      <c r="AK1153" s="5"/>
      <c r="AL1153" s="2" t="s">
        <v>233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/>
      <c r="BD1153" s="8"/>
      <c r="BE1153" s="4"/>
      <c r="BF1153" s="8"/>
      <c r="BG1153" s="7"/>
      <c r="BH1153" s="7"/>
      <c r="BI1153" s="7"/>
      <c r="BJ1153" s="4">
        <v>93</v>
      </c>
      <c r="BK1153" s="8">
        <v>7460.39</v>
      </c>
      <c r="BL1153" s="2" t="s">
        <v>5709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5710</v>
      </c>
      <c r="BV1153" s="2" t="s">
        <v>233</v>
      </c>
      <c r="BW1153" s="2" t="s">
        <v>233</v>
      </c>
      <c r="BX1153" s="2" t="s">
        <v>241</v>
      </c>
      <c r="BY1153" s="2" t="s">
        <v>242</v>
      </c>
      <c r="BZ1153" s="2" t="s">
        <v>230</v>
      </c>
      <c r="CA1153" s="2" t="s">
        <v>243</v>
      </c>
      <c r="CB1153" s="2" t="s">
        <v>1057</v>
      </c>
      <c r="CC1153" s="2" t="s">
        <v>245</v>
      </c>
      <c r="CD1153" s="2" t="s">
        <v>233</v>
      </c>
      <c r="CE1153" s="4"/>
      <c r="CF1153" s="4">
        <v>310</v>
      </c>
      <c r="CG1153" s="4"/>
      <c r="CH1153" s="4">
        <v>107</v>
      </c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>
        <v>310</v>
      </c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>
        <v>419</v>
      </c>
      <c r="GD1153" s="4">
        <v>398</v>
      </c>
      <c r="GE1153" s="4">
        <v>374</v>
      </c>
      <c r="GF1153" s="4">
        <v>347</v>
      </c>
      <c r="GG1153" s="4">
        <v>296</v>
      </c>
      <c r="GH1153" s="4">
        <v>269</v>
      </c>
      <c r="GI1153" s="4">
        <v>245</v>
      </c>
      <c r="GJ1153" s="4">
        <v>232</v>
      </c>
      <c r="GK1153" s="4">
        <v>222</v>
      </c>
      <c r="GL1153" s="4">
        <v>205</v>
      </c>
      <c r="GM1153" s="4">
        <v>190</v>
      </c>
      <c r="GN1153" s="4">
        <v>175</v>
      </c>
      <c r="GO1153" s="4">
        <v>470</v>
      </c>
      <c r="GP1153" s="4">
        <v>454</v>
      </c>
      <c r="GQ1153" s="4">
        <v>438</v>
      </c>
      <c r="GR1153" s="4">
        <v>422</v>
      </c>
      <c r="GS1153" s="4">
        <v>406</v>
      </c>
      <c r="GT1153" s="4">
        <v>388</v>
      </c>
      <c r="GU1153" s="4">
        <v>372</v>
      </c>
      <c r="GV1153" s="4">
        <v>356</v>
      </c>
      <c r="GW1153" s="4">
        <v>340</v>
      </c>
      <c r="GX1153" s="4">
        <v>324</v>
      </c>
      <c r="GY1153" s="4">
        <v>308</v>
      </c>
      <c r="GZ1153" s="4">
        <v>292</v>
      </c>
      <c r="HA1153" s="4">
        <v>276</v>
      </c>
      <c r="HB1153" s="4">
        <v>260</v>
      </c>
      <c r="HC1153" s="19">
        <v>15.8</v>
      </c>
      <c r="HD1153" s="19">
        <v>15.1</v>
      </c>
      <c r="HE1153" s="19">
        <v>14.3</v>
      </c>
      <c r="HF1153" s="19">
        <v>12.9</v>
      </c>
      <c r="HG1153" s="19">
        <v>14</v>
      </c>
      <c r="HH1153" s="19">
        <v>12.4</v>
      </c>
      <c r="HI1153" s="19">
        <v>8.8</v>
      </c>
      <c r="HJ1153" s="19">
        <v>8.3</v>
      </c>
      <c r="HK1153" s="19">
        <v>7</v>
      </c>
      <c r="HL1153" s="19">
        <v>7.9</v>
      </c>
      <c r="HM1153" s="19">
        <v>9.5</v>
      </c>
      <c r="HN1153" s="19">
        <v>11</v>
      </c>
      <c r="HO1153" s="19">
        <v>28.9</v>
      </c>
      <c r="HP1153" s="19">
        <v>27.9</v>
      </c>
      <c r="HQ1153" s="19">
        <v>26.9</v>
      </c>
      <c r="HR1153" s="19">
        <v>25.9</v>
      </c>
      <c r="HS1153" s="19">
        <v>24.9</v>
      </c>
      <c r="HT1153" s="19">
        <v>23.7</v>
      </c>
      <c r="HU1153" s="19">
        <v>22.7</v>
      </c>
      <c r="HV1153" s="19">
        <v>21.7</v>
      </c>
      <c r="HW1153" s="19">
        <v>20.7</v>
      </c>
      <c r="HX1153" s="19">
        <v>19.7</v>
      </c>
      <c r="HY1153" s="19">
        <v>18.7</v>
      </c>
      <c r="HZ1153" s="19">
        <v>17.7</v>
      </c>
      <c r="IA1153" s="19">
        <v>16.7</v>
      </c>
      <c r="IB1153" s="19">
        <v>15.7</v>
      </c>
    </row>
    <row r="1154">
      <c r="A1154" s="2" t="s">
        <v>5711</v>
      </c>
      <c r="B1154" s="2" t="s">
        <v>847</v>
      </c>
      <c r="C1154" s="2" t="s">
        <v>848</v>
      </c>
      <c r="D1154" s="2" t="s">
        <v>849</v>
      </c>
      <c r="E1154" s="2" t="s">
        <v>850</v>
      </c>
      <c r="F1154" s="2" t="s">
        <v>5712</v>
      </c>
      <c r="G1154" s="2" t="s">
        <v>5712</v>
      </c>
      <c r="H1154" s="2" t="s">
        <v>5712</v>
      </c>
      <c r="I1154" s="2" t="s">
        <v>5713</v>
      </c>
      <c r="J1154" s="2" t="s">
        <v>3455</v>
      </c>
      <c r="K1154" s="2" t="s">
        <v>2283</v>
      </c>
      <c r="L1154" s="3">
        <v>9.27</v>
      </c>
      <c r="M1154" s="3">
        <v>9.73</v>
      </c>
      <c r="N1154" s="3">
        <v>19.99</v>
      </c>
      <c r="O1154" s="2" t="s">
        <v>230</v>
      </c>
      <c r="P1154" s="2" t="s">
        <v>597</v>
      </c>
      <c r="Q1154" s="2" t="s">
        <v>232</v>
      </c>
      <c r="R1154" s="2" t="s">
        <v>233</v>
      </c>
      <c r="S1154" s="2" t="s">
        <v>233</v>
      </c>
      <c r="T1154" s="2" t="s">
        <v>233</v>
      </c>
      <c r="U1154" s="2" t="s">
        <v>329</v>
      </c>
      <c r="V1154" s="2" t="s">
        <v>609</v>
      </c>
      <c r="W1154" s="2" t="s">
        <v>237</v>
      </c>
      <c r="X1154" s="2" t="s">
        <v>233</v>
      </c>
      <c r="Y1154" s="2" t="s">
        <v>1734</v>
      </c>
      <c r="Z1154" s="4">
        <v>7</v>
      </c>
      <c r="AA1154" s="4">
        <f>=ROUNDDOWN(0.212121212121212,0)</f>
      </c>
      <c r="AB1154" s="5">
        <v>33</v>
      </c>
      <c r="AC1154" s="2" t="s">
        <v>490</v>
      </c>
      <c r="AD1154" s="4">
        <v>90</v>
      </c>
      <c r="AE1154" s="4">
        <v>870</v>
      </c>
      <c r="AF1154" s="6">
        <v>65</v>
      </c>
      <c r="AG1154" s="6"/>
      <c r="AH1154" s="7">
        <v>0.9032</v>
      </c>
      <c r="AI1154" s="4"/>
      <c r="AJ1154" s="4">
        <f>=ROUNDDOWN({0},0)</f>
      </c>
      <c r="AK1154" s="5"/>
      <c r="AL1154" s="2" t="s">
        <v>233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233</v>
      </c>
      <c r="AW1154" s="8" t="s">
        <v>233</v>
      </c>
      <c r="AX1154" s="4" t="s">
        <v>233</v>
      </c>
      <c r="AY1154" s="8" t="s">
        <v>233</v>
      </c>
      <c r="AZ1154" s="7" t="s">
        <v>233</v>
      </c>
      <c r="BA1154" s="7" t="s">
        <v>233</v>
      </c>
      <c r="BB1154" s="7"/>
      <c r="BC1154" s="4" t="s">
        <v>233</v>
      </c>
      <c r="BD1154" s="8" t="s">
        <v>233</v>
      </c>
      <c r="BE1154" s="4" t="s">
        <v>233</v>
      </c>
      <c r="BF1154" s="8" t="s">
        <v>233</v>
      </c>
      <c r="BG1154" s="7" t="s">
        <v>233</v>
      </c>
      <c r="BH1154" s="7" t="s">
        <v>233</v>
      </c>
      <c r="BI1154" s="7"/>
      <c r="BJ1154" s="4">
        <v>435</v>
      </c>
      <c r="BK1154" s="8">
        <v>4637.1</v>
      </c>
      <c r="BL1154" s="2" t="s">
        <v>861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5714</v>
      </c>
      <c r="BV1154" s="2" t="s">
        <v>233</v>
      </c>
      <c r="BW1154" s="2" t="s">
        <v>233</v>
      </c>
      <c r="BX1154" s="2" t="s">
        <v>241</v>
      </c>
      <c r="BY1154" s="2" t="s">
        <v>242</v>
      </c>
      <c r="BZ1154" s="2" t="s">
        <v>230</v>
      </c>
      <c r="CA1154" s="2" t="s">
        <v>3076</v>
      </c>
      <c r="CB1154" s="2" t="s">
        <v>4936</v>
      </c>
      <c r="CC1154" s="2" t="s">
        <v>245</v>
      </c>
      <c r="CD1154" s="2" t="s">
        <v>233</v>
      </c>
      <c r="CE1154" s="4">
        <v>2</v>
      </c>
      <c r="CF1154" s="4">
        <v>3</v>
      </c>
      <c r="CG1154" s="4"/>
      <c r="CH1154" s="4">
        <v>2</v>
      </c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>
        <v>90</v>
      </c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>
        <v>180</v>
      </c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>
        <v>300</v>
      </c>
      <c r="FR1154" s="4"/>
      <c r="FS1154" s="4"/>
      <c r="FT1154" s="4"/>
      <c r="FU1154" s="4"/>
      <c r="FV1154" s="4"/>
      <c r="FW1154" s="4"/>
      <c r="FX1154" s="4"/>
      <c r="FY1154" s="4"/>
      <c r="FZ1154" s="4"/>
      <c r="GA1154" s="4">
        <v>300</v>
      </c>
      <c r="GB1154" s="4"/>
      <c r="GC1154" s="4">
        <v>139</v>
      </c>
      <c r="GD1154" s="4">
        <v>132</v>
      </c>
      <c r="GE1154" s="4">
        <v>113</v>
      </c>
      <c r="GF1154" s="4">
        <v>74</v>
      </c>
      <c r="GG1154" s="4">
        <v>34</v>
      </c>
      <c r="GH1154" s="4"/>
      <c r="GI1154" s="4">
        <v>90</v>
      </c>
      <c r="GJ1154" s="4">
        <v>6</v>
      </c>
      <c r="GK1154" s="4"/>
      <c r="GL1154" s="4"/>
      <c r="GM1154" s="4">
        <v>180</v>
      </c>
      <c r="GN1154" s="4">
        <v>44</v>
      </c>
      <c r="GO1154" s="4">
        <v>11</v>
      </c>
      <c r="GP1154" s="4"/>
      <c r="GQ1154" s="4"/>
      <c r="GR1154" s="4"/>
      <c r="GS1154" s="4">
        <v>300</v>
      </c>
      <c r="GT1154" s="4">
        <v>149</v>
      </c>
      <c r="GU1154" s="4">
        <v>116</v>
      </c>
      <c r="GV1154" s="4">
        <v>399</v>
      </c>
      <c r="GW1154" s="4">
        <v>666</v>
      </c>
      <c r="GX1154" s="4">
        <v>633</v>
      </c>
      <c r="GY1154" s="4">
        <v>600</v>
      </c>
      <c r="GZ1154" s="4">
        <v>567</v>
      </c>
      <c r="HA1154" s="4">
        <v>531</v>
      </c>
      <c r="HB1154" s="4">
        <v>498</v>
      </c>
      <c r="HC1154" s="19">
        <v>5.3</v>
      </c>
      <c r="HD1154" s="19">
        <v>4</v>
      </c>
      <c r="HE1154" s="19">
        <v>3.9</v>
      </c>
      <c r="HF1154" s="19">
        <v>1.9</v>
      </c>
      <c r="HG1154" s="19">
        <v>1.1</v>
      </c>
      <c r="HH1154" s="20">
        <v>0</v>
      </c>
      <c r="HI1154" s="19">
        <v>3.9</v>
      </c>
      <c r="HJ1154" s="19">
        <v>0.2</v>
      </c>
      <c r="HK1154" s="20">
        <v>0</v>
      </c>
      <c r="HL1154" s="20">
        <v>0</v>
      </c>
      <c r="HM1154" s="19">
        <v>4</v>
      </c>
      <c r="HN1154" s="19">
        <v>3.7</v>
      </c>
      <c r="HO1154" s="19">
        <v>2.8</v>
      </c>
      <c r="HP1154" s="20">
        <v>0</v>
      </c>
      <c r="HQ1154" s="20">
        <v>0</v>
      </c>
      <c r="HR1154" s="20">
        <v>0</v>
      </c>
      <c r="HS1154" s="19">
        <v>4.8</v>
      </c>
      <c r="HT1154" s="19">
        <v>4.5</v>
      </c>
      <c r="HU1154" s="19">
        <v>3.5</v>
      </c>
      <c r="HV1154" s="19">
        <v>12.1</v>
      </c>
      <c r="HW1154" s="19">
        <v>19.6</v>
      </c>
      <c r="HX1154" s="19">
        <v>18.6</v>
      </c>
      <c r="HY1154" s="19">
        <v>17.6</v>
      </c>
      <c r="HZ1154" s="19">
        <v>16.7</v>
      </c>
      <c r="IA1154" s="19">
        <v>16.1</v>
      </c>
      <c r="IB1154" s="19">
        <v>14.6</v>
      </c>
    </row>
    <row r="1155">
      <c r="A1155" s="2" t="s">
        <v>5715</v>
      </c>
      <c r="B1155" s="2" t="s">
        <v>847</v>
      </c>
      <c r="C1155" s="2" t="s">
        <v>848</v>
      </c>
      <c r="D1155" s="2" t="s">
        <v>849</v>
      </c>
      <c r="E1155" s="2" t="s">
        <v>850</v>
      </c>
      <c r="F1155" s="2" t="s">
        <v>5712</v>
      </c>
      <c r="G1155" s="2" t="s">
        <v>5712</v>
      </c>
      <c r="H1155" s="2" t="s">
        <v>5712</v>
      </c>
      <c r="I1155" s="2" t="s">
        <v>5713</v>
      </c>
      <c r="J1155" s="2" t="s">
        <v>860</v>
      </c>
      <c r="K1155" s="2" t="s">
        <v>2283</v>
      </c>
      <c r="L1155" s="3">
        <v>11.12</v>
      </c>
      <c r="M1155" s="3">
        <v>11.68</v>
      </c>
      <c r="N1155" s="3">
        <v>25.99</v>
      </c>
      <c r="O1155" s="2" t="s">
        <v>230</v>
      </c>
      <c r="P1155" s="2" t="s">
        <v>597</v>
      </c>
      <c r="Q1155" s="2" t="s">
        <v>232</v>
      </c>
      <c r="R1155" s="2" t="s">
        <v>233</v>
      </c>
      <c r="S1155" s="2" t="s">
        <v>233</v>
      </c>
      <c r="T1155" s="2" t="s">
        <v>233</v>
      </c>
      <c r="U1155" s="2" t="s">
        <v>329</v>
      </c>
      <c r="V1155" s="2" t="s">
        <v>609</v>
      </c>
      <c r="W1155" s="2" t="s">
        <v>237</v>
      </c>
      <c r="X1155" s="2" t="s">
        <v>233</v>
      </c>
      <c r="Y1155" s="2" t="s">
        <v>1734</v>
      </c>
      <c r="Z1155" s="4">
        <v>56</v>
      </c>
      <c r="AA1155" s="4">
        <f>=ROUNDDOWN(1.55555555555556,0)</f>
      </c>
      <c r="AB1155" s="5">
        <v>36</v>
      </c>
      <c r="AC1155" s="2" t="s">
        <v>490</v>
      </c>
      <c r="AD1155" s="4">
        <v>270</v>
      </c>
      <c r="AE1155" s="4">
        <v>1038</v>
      </c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233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233</v>
      </c>
      <c r="AW1155" s="8" t="s">
        <v>233</v>
      </c>
      <c r="AX1155" s="4" t="s">
        <v>233</v>
      </c>
      <c r="AY1155" s="8" t="s">
        <v>233</v>
      </c>
      <c r="AZ1155" s="7" t="s">
        <v>233</v>
      </c>
      <c r="BA1155" s="7" t="s">
        <v>233</v>
      </c>
      <c r="BB1155" s="7"/>
      <c r="BC1155" s="4" t="s">
        <v>233</v>
      </c>
      <c r="BD1155" s="8" t="s">
        <v>233</v>
      </c>
      <c r="BE1155" s="4" t="s">
        <v>233</v>
      </c>
      <c r="BF1155" s="8" t="s">
        <v>233</v>
      </c>
      <c r="BG1155" s="7" t="s">
        <v>233</v>
      </c>
      <c r="BH1155" s="7" t="s">
        <v>233</v>
      </c>
      <c r="BI1155" s="7"/>
      <c r="BJ1155" s="4">
        <v>344</v>
      </c>
      <c r="BK1155" s="8">
        <v>4396.32</v>
      </c>
      <c r="BL1155" s="2" t="s">
        <v>861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5714</v>
      </c>
      <c r="BV1155" s="2" t="s">
        <v>233</v>
      </c>
      <c r="BW1155" s="2" t="s">
        <v>233</v>
      </c>
      <c r="BX1155" s="2" t="s">
        <v>241</v>
      </c>
      <c r="BY1155" s="2" t="s">
        <v>242</v>
      </c>
      <c r="BZ1155" s="2" t="s">
        <v>230</v>
      </c>
      <c r="CA1155" s="2" t="s">
        <v>3076</v>
      </c>
      <c r="CB1155" s="2" t="s">
        <v>5716</v>
      </c>
      <c r="CC1155" s="2" t="s">
        <v>245</v>
      </c>
      <c r="CD1155" s="2" t="s">
        <v>233</v>
      </c>
      <c r="CE1155" s="4">
        <v>54</v>
      </c>
      <c r="CF1155" s="4">
        <v>1</v>
      </c>
      <c r="CG1155" s="4"/>
      <c r="CH1155" s="4">
        <v>1</v>
      </c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>
        <v>270</v>
      </c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>
        <v>270</v>
      </c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>
        <v>198</v>
      </c>
      <c r="FR1155" s="4"/>
      <c r="FS1155" s="4"/>
      <c r="FT1155" s="4"/>
      <c r="FU1155" s="4"/>
      <c r="FV1155" s="4"/>
      <c r="FW1155" s="4"/>
      <c r="FX1155" s="4"/>
      <c r="FY1155" s="4"/>
      <c r="FZ1155" s="4"/>
      <c r="GA1155" s="4">
        <v>300</v>
      </c>
      <c r="GB1155" s="4"/>
      <c r="GC1155" s="4">
        <v>302</v>
      </c>
      <c r="GD1155" s="4">
        <v>301</v>
      </c>
      <c r="GE1155" s="4">
        <v>300</v>
      </c>
      <c r="GF1155" s="4">
        <v>299</v>
      </c>
      <c r="GG1155" s="4">
        <v>297</v>
      </c>
      <c r="GH1155" s="4">
        <v>294</v>
      </c>
      <c r="GI1155" s="4">
        <v>520</v>
      </c>
      <c r="GJ1155" s="4">
        <v>476</v>
      </c>
      <c r="GK1155" s="4">
        <v>436</v>
      </c>
      <c r="GL1155" s="4">
        <v>396</v>
      </c>
      <c r="GM1155" s="4">
        <v>626</v>
      </c>
      <c r="GN1155" s="4">
        <v>586</v>
      </c>
      <c r="GO1155" s="4">
        <v>550</v>
      </c>
      <c r="GP1155" s="4">
        <v>514</v>
      </c>
      <c r="GQ1155" s="4">
        <v>478</v>
      </c>
      <c r="GR1155" s="4">
        <v>442</v>
      </c>
      <c r="GS1155" s="4">
        <v>604</v>
      </c>
      <c r="GT1155" s="4">
        <v>568</v>
      </c>
      <c r="GU1155" s="4">
        <v>532</v>
      </c>
      <c r="GV1155" s="4">
        <v>496</v>
      </c>
      <c r="GW1155" s="4">
        <v>760</v>
      </c>
      <c r="GX1155" s="4">
        <v>724</v>
      </c>
      <c r="GY1155" s="4">
        <v>688</v>
      </c>
      <c r="GZ1155" s="4">
        <v>652</v>
      </c>
      <c r="HA1155" s="4">
        <v>612</v>
      </c>
      <c r="HB1155" s="4">
        <v>576</v>
      </c>
      <c r="HC1155" s="19">
        <v>302</v>
      </c>
      <c r="HD1155" s="19">
        <v>150.5</v>
      </c>
      <c r="HE1155" s="19">
        <v>25</v>
      </c>
      <c r="HF1155" s="19">
        <v>13</v>
      </c>
      <c r="HG1155" s="19">
        <v>9</v>
      </c>
      <c r="HH1155" s="19">
        <v>7</v>
      </c>
      <c r="HI1155" s="19">
        <v>12.7</v>
      </c>
      <c r="HJ1155" s="19">
        <v>11.9</v>
      </c>
      <c r="HK1155" s="19">
        <v>11.2</v>
      </c>
      <c r="HL1155" s="19">
        <v>10.4</v>
      </c>
      <c r="HM1155" s="19">
        <v>16.9</v>
      </c>
      <c r="HN1155" s="19">
        <v>16.3</v>
      </c>
      <c r="HO1155" s="19">
        <v>15.3</v>
      </c>
      <c r="HP1155" s="19">
        <v>14.3</v>
      </c>
      <c r="HQ1155" s="19">
        <v>13.3</v>
      </c>
      <c r="HR1155" s="19">
        <v>12.3</v>
      </c>
      <c r="HS1155" s="19">
        <v>16.8</v>
      </c>
      <c r="HT1155" s="19">
        <v>15.8</v>
      </c>
      <c r="HU1155" s="19">
        <v>14.8</v>
      </c>
      <c r="HV1155" s="19">
        <v>13.8</v>
      </c>
      <c r="HW1155" s="19">
        <v>20.5</v>
      </c>
      <c r="HX1155" s="19">
        <v>19.6</v>
      </c>
      <c r="HY1155" s="19">
        <v>18.6</v>
      </c>
      <c r="HZ1155" s="19">
        <v>17.6</v>
      </c>
      <c r="IA1155" s="19">
        <v>17</v>
      </c>
      <c r="IB1155" s="19">
        <v>15.6</v>
      </c>
    </row>
    <row r="1156">
      <c r="A1156" s="2" t="s">
        <v>5717</v>
      </c>
      <c r="B1156" s="2" t="s">
        <v>773</v>
      </c>
      <c r="C1156" s="2" t="s">
        <v>1411</v>
      </c>
      <c r="D1156" s="2" t="s">
        <v>261</v>
      </c>
      <c r="E1156" s="2" t="s">
        <v>895</v>
      </c>
      <c r="F1156" s="2" t="s">
        <v>5718</v>
      </c>
      <c r="G1156" s="2" t="s">
        <v>5718</v>
      </c>
      <c r="H1156" s="2" t="s">
        <v>5718</v>
      </c>
      <c r="I1156" s="2" t="s">
        <v>5719</v>
      </c>
      <c r="J1156" s="2" t="s">
        <v>228</v>
      </c>
      <c r="K1156" s="2" t="s">
        <v>1706</v>
      </c>
      <c r="L1156" s="3">
        <v>33.33</v>
      </c>
      <c r="M1156" s="3">
        <v>35</v>
      </c>
      <c r="N1156" s="3">
        <v>69.99</v>
      </c>
      <c r="O1156" s="2" t="s">
        <v>230</v>
      </c>
      <c r="P1156" s="2" t="s">
        <v>231</v>
      </c>
      <c r="Q1156" s="2" t="s">
        <v>232</v>
      </c>
      <c r="R1156" s="2" t="s">
        <v>233</v>
      </c>
      <c r="S1156" s="2" t="s">
        <v>5720</v>
      </c>
      <c r="T1156" s="2" t="s">
        <v>2129</v>
      </c>
      <c r="U1156" s="2" t="s">
        <v>711</v>
      </c>
      <c r="V1156" s="2" t="s">
        <v>236</v>
      </c>
      <c r="W1156" s="2" t="s">
        <v>237</v>
      </c>
      <c r="X1156" s="2" t="s">
        <v>233</v>
      </c>
      <c r="Y1156" s="2" t="s">
        <v>1864</v>
      </c>
      <c r="Z1156" s="4">
        <v>226</v>
      </c>
      <c r="AA1156" s="4">
        <f>=ROUNDDOWN(75.3333333333333,0)</f>
      </c>
      <c r="AB1156" s="5">
        <v>3</v>
      </c>
      <c r="AC1156" s="2" t="s">
        <v>151</v>
      </c>
      <c r="AD1156" s="4">
        <v>50</v>
      </c>
      <c r="AE1156" s="4">
        <v>80</v>
      </c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233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233</v>
      </c>
      <c r="AW1156" s="8" t="s">
        <v>233</v>
      </c>
      <c r="AX1156" s="4" t="s">
        <v>233</v>
      </c>
      <c r="AY1156" s="8" t="s">
        <v>233</v>
      </c>
      <c r="AZ1156" s="7" t="s">
        <v>233</v>
      </c>
      <c r="BA1156" s="7" t="s">
        <v>233</v>
      </c>
      <c r="BB1156" s="7"/>
      <c r="BC1156" s="4" t="s">
        <v>233</v>
      </c>
      <c r="BD1156" s="8" t="s">
        <v>233</v>
      </c>
      <c r="BE1156" s="4" t="s">
        <v>233</v>
      </c>
      <c r="BF1156" s="8" t="s">
        <v>233</v>
      </c>
      <c r="BG1156" s="7" t="s">
        <v>233</v>
      </c>
      <c r="BH1156" s="7" t="s">
        <v>233</v>
      </c>
      <c r="BI1156" s="7"/>
      <c r="BJ1156" s="4">
        <v>2</v>
      </c>
      <c r="BK1156" s="8">
        <v>73.5</v>
      </c>
      <c r="BL1156" s="2" t="s">
        <v>5721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5722</v>
      </c>
      <c r="BV1156" s="2" t="s">
        <v>233</v>
      </c>
      <c r="BW1156" s="2" t="s">
        <v>233</v>
      </c>
      <c r="BX1156" s="2" t="s">
        <v>241</v>
      </c>
      <c r="BY1156" s="2" t="s">
        <v>242</v>
      </c>
      <c r="BZ1156" s="2" t="s">
        <v>230</v>
      </c>
      <c r="CA1156" s="2" t="s">
        <v>1862</v>
      </c>
      <c r="CB1156" s="2" t="s">
        <v>5723</v>
      </c>
      <c r="CC1156" s="2" t="s">
        <v>245</v>
      </c>
      <c r="CD1156" s="2" t="s">
        <v>233</v>
      </c>
      <c r="CE1156" s="4">
        <v>226</v>
      </c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>
        <v>50</v>
      </c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>
        <v>30</v>
      </c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>
        <v>227</v>
      </c>
      <c r="GD1156" s="4">
        <v>218</v>
      </c>
      <c r="GE1156" s="4">
        <v>205</v>
      </c>
      <c r="GF1156" s="4">
        <v>191</v>
      </c>
      <c r="GG1156" s="4">
        <v>210</v>
      </c>
      <c r="GH1156" s="4">
        <v>191</v>
      </c>
      <c r="GI1156" s="4">
        <v>172</v>
      </c>
      <c r="GJ1156" s="4">
        <v>161</v>
      </c>
      <c r="GK1156" s="4">
        <v>154</v>
      </c>
      <c r="GL1156" s="4">
        <v>149</v>
      </c>
      <c r="GM1156" s="4">
        <v>144</v>
      </c>
      <c r="GN1156" s="4">
        <v>139</v>
      </c>
      <c r="GO1156" s="4">
        <v>165</v>
      </c>
      <c r="GP1156" s="4">
        <v>161</v>
      </c>
      <c r="GQ1156" s="4">
        <v>157</v>
      </c>
      <c r="GR1156" s="4">
        <v>153</v>
      </c>
      <c r="GS1156" s="4">
        <v>149</v>
      </c>
      <c r="GT1156" s="4">
        <v>145</v>
      </c>
      <c r="GU1156" s="4">
        <v>141</v>
      </c>
      <c r="GV1156" s="4">
        <v>139</v>
      </c>
      <c r="GW1156" s="4">
        <v>137</v>
      </c>
      <c r="GX1156" s="4">
        <v>135</v>
      </c>
      <c r="GY1156" s="4">
        <v>133</v>
      </c>
      <c r="GZ1156" s="4">
        <v>131</v>
      </c>
      <c r="HA1156" s="4">
        <v>129</v>
      </c>
      <c r="HB1156" s="4">
        <v>127</v>
      </c>
      <c r="HC1156" s="19">
        <v>13.4</v>
      </c>
      <c r="HD1156" s="19">
        <v>11.5</v>
      </c>
      <c r="HE1156" s="19">
        <v>9.8</v>
      </c>
      <c r="HF1156" s="19">
        <v>9.6</v>
      </c>
      <c r="HG1156" s="19">
        <v>15</v>
      </c>
      <c r="HH1156" s="19">
        <v>19.1</v>
      </c>
      <c r="HI1156" s="19">
        <v>24.6</v>
      </c>
      <c r="HJ1156" s="19">
        <v>26.8</v>
      </c>
      <c r="HK1156" s="19">
        <v>30.8</v>
      </c>
      <c r="HL1156" s="19">
        <v>37.3</v>
      </c>
      <c r="HM1156" s="19">
        <v>36</v>
      </c>
      <c r="HN1156" s="19">
        <v>34.8</v>
      </c>
      <c r="HO1156" s="19">
        <v>41.3</v>
      </c>
      <c r="HP1156" s="19">
        <v>40.3</v>
      </c>
      <c r="HQ1156" s="19">
        <v>39.3</v>
      </c>
      <c r="HR1156" s="19">
        <v>38.3</v>
      </c>
      <c r="HS1156" s="19">
        <v>49.7</v>
      </c>
      <c r="HT1156" s="19">
        <v>72.5</v>
      </c>
      <c r="HU1156" s="19">
        <v>70.5</v>
      </c>
      <c r="HV1156" s="19">
        <v>69.5</v>
      </c>
      <c r="HW1156" s="19">
        <v>68.5</v>
      </c>
      <c r="HX1156" s="19">
        <v>67.5</v>
      </c>
      <c r="HY1156" s="19">
        <v>66.5</v>
      </c>
      <c r="HZ1156" s="19">
        <v>65.5</v>
      </c>
      <c r="IA1156" s="19">
        <v>64.5</v>
      </c>
      <c r="IB1156" s="19">
        <v>63.5</v>
      </c>
    </row>
    <row r="1157">
      <c r="A1157" s="2" t="s">
        <v>5724</v>
      </c>
      <c r="B1157" s="2" t="s">
        <v>773</v>
      </c>
      <c r="C1157" s="2" t="s">
        <v>1411</v>
      </c>
      <c r="D1157" s="2" t="s">
        <v>261</v>
      </c>
      <c r="E1157" s="2" t="s">
        <v>895</v>
      </c>
      <c r="F1157" s="2" t="s">
        <v>5718</v>
      </c>
      <c r="G1157" s="2" t="s">
        <v>5718</v>
      </c>
      <c r="H1157" s="2" t="s">
        <v>5718</v>
      </c>
      <c r="I1157" s="2" t="s">
        <v>5725</v>
      </c>
      <c r="J1157" s="2" t="s">
        <v>265</v>
      </c>
      <c r="K1157" s="2" t="s">
        <v>1706</v>
      </c>
      <c r="L1157" s="3">
        <v>42.85</v>
      </c>
      <c r="M1157" s="3">
        <v>44.99</v>
      </c>
      <c r="N1157" s="3">
        <v>89.99</v>
      </c>
      <c r="O1157" s="2" t="s">
        <v>230</v>
      </c>
      <c r="P1157" s="2" t="s">
        <v>231</v>
      </c>
      <c r="Q1157" s="2" t="s">
        <v>232</v>
      </c>
      <c r="R1157" s="2" t="s">
        <v>233</v>
      </c>
      <c r="S1157" s="2" t="s">
        <v>5720</v>
      </c>
      <c r="T1157" s="2" t="s">
        <v>2129</v>
      </c>
      <c r="U1157" s="2" t="s">
        <v>781</v>
      </c>
      <c r="V1157" s="2" t="s">
        <v>236</v>
      </c>
      <c r="W1157" s="2" t="s">
        <v>237</v>
      </c>
      <c r="X1157" s="2" t="s">
        <v>233</v>
      </c>
      <c r="Y1157" s="2" t="s">
        <v>1551</v>
      </c>
      <c r="Z1157" s="4">
        <v>293</v>
      </c>
      <c r="AA1157" s="4">
        <f>=ROUNDDOWN(48.8333333333333,0)</f>
      </c>
      <c r="AB1157" s="5">
        <v>6</v>
      </c>
      <c r="AC1157" s="2" t="s">
        <v>151</v>
      </c>
      <c r="AD1157" s="4">
        <v>100</v>
      </c>
      <c r="AE1157" s="4">
        <v>390</v>
      </c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233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233</v>
      </c>
      <c r="AW1157" s="8" t="s">
        <v>233</v>
      </c>
      <c r="AX1157" s="4" t="s">
        <v>233</v>
      </c>
      <c r="AY1157" s="8" t="s">
        <v>233</v>
      </c>
      <c r="AZ1157" s="7" t="s">
        <v>233</v>
      </c>
      <c r="BA1157" s="7" t="s">
        <v>233</v>
      </c>
      <c r="BB1157" s="7"/>
      <c r="BC1157" s="4" t="s">
        <v>233</v>
      </c>
      <c r="BD1157" s="8" t="s">
        <v>233</v>
      </c>
      <c r="BE1157" s="4" t="s">
        <v>233</v>
      </c>
      <c r="BF1157" s="8" t="s">
        <v>233</v>
      </c>
      <c r="BG1157" s="7" t="s">
        <v>233</v>
      </c>
      <c r="BH1157" s="7" t="s">
        <v>233</v>
      </c>
      <c r="BI1157" s="7"/>
      <c r="BJ1157" s="4">
        <v>10</v>
      </c>
      <c r="BK1157" s="8">
        <v>481.85</v>
      </c>
      <c r="BL1157" s="2" t="s">
        <v>570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5722</v>
      </c>
      <c r="BV1157" s="2" t="s">
        <v>233</v>
      </c>
      <c r="BW1157" s="2" t="s">
        <v>233</v>
      </c>
      <c r="BX1157" s="2" t="s">
        <v>241</v>
      </c>
      <c r="BY1157" s="2" t="s">
        <v>242</v>
      </c>
      <c r="BZ1157" s="2" t="s">
        <v>230</v>
      </c>
      <c r="CA1157" s="2" t="s">
        <v>1862</v>
      </c>
      <c r="CB1157" s="2" t="s">
        <v>5726</v>
      </c>
      <c r="CC1157" s="2" t="s">
        <v>245</v>
      </c>
      <c r="CD1157" s="2" t="s">
        <v>233</v>
      </c>
      <c r="CE1157" s="4">
        <v>293</v>
      </c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>
        <v>100</v>
      </c>
      <c r="DN1157" s="4"/>
      <c r="DO1157" s="4"/>
      <c r="DP1157" s="4"/>
      <c r="DQ1157" s="4"/>
      <c r="DR1157" s="4">
        <v>150</v>
      </c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>
        <v>140</v>
      </c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>
        <v>293</v>
      </c>
      <c r="GD1157" s="4">
        <v>254</v>
      </c>
      <c r="GE1157" s="4">
        <v>229</v>
      </c>
      <c r="GF1157" s="4">
        <v>202</v>
      </c>
      <c r="GG1157" s="4">
        <v>246</v>
      </c>
      <c r="GH1157" s="4">
        <v>363</v>
      </c>
      <c r="GI1157" s="4">
        <v>329</v>
      </c>
      <c r="GJ1157" s="4">
        <v>309</v>
      </c>
      <c r="GK1157" s="4">
        <v>296</v>
      </c>
      <c r="GL1157" s="4">
        <v>286</v>
      </c>
      <c r="GM1157" s="4">
        <v>276</v>
      </c>
      <c r="GN1157" s="4">
        <v>266</v>
      </c>
      <c r="GO1157" s="4">
        <v>398</v>
      </c>
      <c r="GP1157" s="4">
        <v>390</v>
      </c>
      <c r="GQ1157" s="4">
        <v>382</v>
      </c>
      <c r="GR1157" s="4">
        <v>375</v>
      </c>
      <c r="GS1157" s="4">
        <v>368</v>
      </c>
      <c r="GT1157" s="4">
        <v>360</v>
      </c>
      <c r="GU1157" s="4">
        <v>353</v>
      </c>
      <c r="GV1157" s="4">
        <v>347</v>
      </c>
      <c r="GW1157" s="4">
        <v>341</v>
      </c>
      <c r="GX1157" s="4">
        <v>335</v>
      </c>
      <c r="GY1157" s="4">
        <v>329</v>
      </c>
      <c r="GZ1157" s="4">
        <v>323</v>
      </c>
      <c r="HA1157" s="4">
        <v>317</v>
      </c>
      <c r="HB1157" s="4">
        <v>311</v>
      </c>
      <c r="HC1157" s="19">
        <v>7.9</v>
      </c>
      <c r="HD1157" s="19">
        <v>7.3</v>
      </c>
      <c r="HE1157" s="19">
        <v>6</v>
      </c>
      <c r="HF1157" s="19">
        <v>5.6</v>
      </c>
      <c r="HG1157" s="19">
        <v>9.8</v>
      </c>
      <c r="HH1157" s="19">
        <v>19.1</v>
      </c>
      <c r="HI1157" s="19">
        <v>25.3</v>
      </c>
      <c r="HJ1157" s="19">
        <v>28.1</v>
      </c>
      <c r="HK1157" s="19">
        <v>29.6</v>
      </c>
      <c r="HL1157" s="19">
        <v>31.8</v>
      </c>
      <c r="HM1157" s="19">
        <v>34.5</v>
      </c>
      <c r="HN1157" s="19">
        <v>33.3</v>
      </c>
      <c r="HO1157" s="19">
        <v>49.8</v>
      </c>
      <c r="HP1157" s="19">
        <v>48.8</v>
      </c>
      <c r="HQ1157" s="19">
        <v>54.6</v>
      </c>
      <c r="HR1157" s="19">
        <v>53.6</v>
      </c>
      <c r="HS1157" s="19">
        <v>52.6</v>
      </c>
      <c r="HT1157" s="19">
        <v>60</v>
      </c>
      <c r="HU1157" s="19">
        <v>58.8</v>
      </c>
      <c r="HV1157" s="19">
        <v>57.8</v>
      </c>
      <c r="HW1157" s="19">
        <v>56.8</v>
      </c>
      <c r="HX1157" s="19">
        <v>55.8</v>
      </c>
      <c r="HY1157" s="19">
        <v>54.8</v>
      </c>
      <c r="HZ1157" s="19">
        <v>53.8</v>
      </c>
      <c r="IA1157" s="19">
        <v>52.8</v>
      </c>
      <c r="IB1157" s="19">
        <v>62.2</v>
      </c>
    </row>
    <row r="1158">
      <c r="A1158" s="2" t="s">
        <v>5727</v>
      </c>
      <c r="B1158" s="2" t="s">
        <v>773</v>
      </c>
      <c r="C1158" s="2" t="s">
        <v>1411</v>
      </c>
      <c r="D1158" s="2" t="s">
        <v>261</v>
      </c>
      <c r="E1158" s="2" t="s">
        <v>895</v>
      </c>
      <c r="F1158" s="2" t="s">
        <v>5718</v>
      </c>
      <c r="G1158" s="2" t="s">
        <v>5718</v>
      </c>
      <c r="H1158" s="2" t="s">
        <v>5718</v>
      </c>
      <c r="I1158" s="2" t="s">
        <v>5725</v>
      </c>
      <c r="J1158" s="2" t="s">
        <v>256</v>
      </c>
      <c r="K1158" s="2" t="s">
        <v>1706</v>
      </c>
      <c r="L1158" s="3">
        <v>47.61</v>
      </c>
      <c r="M1158" s="3">
        <v>49.99</v>
      </c>
      <c r="N1158" s="3">
        <v>99.99</v>
      </c>
      <c r="O1158" s="2" t="s">
        <v>230</v>
      </c>
      <c r="P1158" s="2" t="s">
        <v>231</v>
      </c>
      <c r="Q1158" s="2" t="s">
        <v>232</v>
      </c>
      <c r="R1158" s="2" t="s">
        <v>233</v>
      </c>
      <c r="S1158" s="2" t="s">
        <v>5720</v>
      </c>
      <c r="T1158" s="2" t="s">
        <v>2129</v>
      </c>
      <c r="U1158" s="2" t="s">
        <v>781</v>
      </c>
      <c r="V1158" s="2" t="s">
        <v>236</v>
      </c>
      <c r="W1158" s="2" t="s">
        <v>237</v>
      </c>
      <c r="X1158" s="2" t="s">
        <v>233</v>
      </c>
      <c r="Y1158" s="2" t="s">
        <v>1864</v>
      </c>
      <c r="Z1158" s="4">
        <v>142</v>
      </c>
      <c r="AA1158" s="4">
        <f>=ROUNDDOWN(28.4,0)</f>
      </c>
      <c r="AB1158" s="5">
        <v>5</v>
      </c>
      <c r="AC1158" s="2" t="s">
        <v>151</v>
      </c>
      <c r="AD1158" s="4">
        <v>70</v>
      </c>
      <c r="AE1158" s="4">
        <v>288</v>
      </c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233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233</v>
      </c>
      <c r="AW1158" s="8" t="s">
        <v>233</v>
      </c>
      <c r="AX1158" s="4" t="s">
        <v>233</v>
      </c>
      <c r="AY1158" s="8" t="s">
        <v>233</v>
      </c>
      <c r="AZ1158" s="7" t="s">
        <v>233</v>
      </c>
      <c r="BA1158" s="7" t="s">
        <v>233</v>
      </c>
      <c r="BB1158" s="7"/>
      <c r="BC1158" s="4" t="s">
        <v>233</v>
      </c>
      <c r="BD1158" s="8" t="s">
        <v>233</v>
      </c>
      <c r="BE1158" s="4" t="s">
        <v>233</v>
      </c>
      <c r="BF1158" s="8" t="s">
        <v>233</v>
      </c>
      <c r="BG1158" s="7" t="s">
        <v>233</v>
      </c>
      <c r="BH1158" s="7" t="s">
        <v>233</v>
      </c>
      <c r="BI1158" s="7"/>
      <c r="BJ1158" s="4">
        <v>3</v>
      </c>
      <c r="BK1158" s="8">
        <v>161.99</v>
      </c>
      <c r="BL1158" s="2" t="s">
        <v>5728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5722</v>
      </c>
      <c r="BV1158" s="2" t="s">
        <v>233</v>
      </c>
      <c r="BW1158" s="2" t="s">
        <v>233</v>
      </c>
      <c r="BX1158" s="2" t="s">
        <v>241</v>
      </c>
      <c r="BY1158" s="2" t="s">
        <v>242</v>
      </c>
      <c r="BZ1158" s="2" t="s">
        <v>230</v>
      </c>
      <c r="CA1158" s="2" t="s">
        <v>1862</v>
      </c>
      <c r="CB1158" s="2" t="s">
        <v>5729</v>
      </c>
      <c r="CC1158" s="2" t="s">
        <v>245</v>
      </c>
      <c r="CD1158" s="2" t="s">
        <v>233</v>
      </c>
      <c r="CE1158" s="4">
        <v>142</v>
      </c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>
        <v>70</v>
      </c>
      <c r="DN1158" s="4"/>
      <c r="DO1158" s="4"/>
      <c r="DP1158" s="4"/>
      <c r="DQ1158" s="4"/>
      <c r="DR1158" s="4">
        <v>80</v>
      </c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>
        <v>138</v>
      </c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>
        <v>143</v>
      </c>
      <c r="GD1158" s="4">
        <v>112</v>
      </c>
      <c r="GE1158" s="4">
        <v>100</v>
      </c>
      <c r="GF1158" s="4">
        <v>86</v>
      </c>
      <c r="GG1158" s="4">
        <v>129</v>
      </c>
      <c r="GH1158" s="4">
        <v>186</v>
      </c>
      <c r="GI1158" s="4">
        <v>163</v>
      </c>
      <c r="GJ1158" s="4">
        <v>149</v>
      </c>
      <c r="GK1158" s="4">
        <v>140</v>
      </c>
      <c r="GL1158" s="4">
        <v>132</v>
      </c>
      <c r="GM1158" s="4">
        <v>124</v>
      </c>
      <c r="GN1158" s="4">
        <v>116</v>
      </c>
      <c r="GO1158" s="4">
        <v>248</v>
      </c>
      <c r="GP1158" s="4">
        <v>242</v>
      </c>
      <c r="GQ1158" s="4">
        <v>236</v>
      </c>
      <c r="GR1158" s="4">
        <v>230</v>
      </c>
      <c r="GS1158" s="4">
        <v>224</v>
      </c>
      <c r="GT1158" s="4">
        <v>218</v>
      </c>
      <c r="GU1158" s="4">
        <v>212</v>
      </c>
      <c r="GV1158" s="4">
        <v>207</v>
      </c>
      <c r="GW1158" s="4">
        <v>202</v>
      </c>
      <c r="GX1158" s="4">
        <v>197</v>
      </c>
      <c r="GY1158" s="4">
        <v>192</v>
      </c>
      <c r="GZ1158" s="4">
        <v>187</v>
      </c>
      <c r="HA1158" s="4">
        <v>182</v>
      </c>
      <c r="HB1158" s="4">
        <v>177</v>
      </c>
      <c r="HC1158" s="19">
        <v>6.8</v>
      </c>
      <c r="HD1158" s="19">
        <v>5.9</v>
      </c>
      <c r="HE1158" s="19">
        <v>4.5</v>
      </c>
      <c r="HF1158" s="19">
        <v>3.9</v>
      </c>
      <c r="HG1158" s="19">
        <v>7.6</v>
      </c>
      <c r="HH1158" s="19">
        <v>13.3</v>
      </c>
      <c r="HI1158" s="19">
        <v>16.3</v>
      </c>
      <c r="HJ1158" s="19">
        <v>18.6</v>
      </c>
      <c r="HK1158" s="19">
        <v>17.5</v>
      </c>
      <c r="HL1158" s="19">
        <v>18.9</v>
      </c>
      <c r="HM1158" s="19">
        <v>20.7</v>
      </c>
      <c r="HN1158" s="19">
        <v>19.3</v>
      </c>
      <c r="HO1158" s="19">
        <v>41.3</v>
      </c>
      <c r="HP1158" s="19">
        <v>40.3</v>
      </c>
      <c r="HQ1158" s="19">
        <v>39.3</v>
      </c>
      <c r="HR1158" s="19">
        <v>38.3</v>
      </c>
      <c r="HS1158" s="19">
        <v>37.3</v>
      </c>
      <c r="HT1158" s="19">
        <v>43.6</v>
      </c>
      <c r="HU1158" s="19">
        <v>42.4</v>
      </c>
      <c r="HV1158" s="19">
        <v>41.4</v>
      </c>
      <c r="HW1158" s="19">
        <v>40.4</v>
      </c>
      <c r="HX1158" s="19">
        <v>39.4</v>
      </c>
      <c r="HY1158" s="19">
        <v>38.4</v>
      </c>
      <c r="HZ1158" s="19">
        <v>37.4</v>
      </c>
      <c r="IA1158" s="19">
        <v>45.5</v>
      </c>
      <c r="IB1158" s="19">
        <v>44.3</v>
      </c>
    </row>
    <row r="1159">
      <c r="A1159" s="2" t="s">
        <v>5730</v>
      </c>
      <c r="B1159" s="2" t="s">
        <v>773</v>
      </c>
      <c r="C1159" s="2" t="s">
        <v>1411</v>
      </c>
      <c r="D1159" s="2" t="s">
        <v>261</v>
      </c>
      <c r="E1159" s="2" t="s">
        <v>895</v>
      </c>
      <c r="F1159" s="2" t="s">
        <v>5718</v>
      </c>
      <c r="G1159" s="2" t="s">
        <v>5718</v>
      </c>
      <c r="H1159" s="2" t="s">
        <v>5718</v>
      </c>
      <c r="I1159" s="2" t="s">
        <v>5719</v>
      </c>
      <c r="J1159" s="2" t="s">
        <v>228</v>
      </c>
      <c r="K1159" s="2" t="s">
        <v>1014</v>
      </c>
      <c r="L1159" s="3">
        <v>33.33</v>
      </c>
      <c r="M1159" s="3">
        <v>35</v>
      </c>
      <c r="N1159" s="3">
        <v>69.99</v>
      </c>
      <c r="O1159" s="2" t="s">
        <v>230</v>
      </c>
      <c r="P1159" s="2" t="s">
        <v>231</v>
      </c>
      <c r="Q1159" s="2" t="s">
        <v>232</v>
      </c>
      <c r="R1159" s="2" t="s">
        <v>233</v>
      </c>
      <c r="S1159" s="2" t="s">
        <v>5731</v>
      </c>
      <c r="T1159" s="2" t="s">
        <v>2129</v>
      </c>
      <c r="U1159" s="2" t="s">
        <v>711</v>
      </c>
      <c r="V1159" s="2" t="s">
        <v>236</v>
      </c>
      <c r="W1159" s="2" t="s">
        <v>237</v>
      </c>
      <c r="X1159" s="2" t="s">
        <v>233</v>
      </c>
      <c r="Y1159" s="2" t="s">
        <v>1864</v>
      </c>
      <c r="Z1159" s="4">
        <v>235</v>
      </c>
      <c r="AA1159" s="4">
        <f>=ROUNDDOWN(78.3333333333333,0)</f>
      </c>
      <c r="AB1159" s="5">
        <v>3</v>
      </c>
      <c r="AC1159" s="2" t="s">
        <v>151</v>
      </c>
      <c r="AD1159" s="4">
        <v>50</v>
      </c>
      <c r="AE1159" s="4">
        <v>150</v>
      </c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233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233</v>
      </c>
      <c r="AW1159" s="8" t="s">
        <v>233</v>
      </c>
      <c r="AX1159" s="4" t="s">
        <v>233</v>
      </c>
      <c r="AY1159" s="8" t="s">
        <v>233</v>
      </c>
      <c r="AZ1159" s="7" t="s">
        <v>233</v>
      </c>
      <c r="BA1159" s="7" t="s">
        <v>233</v>
      </c>
      <c r="BB1159" s="7"/>
      <c r="BC1159" s="4" t="s">
        <v>233</v>
      </c>
      <c r="BD1159" s="8" t="s">
        <v>233</v>
      </c>
      <c r="BE1159" s="4" t="s">
        <v>233</v>
      </c>
      <c r="BF1159" s="8" t="s">
        <v>233</v>
      </c>
      <c r="BG1159" s="7" t="s">
        <v>233</v>
      </c>
      <c r="BH1159" s="7" t="s">
        <v>233</v>
      </c>
      <c r="BI1159" s="7"/>
      <c r="BJ1159" s="4">
        <v>2</v>
      </c>
      <c r="BK1159" s="8">
        <v>74.55</v>
      </c>
      <c r="BL1159" s="2" t="s">
        <v>1589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5722</v>
      </c>
      <c r="BV1159" s="2" t="s">
        <v>233</v>
      </c>
      <c r="BW1159" s="2" t="s">
        <v>233</v>
      </c>
      <c r="BX1159" s="2" t="s">
        <v>241</v>
      </c>
      <c r="BY1159" s="2" t="s">
        <v>242</v>
      </c>
      <c r="BZ1159" s="2" t="s">
        <v>230</v>
      </c>
      <c r="CA1159" s="2" t="s">
        <v>1862</v>
      </c>
      <c r="CB1159" s="2" t="s">
        <v>233</v>
      </c>
      <c r="CC1159" s="2" t="s">
        <v>245</v>
      </c>
      <c r="CD1159" s="2" t="s">
        <v>233</v>
      </c>
      <c r="CE1159" s="4">
        <v>235</v>
      </c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>
        <v>50</v>
      </c>
      <c r="DN1159" s="4"/>
      <c r="DO1159" s="4"/>
      <c r="DP1159" s="4"/>
      <c r="DQ1159" s="4"/>
      <c r="DR1159" s="4">
        <v>50</v>
      </c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>
        <v>50</v>
      </c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>
        <v>237</v>
      </c>
      <c r="GD1159" s="4">
        <v>227</v>
      </c>
      <c r="GE1159" s="4">
        <v>214</v>
      </c>
      <c r="GF1159" s="4">
        <v>200</v>
      </c>
      <c r="GG1159" s="4">
        <v>219</v>
      </c>
      <c r="GH1159" s="4">
        <v>250</v>
      </c>
      <c r="GI1159" s="4">
        <v>231</v>
      </c>
      <c r="GJ1159" s="4">
        <v>220</v>
      </c>
      <c r="GK1159" s="4">
        <v>213</v>
      </c>
      <c r="GL1159" s="4">
        <v>208</v>
      </c>
      <c r="GM1159" s="4">
        <v>203</v>
      </c>
      <c r="GN1159" s="4">
        <v>198</v>
      </c>
      <c r="GO1159" s="4">
        <v>244</v>
      </c>
      <c r="GP1159" s="4">
        <v>240</v>
      </c>
      <c r="GQ1159" s="4">
        <v>236</v>
      </c>
      <c r="GR1159" s="4">
        <v>232</v>
      </c>
      <c r="GS1159" s="4">
        <v>228</v>
      </c>
      <c r="GT1159" s="4">
        <v>224</v>
      </c>
      <c r="GU1159" s="4">
        <v>220</v>
      </c>
      <c r="GV1159" s="4">
        <v>218</v>
      </c>
      <c r="GW1159" s="4">
        <v>216</v>
      </c>
      <c r="GX1159" s="4">
        <v>214</v>
      </c>
      <c r="GY1159" s="4">
        <v>212</v>
      </c>
      <c r="GZ1159" s="4">
        <v>210</v>
      </c>
      <c r="HA1159" s="4">
        <v>208</v>
      </c>
      <c r="HB1159" s="4">
        <v>206</v>
      </c>
      <c r="HC1159" s="19">
        <v>13.9</v>
      </c>
      <c r="HD1159" s="19">
        <v>11.9</v>
      </c>
      <c r="HE1159" s="19">
        <v>10.2</v>
      </c>
      <c r="HF1159" s="19">
        <v>10</v>
      </c>
      <c r="HG1159" s="19">
        <v>15.6</v>
      </c>
      <c r="HH1159" s="19">
        <v>25</v>
      </c>
      <c r="HI1159" s="19">
        <v>33</v>
      </c>
      <c r="HJ1159" s="19">
        <v>36.7</v>
      </c>
      <c r="HK1159" s="19">
        <v>42.6</v>
      </c>
      <c r="HL1159" s="19">
        <v>52</v>
      </c>
      <c r="HM1159" s="19">
        <v>50.8</v>
      </c>
      <c r="HN1159" s="19">
        <v>49.5</v>
      </c>
      <c r="HO1159" s="19">
        <v>61</v>
      </c>
      <c r="HP1159" s="19">
        <v>60</v>
      </c>
      <c r="HQ1159" s="19">
        <v>59</v>
      </c>
      <c r="HR1159" s="19">
        <v>58</v>
      </c>
      <c r="HS1159" s="19">
        <v>76</v>
      </c>
      <c r="HT1159" s="19">
        <v>112</v>
      </c>
      <c r="HU1159" s="19">
        <v>110</v>
      </c>
      <c r="HV1159" s="19">
        <v>109</v>
      </c>
      <c r="HW1159" s="19">
        <v>108</v>
      </c>
      <c r="HX1159" s="19">
        <v>107</v>
      </c>
      <c r="HY1159" s="19">
        <v>106</v>
      </c>
      <c r="HZ1159" s="19">
        <v>105</v>
      </c>
      <c r="IA1159" s="19">
        <v>104</v>
      </c>
      <c r="IB1159" s="19">
        <v>103</v>
      </c>
    </row>
    <row r="1160">
      <c r="A1160" s="2" t="s">
        <v>5732</v>
      </c>
      <c r="B1160" s="2" t="s">
        <v>773</v>
      </c>
      <c r="C1160" s="2" t="s">
        <v>1411</v>
      </c>
      <c r="D1160" s="2" t="s">
        <v>261</v>
      </c>
      <c r="E1160" s="2" t="s">
        <v>895</v>
      </c>
      <c r="F1160" s="2" t="s">
        <v>5718</v>
      </c>
      <c r="G1160" s="2" t="s">
        <v>5718</v>
      </c>
      <c r="H1160" s="2" t="s">
        <v>5718</v>
      </c>
      <c r="I1160" s="2" t="s">
        <v>5725</v>
      </c>
      <c r="J1160" s="2" t="s">
        <v>265</v>
      </c>
      <c r="K1160" s="2" t="s">
        <v>1014</v>
      </c>
      <c r="L1160" s="3">
        <v>42.85</v>
      </c>
      <c r="M1160" s="3">
        <v>44.99</v>
      </c>
      <c r="N1160" s="3">
        <v>89.99</v>
      </c>
      <c r="O1160" s="2" t="s">
        <v>230</v>
      </c>
      <c r="P1160" s="2" t="s">
        <v>231</v>
      </c>
      <c r="Q1160" s="2" t="s">
        <v>232</v>
      </c>
      <c r="R1160" s="2" t="s">
        <v>233</v>
      </c>
      <c r="S1160" s="2" t="s">
        <v>5731</v>
      </c>
      <c r="T1160" s="2" t="s">
        <v>2129</v>
      </c>
      <c r="U1160" s="2" t="s">
        <v>781</v>
      </c>
      <c r="V1160" s="2" t="s">
        <v>236</v>
      </c>
      <c r="W1160" s="2" t="s">
        <v>237</v>
      </c>
      <c r="X1160" s="2" t="s">
        <v>233</v>
      </c>
      <c r="Y1160" s="2" t="s">
        <v>1551</v>
      </c>
      <c r="Z1160" s="4">
        <v>284</v>
      </c>
      <c r="AA1160" s="4">
        <f>=ROUNDDOWN(47.3333333333333,0)</f>
      </c>
      <c r="AB1160" s="5">
        <v>6</v>
      </c>
      <c r="AC1160" s="2" t="s">
        <v>151</v>
      </c>
      <c r="AD1160" s="4">
        <v>100</v>
      </c>
      <c r="AE1160" s="4">
        <v>350</v>
      </c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233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233</v>
      </c>
      <c r="AW1160" s="8" t="s">
        <v>233</v>
      </c>
      <c r="AX1160" s="4" t="s">
        <v>233</v>
      </c>
      <c r="AY1160" s="8" t="s">
        <v>233</v>
      </c>
      <c r="AZ1160" s="7" t="s">
        <v>233</v>
      </c>
      <c r="BA1160" s="7" t="s">
        <v>233</v>
      </c>
      <c r="BB1160" s="7"/>
      <c r="BC1160" s="4" t="s">
        <v>233</v>
      </c>
      <c r="BD1160" s="8" t="s">
        <v>233</v>
      </c>
      <c r="BE1160" s="4" t="s">
        <v>233</v>
      </c>
      <c r="BF1160" s="8" t="s">
        <v>233</v>
      </c>
      <c r="BG1160" s="7" t="s">
        <v>233</v>
      </c>
      <c r="BH1160" s="7" t="s">
        <v>233</v>
      </c>
      <c r="BI1160" s="7"/>
      <c r="BJ1160" s="4">
        <v>17</v>
      </c>
      <c r="BK1160" s="8">
        <v>811.18</v>
      </c>
      <c r="BL1160" s="2" t="s">
        <v>570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5722</v>
      </c>
      <c r="BV1160" s="2" t="s">
        <v>233</v>
      </c>
      <c r="BW1160" s="2" t="s">
        <v>233</v>
      </c>
      <c r="BX1160" s="2" t="s">
        <v>241</v>
      </c>
      <c r="BY1160" s="2" t="s">
        <v>242</v>
      </c>
      <c r="BZ1160" s="2" t="s">
        <v>230</v>
      </c>
      <c r="CA1160" s="2" t="s">
        <v>1862</v>
      </c>
      <c r="CB1160" s="2" t="s">
        <v>1920</v>
      </c>
      <c r="CC1160" s="2" t="s">
        <v>245</v>
      </c>
      <c r="CD1160" s="2" t="s">
        <v>233</v>
      </c>
      <c r="CE1160" s="4">
        <v>284</v>
      </c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>
        <v>100</v>
      </c>
      <c r="DN1160" s="4"/>
      <c r="DO1160" s="4"/>
      <c r="DP1160" s="4"/>
      <c r="DQ1160" s="4"/>
      <c r="DR1160" s="4">
        <v>170</v>
      </c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>
        <v>80</v>
      </c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>
        <v>284</v>
      </c>
      <c r="GD1160" s="4">
        <v>233</v>
      </c>
      <c r="GE1160" s="4">
        <v>208</v>
      </c>
      <c r="GF1160" s="4">
        <v>181</v>
      </c>
      <c r="GG1160" s="4">
        <v>225</v>
      </c>
      <c r="GH1160" s="4">
        <v>362</v>
      </c>
      <c r="GI1160" s="4">
        <v>328</v>
      </c>
      <c r="GJ1160" s="4">
        <v>308</v>
      </c>
      <c r="GK1160" s="4">
        <v>295</v>
      </c>
      <c r="GL1160" s="4">
        <v>285</v>
      </c>
      <c r="GM1160" s="4">
        <v>275</v>
      </c>
      <c r="GN1160" s="4">
        <v>265</v>
      </c>
      <c r="GO1160" s="4">
        <v>337</v>
      </c>
      <c r="GP1160" s="4">
        <v>329</v>
      </c>
      <c r="GQ1160" s="4">
        <v>321</v>
      </c>
      <c r="GR1160" s="4">
        <v>314</v>
      </c>
      <c r="GS1160" s="4">
        <v>307</v>
      </c>
      <c r="GT1160" s="4">
        <v>299</v>
      </c>
      <c r="GU1160" s="4">
        <v>292</v>
      </c>
      <c r="GV1160" s="4">
        <v>286</v>
      </c>
      <c r="GW1160" s="4">
        <v>280</v>
      </c>
      <c r="GX1160" s="4">
        <v>274</v>
      </c>
      <c r="GY1160" s="4">
        <v>268</v>
      </c>
      <c r="GZ1160" s="4">
        <v>262</v>
      </c>
      <c r="HA1160" s="4">
        <v>256</v>
      </c>
      <c r="HB1160" s="4">
        <v>250</v>
      </c>
      <c r="HC1160" s="19">
        <v>7.1</v>
      </c>
      <c r="HD1160" s="19">
        <v>6.7</v>
      </c>
      <c r="HE1160" s="19">
        <v>5.5</v>
      </c>
      <c r="HF1160" s="19">
        <v>5</v>
      </c>
      <c r="HG1160" s="19">
        <v>9</v>
      </c>
      <c r="HH1160" s="19">
        <v>19.1</v>
      </c>
      <c r="HI1160" s="19">
        <v>25.2</v>
      </c>
      <c r="HJ1160" s="19">
        <v>28</v>
      </c>
      <c r="HK1160" s="19">
        <v>29.5</v>
      </c>
      <c r="HL1160" s="19">
        <v>31.7</v>
      </c>
      <c r="HM1160" s="19">
        <v>34.4</v>
      </c>
      <c r="HN1160" s="19">
        <v>33.1</v>
      </c>
      <c r="HO1160" s="19">
        <v>42.1</v>
      </c>
      <c r="HP1160" s="19">
        <v>41.1</v>
      </c>
      <c r="HQ1160" s="19">
        <v>45.9</v>
      </c>
      <c r="HR1160" s="19">
        <v>44.9</v>
      </c>
      <c r="HS1160" s="19">
        <v>43.9</v>
      </c>
      <c r="HT1160" s="19">
        <v>49.8</v>
      </c>
      <c r="HU1160" s="19">
        <v>48.7</v>
      </c>
      <c r="HV1160" s="19">
        <v>47.7</v>
      </c>
      <c r="HW1160" s="19">
        <v>46.7</v>
      </c>
      <c r="HX1160" s="19">
        <v>45.7</v>
      </c>
      <c r="HY1160" s="19">
        <v>44.7</v>
      </c>
      <c r="HZ1160" s="19">
        <v>43.7</v>
      </c>
      <c r="IA1160" s="19">
        <v>42.7</v>
      </c>
      <c r="IB1160" s="19">
        <v>50</v>
      </c>
    </row>
    <row r="1161">
      <c r="A1161" s="2" t="s">
        <v>5733</v>
      </c>
      <c r="B1161" s="2" t="s">
        <v>773</v>
      </c>
      <c r="C1161" s="2" t="s">
        <v>1411</v>
      </c>
      <c r="D1161" s="2" t="s">
        <v>261</v>
      </c>
      <c r="E1161" s="2" t="s">
        <v>895</v>
      </c>
      <c r="F1161" s="2" t="s">
        <v>5718</v>
      </c>
      <c r="G1161" s="2" t="s">
        <v>5718</v>
      </c>
      <c r="H1161" s="2" t="s">
        <v>5718</v>
      </c>
      <c r="I1161" s="2" t="s">
        <v>5719</v>
      </c>
      <c r="J1161" s="2" t="s">
        <v>228</v>
      </c>
      <c r="K1161" s="2" t="s">
        <v>651</v>
      </c>
      <c r="L1161" s="3">
        <v>33.33</v>
      </c>
      <c r="M1161" s="3">
        <v>35</v>
      </c>
      <c r="N1161" s="3">
        <v>69.99</v>
      </c>
      <c r="O1161" s="2" t="s">
        <v>230</v>
      </c>
      <c r="P1161" s="2" t="s">
        <v>231</v>
      </c>
      <c r="Q1161" s="2" t="s">
        <v>232</v>
      </c>
      <c r="R1161" s="2" t="s">
        <v>233</v>
      </c>
      <c r="S1161" s="2" t="s">
        <v>5734</v>
      </c>
      <c r="T1161" s="2" t="s">
        <v>2129</v>
      </c>
      <c r="U1161" s="2" t="s">
        <v>711</v>
      </c>
      <c r="V1161" s="2" t="s">
        <v>236</v>
      </c>
      <c r="W1161" s="2" t="s">
        <v>237</v>
      </c>
      <c r="X1161" s="2" t="s">
        <v>233</v>
      </c>
      <c r="Y1161" s="2" t="s">
        <v>1864</v>
      </c>
      <c r="Z1161" s="4">
        <v>233</v>
      </c>
      <c r="AA1161" s="4">
        <f>=ROUNDDOWN(77.6666666666667,0)</f>
      </c>
      <c r="AB1161" s="5">
        <v>3</v>
      </c>
      <c r="AC1161" s="2" t="s">
        <v>151</v>
      </c>
      <c r="AD1161" s="4">
        <v>50</v>
      </c>
      <c r="AE1161" s="4">
        <v>80</v>
      </c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233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233</v>
      </c>
      <c r="AW1161" s="8" t="s">
        <v>233</v>
      </c>
      <c r="AX1161" s="4" t="s">
        <v>233</v>
      </c>
      <c r="AY1161" s="8" t="s">
        <v>233</v>
      </c>
      <c r="AZ1161" s="7" t="s">
        <v>233</v>
      </c>
      <c r="BA1161" s="7" t="s">
        <v>233</v>
      </c>
      <c r="BB1161" s="7"/>
      <c r="BC1161" s="4" t="s">
        <v>233</v>
      </c>
      <c r="BD1161" s="8" t="s">
        <v>233</v>
      </c>
      <c r="BE1161" s="4" t="s">
        <v>233</v>
      </c>
      <c r="BF1161" s="8" t="s">
        <v>233</v>
      </c>
      <c r="BG1161" s="7" t="s">
        <v>233</v>
      </c>
      <c r="BH1161" s="7" t="s">
        <v>233</v>
      </c>
      <c r="BI1161" s="7"/>
      <c r="BJ1161" s="4">
        <v>6</v>
      </c>
      <c r="BK1161" s="8">
        <v>225.75</v>
      </c>
      <c r="BL1161" s="2" t="s">
        <v>5735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5722</v>
      </c>
      <c r="BV1161" s="2" t="s">
        <v>233</v>
      </c>
      <c r="BW1161" s="2" t="s">
        <v>233</v>
      </c>
      <c r="BX1161" s="2" t="s">
        <v>241</v>
      </c>
      <c r="BY1161" s="2" t="s">
        <v>242</v>
      </c>
      <c r="BZ1161" s="2" t="s">
        <v>230</v>
      </c>
      <c r="CA1161" s="2" t="s">
        <v>1862</v>
      </c>
      <c r="CB1161" s="2" t="s">
        <v>233</v>
      </c>
      <c r="CC1161" s="2" t="s">
        <v>245</v>
      </c>
      <c r="CD1161" s="2" t="s">
        <v>233</v>
      </c>
      <c r="CE1161" s="4">
        <v>233</v>
      </c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>
        <v>50</v>
      </c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>
        <v>30</v>
      </c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>
        <v>233</v>
      </c>
      <c r="GD1161" s="4">
        <v>225</v>
      </c>
      <c r="GE1161" s="4">
        <v>212</v>
      </c>
      <c r="GF1161" s="4">
        <v>198</v>
      </c>
      <c r="GG1161" s="4">
        <v>217</v>
      </c>
      <c r="GH1161" s="4">
        <v>198</v>
      </c>
      <c r="GI1161" s="4">
        <v>179</v>
      </c>
      <c r="GJ1161" s="4">
        <v>168</v>
      </c>
      <c r="GK1161" s="4">
        <v>161</v>
      </c>
      <c r="GL1161" s="4">
        <v>156</v>
      </c>
      <c r="GM1161" s="4">
        <v>151</v>
      </c>
      <c r="GN1161" s="4">
        <v>146</v>
      </c>
      <c r="GO1161" s="4">
        <v>172</v>
      </c>
      <c r="GP1161" s="4">
        <v>168</v>
      </c>
      <c r="GQ1161" s="4">
        <v>164</v>
      </c>
      <c r="GR1161" s="4">
        <v>160</v>
      </c>
      <c r="GS1161" s="4">
        <v>156</v>
      </c>
      <c r="GT1161" s="4">
        <v>152</v>
      </c>
      <c r="GU1161" s="4">
        <v>148</v>
      </c>
      <c r="GV1161" s="4">
        <v>146</v>
      </c>
      <c r="GW1161" s="4">
        <v>144</v>
      </c>
      <c r="GX1161" s="4">
        <v>142</v>
      </c>
      <c r="GY1161" s="4">
        <v>140</v>
      </c>
      <c r="GZ1161" s="4">
        <v>138</v>
      </c>
      <c r="HA1161" s="4">
        <v>136</v>
      </c>
      <c r="HB1161" s="4">
        <v>134</v>
      </c>
      <c r="HC1161" s="19">
        <v>14.6</v>
      </c>
      <c r="HD1161" s="19">
        <v>11.8</v>
      </c>
      <c r="HE1161" s="19">
        <v>10.1</v>
      </c>
      <c r="HF1161" s="19">
        <v>9.9</v>
      </c>
      <c r="HG1161" s="19">
        <v>15.5</v>
      </c>
      <c r="HH1161" s="19">
        <v>19.8</v>
      </c>
      <c r="HI1161" s="19">
        <v>25.6</v>
      </c>
      <c r="HJ1161" s="19">
        <v>28</v>
      </c>
      <c r="HK1161" s="19">
        <v>32.2</v>
      </c>
      <c r="HL1161" s="19">
        <v>39</v>
      </c>
      <c r="HM1161" s="19">
        <v>37.8</v>
      </c>
      <c r="HN1161" s="19">
        <v>36.5</v>
      </c>
      <c r="HO1161" s="19">
        <v>43</v>
      </c>
      <c r="HP1161" s="19">
        <v>42</v>
      </c>
      <c r="HQ1161" s="19">
        <v>41</v>
      </c>
      <c r="HR1161" s="19">
        <v>40</v>
      </c>
      <c r="HS1161" s="19">
        <v>52</v>
      </c>
      <c r="HT1161" s="19">
        <v>76</v>
      </c>
      <c r="HU1161" s="19">
        <v>74</v>
      </c>
      <c r="HV1161" s="19">
        <v>73</v>
      </c>
      <c r="HW1161" s="19">
        <v>72</v>
      </c>
      <c r="HX1161" s="19">
        <v>71</v>
      </c>
      <c r="HY1161" s="19">
        <v>70</v>
      </c>
      <c r="HZ1161" s="19">
        <v>69</v>
      </c>
      <c r="IA1161" s="19">
        <v>68</v>
      </c>
      <c r="IB1161" s="19">
        <v>67</v>
      </c>
    </row>
    <row r="1162">
      <c r="A1162" s="2" t="s">
        <v>5736</v>
      </c>
      <c r="B1162" s="2" t="s">
        <v>773</v>
      </c>
      <c r="C1162" s="2" t="s">
        <v>1411</v>
      </c>
      <c r="D1162" s="2" t="s">
        <v>261</v>
      </c>
      <c r="E1162" s="2" t="s">
        <v>895</v>
      </c>
      <c r="F1162" s="2" t="s">
        <v>5718</v>
      </c>
      <c r="G1162" s="2" t="s">
        <v>5718</v>
      </c>
      <c r="H1162" s="2" t="s">
        <v>5718</v>
      </c>
      <c r="I1162" s="2" t="s">
        <v>5725</v>
      </c>
      <c r="J1162" s="2" t="s">
        <v>265</v>
      </c>
      <c r="K1162" s="2" t="s">
        <v>651</v>
      </c>
      <c r="L1162" s="3">
        <v>42.85</v>
      </c>
      <c r="M1162" s="3">
        <v>44.99</v>
      </c>
      <c r="N1162" s="3">
        <v>89.99</v>
      </c>
      <c r="O1162" s="2" t="s">
        <v>230</v>
      </c>
      <c r="P1162" s="2" t="s">
        <v>231</v>
      </c>
      <c r="Q1162" s="2" t="s">
        <v>232</v>
      </c>
      <c r="R1162" s="2" t="s">
        <v>233</v>
      </c>
      <c r="S1162" s="2" t="s">
        <v>5734</v>
      </c>
      <c r="T1162" s="2" t="s">
        <v>2129</v>
      </c>
      <c r="U1162" s="2" t="s">
        <v>781</v>
      </c>
      <c r="V1162" s="2" t="s">
        <v>236</v>
      </c>
      <c r="W1162" s="2" t="s">
        <v>237</v>
      </c>
      <c r="X1162" s="2" t="s">
        <v>233</v>
      </c>
      <c r="Y1162" s="2" t="s">
        <v>1864</v>
      </c>
      <c r="Z1162" s="4">
        <v>309</v>
      </c>
      <c r="AA1162" s="4">
        <f>=ROUNDDOWN(44.1428571428571,0)</f>
      </c>
      <c r="AB1162" s="5">
        <v>7</v>
      </c>
      <c r="AC1162" s="2" t="s">
        <v>151</v>
      </c>
      <c r="AD1162" s="4">
        <v>120</v>
      </c>
      <c r="AE1162" s="4">
        <v>420</v>
      </c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233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233</v>
      </c>
      <c r="AW1162" s="8" t="s">
        <v>233</v>
      </c>
      <c r="AX1162" s="4" t="s">
        <v>233</v>
      </c>
      <c r="AY1162" s="8" t="s">
        <v>233</v>
      </c>
      <c r="AZ1162" s="7" t="s">
        <v>233</v>
      </c>
      <c r="BA1162" s="7" t="s">
        <v>233</v>
      </c>
      <c r="BB1162" s="7"/>
      <c r="BC1162" s="4" t="s">
        <v>233</v>
      </c>
      <c r="BD1162" s="8" t="s">
        <v>233</v>
      </c>
      <c r="BE1162" s="4" t="s">
        <v>233</v>
      </c>
      <c r="BF1162" s="8" t="s">
        <v>233</v>
      </c>
      <c r="BG1162" s="7" t="s">
        <v>233</v>
      </c>
      <c r="BH1162" s="7" t="s">
        <v>233</v>
      </c>
      <c r="BI1162" s="7"/>
      <c r="BJ1162" s="4">
        <v>8</v>
      </c>
      <c r="BK1162" s="8">
        <v>381.97</v>
      </c>
      <c r="BL1162" s="2" t="s">
        <v>3534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5722</v>
      </c>
      <c r="BV1162" s="2" t="s">
        <v>233</v>
      </c>
      <c r="BW1162" s="2" t="s">
        <v>233</v>
      </c>
      <c r="BX1162" s="2" t="s">
        <v>241</v>
      </c>
      <c r="BY1162" s="2" t="s">
        <v>242</v>
      </c>
      <c r="BZ1162" s="2" t="s">
        <v>230</v>
      </c>
      <c r="CA1162" s="2" t="s">
        <v>1862</v>
      </c>
      <c r="CB1162" s="2" t="s">
        <v>1879</v>
      </c>
      <c r="CC1162" s="2" t="s">
        <v>245</v>
      </c>
      <c r="CD1162" s="2" t="s">
        <v>233</v>
      </c>
      <c r="CE1162" s="4">
        <v>309</v>
      </c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>
        <v>120</v>
      </c>
      <c r="DN1162" s="4"/>
      <c r="DO1162" s="4"/>
      <c r="DP1162" s="4"/>
      <c r="DQ1162" s="4"/>
      <c r="DR1162" s="4">
        <v>230</v>
      </c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>
        <v>70</v>
      </c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>
        <v>311</v>
      </c>
      <c r="GD1162" s="4">
        <v>259</v>
      </c>
      <c r="GE1162" s="4">
        <v>229</v>
      </c>
      <c r="GF1162" s="4">
        <v>197</v>
      </c>
      <c r="GG1162" s="4">
        <v>250</v>
      </c>
      <c r="GH1162" s="4">
        <v>441</v>
      </c>
      <c r="GI1162" s="4">
        <v>401</v>
      </c>
      <c r="GJ1162" s="4">
        <v>377</v>
      </c>
      <c r="GK1162" s="4">
        <v>362</v>
      </c>
      <c r="GL1162" s="4">
        <v>350</v>
      </c>
      <c r="GM1162" s="4">
        <v>338</v>
      </c>
      <c r="GN1162" s="4">
        <v>326</v>
      </c>
      <c r="GO1162" s="4">
        <v>387</v>
      </c>
      <c r="GP1162" s="4">
        <v>378</v>
      </c>
      <c r="GQ1162" s="4">
        <v>369</v>
      </c>
      <c r="GR1162" s="4">
        <v>361</v>
      </c>
      <c r="GS1162" s="4">
        <v>353</v>
      </c>
      <c r="GT1162" s="4">
        <v>344</v>
      </c>
      <c r="GU1162" s="4">
        <v>336</v>
      </c>
      <c r="GV1162" s="4">
        <v>330</v>
      </c>
      <c r="GW1162" s="4">
        <v>324</v>
      </c>
      <c r="GX1162" s="4">
        <v>318</v>
      </c>
      <c r="GY1162" s="4">
        <v>312</v>
      </c>
      <c r="GZ1162" s="4">
        <v>306</v>
      </c>
      <c r="HA1162" s="4">
        <v>300</v>
      </c>
      <c r="HB1162" s="4">
        <v>294</v>
      </c>
      <c r="HC1162" s="19">
        <v>6.9</v>
      </c>
      <c r="HD1162" s="19">
        <v>6.2</v>
      </c>
      <c r="HE1162" s="19">
        <v>5.2</v>
      </c>
      <c r="HF1162" s="19">
        <v>4.7</v>
      </c>
      <c r="HG1162" s="19">
        <v>8.3</v>
      </c>
      <c r="HH1162" s="19">
        <v>19.2</v>
      </c>
      <c r="HI1162" s="19">
        <v>25.1</v>
      </c>
      <c r="HJ1162" s="19">
        <v>29</v>
      </c>
      <c r="HK1162" s="19">
        <v>32.9</v>
      </c>
      <c r="HL1162" s="19">
        <v>35</v>
      </c>
      <c r="HM1162" s="19">
        <v>33.8</v>
      </c>
      <c r="HN1162" s="19">
        <v>36.2</v>
      </c>
      <c r="HO1162" s="19">
        <v>48.4</v>
      </c>
      <c r="HP1162" s="19">
        <v>47.3</v>
      </c>
      <c r="HQ1162" s="19">
        <v>46.1</v>
      </c>
      <c r="HR1162" s="19">
        <v>45.1</v>
      </c>
      <c r="HS1162" s="19">
        <v>50.4</v>
      </c>
      <c r="HT1162" s="19">
        <v>57.3</v>
      </c>
      <c r="HU1162" s="19">
        <v>56</v>
      </c>
      <c r="HV1162" s="19">
        <v>55</v>
      </c>
      <c r="HW1162" s="19">
        <v>54</v>
      </c>
      <c r="HX1162" s="19">
        <v>53</v>
      </c>
      <c r="HY1162" s="19">
        <v>52</v>
      </c>
      <c r="HZ1162" s="19">
        <v>51</v>
      </c>
      <c r="IA1162" s="19">
        <v>50</v>
      </c>
      <c r="IB1162" s="19">
        <v>49</v>
      </c>
    </row>
    <row r="1163">
      <c r="A1163" s="2" t="s">
        <v>5737</v>
      </c>
      <c r="B1163" s="2" t="s">
        <v>773</v>
      </c>
      <c r="C1163" s="2" t="s">
        <v>1411</v>
      </c>
      <c r="D1163" s="2" t="s">
        <v>261</v>
      </c>
      <c r="E1163" s="2" t="s">
        <v>895</v>
      </c>
      <c r="F1163" s="2" t="s">
        <v>5718</v>
      </c>
      <c r="G1163" s="2" t="s">
        <v>5718</v>
      </c>
      <c r="H1163" s="2" t="s">
        <v>5718</v>
      </c>
      <c r="I1163" s="2" t="s">
        <v>5725</v>
      </c>
      <c r="J1163" s="2" t="s">
        <v>256</v>
      </c>
      <c r="K1163" s="2" t="s">
        <v>651</v>
      </c>
      <c r="L1163" s="3">
        <v>47.61</v>
      </c>
      <c r="M1163" s="3">
        <v>49.99</v>
      </c>
      <c r="N1163" s="3">
        <v>99.99</v>
      </c>
      <c r="O1163" s="2" t="s">
        <v>230</v>
      </c>
      <c r="P1163" s="2" t="s">
        <v>231</v>
      </c>
      <c r="Q1163" s="2" t="s">
        <v>232</v>
      </c>
      <c r="R1163" s="2" t="s">
        <v>233</v>
      </c>
      <c r="S1163" s="2" t="s">
        <v>5734</v>
      </c>
      <c r="T1163" s="2" t="s">
        <v>2129</v>
      </c>
      <c r="U1163" s="2" t="s">
        <v>781</v>
      </c>
      <c r="V1163" s="2" t="s">
        <v>236</v>
      </c>
      <c r="W1163" s="2" t="s">
        <v>237</v>
      </c>
      <c r="X1163" s="2" t="s">
        <v>233</v>
      </c>
      <c r="Y1163" s="2" t="s">
        <v>1551</v>
      </c>
      <c r="Z1163" s="4">
        <v>148</v>
      </c>
      <c r="AA1163" s="4">
        <f>=ROUNDDOWN(29.6,0)</f>
      </c>
      <c r="AB1163" s="5">
        <v>5</v>
      </c>
      <c r="AC1163" s="2" t="s">
        <v>151</v>
      </c>
      <c r="AD1163" s="4">
        <v>80</v>
      </c>
      <c r="AE1163" s="4">
        <v>285</v>
      </c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233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233</v>
      </c>
      <c r="AW1163" s="8" t="s">
        <v>233</v>
      </c>
      <c r="AX1163" s="4" t="s">
        <v>233</v>
      </c>
      <c r="AY1163" s="8" t="s">
        <v>233</v>
      </c>
      <c r="AZ1163" s="7" t="s">
        <v>233</v>
      </c>
      <c r="BA1163" s="7" t="s">
        <v>233</v>
      </c>
      <c r="BB1163" s="7"/>
      <c r="BC1163" s="4" t="s">
        <v>233</v>
      </c>
      <c r="BD1163" s="8" t="s">
        <v>233</v>
      </c>
      <c r="BE1163" s="4" t="s">
        <v>233</v>
      </c>
      <c r="BF1163" s="8" t="s">
        <v>233</v>
      </c>
      <c r="BG1163" s="7" t="s">
        <v>233</v>
      </c>
      <c r="BH1163" s="7" t="s">
        <v>233</v>
      </c>
      <c r="BI1163" s="7"/>
      <c r="BJ1163" s="4">
        <v>4</v>
      </c>
      <c r="BK1163" s="8">
        <v>209.96</v>
      </c>
      <c r="BL1163" s="2" t="s">
        <v>5738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5722</v>
      </c>
      <c r="BV1163" s="2" t="s">
        <v>233</v>
      </c>
      <c r="BW1163" s="2" t="s">
        <v>233</v>
      </c>
      <c r="BX1163" s="2" t="s">
        <v>241</v>
      </c>
      <c r="BY1163" s="2" t="s">
        <v>242</v>
      </c>
      <c r="BZ1163" s="2" t="s">
        <v>230</v>
      </c>
      <c r="CA1163" s="2" t="s">
        <v>1862</v>
      </c>
      <c r="CB1163" s="2" t="s">
        <v>5739</v>
      </c>
      <c r="CC1163" s="2" t="s">
        <v>245</v>
      </c>
      <c r="CD1163" s="2" t="s">
        <v>233</v>
      </c>
      <c r="CE1163" s="4">
        <v>148</v>
      </c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>
        <v>80</v>
      </c>
      <c r="DN1163" s="4"/>
      <c r="DO1163" s="4"/>
      <c r="DP1163" s="4"/>
      <c r="DQ1163" s="4"/>
      <c r="DR1163" s="4">
        <v>120</v>
      </c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>
        <v>85</v>
      </c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>
        <v>149</v>
      </c>
      <c r="GD1163" s="4">
        <v>119</v>
      </c>
      <c r="GE1163" s="4">
        <v>107</v>
      </c>
      <c r="GF1163" s="4">
        <v>93</v>
      </c>
      <c r="GG1163" s="4">
        <v>146</v>
      </c>
      <c r="GH1163" s="4">
        <v>243</v>
      </c>
      <c r="GI1163" s="4">
        <v>220</v>
      </c>
      <c r="GJ1163" s="4">
        <v>206</v>
      </c>
      <c r="GK1163" s="4">
        <v>197</v>
      </c>
      <c r="GL1163" s="4">
        <v>189</v>
      </c>
      <c r="GM1163" s="4">
        <v>181</v>
      </c>
      <c r="GN1163" s="4">
        <v>173</v>
      </c>
      <c r="GO1163" s="4">
        <v>252</v>
      </c>
      <c r="GP1163" s="4">
        <v>246</v>
      </c>
      <c r="GQ1163" s="4">
        <v>240</v>
      </c>
      <c r="GR1163" s="4">
        <v>234</v>
      </c>
      <c r="GS1163" s="4">
        <v>228</v>
      </c>
      <c r="GT1163" s="4">
        <v>222</v>
      </c>
      <c r="GU1163" s="4">
        <v>216</v>
      </c>
      <c r="GV1163" s="4">
        <v>211</v>
      </c>
      <c r="GW1163" s="4">
        <v>206</v>
      </c>
      <c r="GX1163" s="4">
        <v>201</v>
      </c>
      <c r="GY1163" s="4">
        <v>196</v>
      </c>
      <c r="GZ1163" s="4">
        <v>191</v>
      </c>
      <c r="HA1163" s="4">
        <v>186</v>
      </c>
      <c r="HB1163" s="4">
        <v>181</v>
      </c>
      <c r="HC1163" s="19">
        <v>7.1</v>
      </c>
      <c r="HD1163" s="19">
        <v>6.3</v>
      </c>
      <c r="HE1163" s="19">
        <v>4.9</v>
      </c>
      <c r="HF1163" s="19">
        <v>4.2</v>
      </c>
      <c r="HG1163" s="19">
        <v>8.6</v>
      </c>
      <c r="HH1163" s="19">
        <v>17.4</v>
      </c>
      <c r="HI1163" s="19">
        <v>22</v>
      </c>
      <c r="HJ1163" s="19">
        <v>25.8</v>
      </c>
      <c r="HK1163" s="19">
        <v>24.6</v>
      </c>
      <c r="HL1163" s="19">
        <v>27</v>
      </c>
      <c r="HM1163" s="19">
        <v>30.2</v>
      </c>
      <c r="HN1163" s="19">
        <v>28.8</v>
      </c>
      <c r="HO1163" s="19">
        <v>42</v>
      </c>
      <c r="HP1163" s="19">
        <v>41</v>
      </c>
      <c r="HQ1163" s="19">
        <v>40</v>
      </c>
      <c r="HR1163" s="19">
        <v>39</v>
      </c>
      <c r="HS1163" s="19">
        <v>38</v>
      </c>
      <c r="HT1163" s="19">
        <v>44.4</v>
      </c>
      <c r="HU1163" s="19">
        <v>43.2</v>
      </c>
      <c r="HV1163" s="19">
        <v>42.2</v>
      </c>
      <c r="HW1163" s="19">
        <v>41.2</v>
      </c>
      <c r="HX1163" s="19">
        <v>40.2</v>
      </c>
      <c r="HY1163" s="19">
        <v>39.2</v>
      </c>
      <c r="HZ1163" s="19">
        <v>38.2</v>
      </c>
      <c r="IA1163" s="19">
        <v>46.5</v>
      </c>
      <c r="IB1163" s="19">
        <v>45.3</v>
      </c>
    </row>
    <row r="1164">
      <c r="A1164" s="2" t="s">
        <v>5740</v>
      </c>
      <c r="B1164" s="2" t="s">
        <v>872</v>
      </c>
      <c r="C1164" s="2" t="s">
        <v>5741</v>
      </c>
      <c r="D1164" s="2" t="s">
        <v>884</v>
      </c>
      <c r="E1164" s="2" t="s">
        <v>885</v>
      </c>
      <c r="F1164" s="2" t="s">
        <v>5742</v>
      </c>
      <c r="G1164" s="2" t="s">
        <v>5742</v>
      </c>
      <c r="H1164" s="2" t="s">
        <v>233</v>
      </c>
      <c r="I1164" s="2" t="s">
        <v>5743</v>
      </c>
      <c r="J1164" s="2" t="s">
        <v>336</v>
      </c>
      <c r="K1164" s="2" t="s">
        <v>4483</v>
      </c>
      <c r="L1164" s="3">
        <v>73.15</v>
      </c>
      <c r="M1164" s="3">
        <v>76.81</v>
      </c>
      <c r="N1164" s="3">
        <v>209</v>
      </c>
      <c r="O1164" s="2" t="s">
        <v>230</v>
      </c>
      <c r="P1164" s="2" t="s">
        <v>231</v>
      </c>
      <c r="Q1164" s="2" t="s">
        <v>232</v>
      </c>
      <c r="R1164" s="2" t="s">
        <v>233</v>
      </c>
      <c r="S1164" s="2" t="s">
        <v>5744</v>
      </c>
      <c r="T1164" s="2" t="s">
        <v>233</v>
      </c>
      <c r="U1164" s="2" t="s">
        <v>781</v>
      </c>
      <c r="V1164" s="2" t="s">
        <v>236</v>
      </c>
      <c r="W1164" s="2" t="s">
        <v>712</v>
      </c>
      <c r="X1164" s="2" t="s">
        <v>878</v>
      </c>
      <c r="Y1164" s="2" t="s">
        <v>5745</v>
      </c>
      <c r="Z1164" s="4">
        <v>36</v>
      </c>
      <c r="AA1164" s="4">
        <f>=ROUNDDOWN(9,0)</f>
      </c>
      <c r="AB1164" s="5">
        <v>4</v>
      </c>
      <c r="AC1164" s="2" t="s">
        <v>4047</v>
      </c>
      <c r="AD1164" s="4">
        <v>150</v>
      </c>
      <c r="AE1164" s="4">
        <v>150</v>
      </c>
      <c r="AF1164" s="6">
        <v>67</v>
      </c>
      <c r="AG1164" s="6"/>
      <c r="AH1164" s="7">
        <v>1</v>
      </c>
      <c r="AI1164" s="4"/>
      <c r="AJ1164" s="4">
        <f>=ROUNDDOWN({0},0)</f>
      </c>
      <c r="AK1164" s="5"/>
      <c r="AL1164" s="2" t="s">
        <v>233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/>
      <c r="AW1164" s="8"/>
      <c r="AX1164" s="4"/>
      <c r="AY1164" s="8"/>
      <c r="AZ1164" s="7"/>
      <c r="BA1164" s="7"/>
      <c r="BB1164" s="7"/>
      <c r="BC1164" s="4" t="s">
        <v>233</v>
      </c>
      <c r="BD1164" s="8" t="s">
        <v>233</v>
      </c>
      <c r="BE1164" s="4" t="s">
        <v>233</v>
      </c>
      <c r="BF1164" s="8" t="s">
        <v>233</v>
      </c>
      <c r="BG1164" s="7" t="s">
        <v>233</v>
      </c>
      <c r="BH1164" s="7" t="s">
        <v>233</v>
      </c>
      <c r="BI1164" s="7"/>
      <c r="BJ1164" s="4">
        <v>8</v>
      </c>
      <c r="BK1164" s="8">
        <v>912.18</v>
      </c>
      <c r="BL1164" s="2" t="s">
        <v>5746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5747</v>
      </c>
      <c r="BV1164" s="2" t="s">
        <v>233</v>
      </c>
      <c r="BW1164" s="2" t="s">
        <v>233</v>
      </c>
      <c r="BX1164" s="2" t="s">
        <v>241</v>
      </c>
      <c r="BY1164" s="2" t="s">
        <v>242</v>
      </c>
      <c r="BZ1164" s="2" t="s">
        <v>230</v>
      </c>
      <c r="CA1164" s="2" t="s">
        <v>243</v>
      </c>
      <c r="CB1164" s="2" t="s">
        <v>5748</v>
      </c>
      <c r="CC1164" s="2" t="s">
        <v>245</v>
      </c>
      <c r="CD1164" s="2" t="s">
        <v>233</v>
      </c>
      <c r="CE1164" s="4">
        <v>36</v>
      </c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>
        <v>150</v>
      </c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>
        <v>45</v>
      </c>
      <c r="GD1164" s="4">
        <v>35</v>
      </c>
      <c r="GE1164" s="4">
        <v>30</v>
      </c>
      <c r="GF1164" s="4">
        <v>24</v>
      </c>
      <c r="GG1164" s="4">
        <v>16</v>
      </c>
      <c r="GH1164" s="4">
        <v>10</v>
      </c>
      <c r="GI1164" s="4">
        <v>5</v>
      </c>
      <c r="GJ1164" s="4">
        <v>1</v>
      </c>
      <c r="GK1164" s="4"/>
      <c r="GL1164" s="4"/>
      <c r="GM1164" s="4">
        <v>150</v>
      </c>
      <c r="GN1164" s="4">
        <v>146</v>
      </c>
      <c r="GO1164" s="4">
        <v>142</v>
      </c>
      <c r="GP1164" s="4">
        <v>138</v>
      </c>
      <c r="GQ1164" s="4">
        <v>134</v>
      </c>
      <c r="GR1164" s="4">
        <v>130</v>
      </c>
      <c r="GS1164" s="4">
        <v>126</v>
      </c>
      <c r="GT1164" s="4">
        <v>122</v>
      </c>
      <c r="GU1164" s="4">
        <v>118</v>
      </c>
      <c r="GV1164" s="4">
        <v>114</v>
      </c>
      <c r="GW1164" s="4">
        <v>110</v>
      </c>
      <c r="GX1164" s="4">
        <v>106</v>
      </c>
      <c r="GY1164" s="4">
        <v>102</v>
      </c>
      <c r="GZ1164" s="4">
        <v>98</v>
      </c>
      <c r="HA1164" s="4">
        <v>94</v>
      </c>
      <c r="HB1164" s="4">
        <v>90</v>
      </c>
      <c r="HC1164" s="19">
        <v>6.4</v>
      </c>
      <c r="HD1164" s="19">
        <v>5.8</v>
      </c>
      <c r="HE1164" s="19">
        <v>5</v>
      </c>
      <c r="HF1164" s="19">
        <v>4</v>
      </c>
      <c r="HG1164" s="19">
        <v>4</v>
      </c>
      <c r="HH1164" s="19">
        <v>2.5</v>
      </c>
      <c r="HI1164" s="19">
        <v>1.3</v>
      </c>
      <c r="HJ1164" s="19">
        <v>0.3</v>
      </c>
      <c r="HK1164" s="20">
        <v>0</v>
      </c>
      <c r="HL1164" s="20">
        <v>0</v>
      </c>
      <c r="HM1164" s="19">
        <v>37.5</v>
      </c>
      <c r="HN1164" s="19">
        <v>36.5</v>
      </c>
      <c r="HO1164" s="19">
        <v>35.5</v>
      </c>
      <c r="HP1164" s="9"/>
      <c r="HQ1164" s="19">
        <v>33.5</v>
      </c>
      <c r="HR1164" s="19">
        <v>32.5</v>
      </c>
      <c r="HS1164" s="19">
        <v>31.5</v>
      </c>
      <c r="HT1164" s="19">
        <v>30.5</v>
      </c>
      <c r="HU1164" s="19">
        <v>29.5</v>
      </c>
      <c r="HV1164" s="19">
        <v>28.5</v>
      </c>
      <c r="HW1164" s="19">
        <v>27.5</v>
      </c>
      <c r="HX1164" s="19">
        <v>26.5</v>
      </c>
      <c r="HY1164" s="19">
        <v>25.5</v>
      </c>
      <c r="HZ1164" s="19">
        <v>24.5</v>
      </c>
      <c r="IA1164" s="19">
        <v>23.5</v>
      </c>
      <c r="IB1164" s="19">
        <v>22.5</v>
      </c>
    </row>
    <row r="1165">
      <c r="A1165" s="2" t="s">
        <v>5749</v>
      </c>
      <c r="B1165" s="2" t="s">
        <v>872</v>
      </c>
      <c r="C1165" s="2" t="s">
        <v>5741</v>
      </c>
      <c r="D1165" s="2" t="s">
        <v>884</v>
      </c>
      <c r="E1165" s="2" t="s">
        <v>885</v>
      </c>
      <c r="F1165" s="2" t="s">
        <v>5742</v>
      </c>
      <c r="G1165" s="2" t="s">
        <v>5742</v>
      </c>
      <c r="H1165" s="2" t="s">
        <v>233</v>
      </c>
      <c r="I1165" s="2" t="s">
        <v>5743</v>
      </c>
      <c r="J1165" s="2" t="s">
        <v>256</v>
      </c>
      <c r="K1165" s="2" t="s">
        <v>5750</v>
      </c>
      <c r="L1165" s="3">
        <v>90.65</v>
      </c>
      <c r="M1165" s="3">
        <v>95.18</v>
      </c>
      <c r="N1165" s="3">
        <v>259</v>
      </c>
      <c r="O1165" s="2" t="s">
        <v>2686</v>
      </c>
      <c r="P1165" s="2" t="s">
        <v>231</v>
      </c>
      <c r="Q1165" s="2" t="s">
        <v>232</v>
      </c>
      <c r="R1165" s="2" t="s">
        <v>233</v>
      </c>
      <c r="S1165" s="2" t="s">
        <v>5751</v>
      </c>
      <c r="T1165" s="2" t="s">
        <v>233</v>
      </c>
      <c r="U1165" s="2" t="s">
        <v>781</v>
      </c>
      <c r="V1165" s="2" t="s">
        <v>236</v>
      </c>
      <c r="W1165" s="2" t="s">
        <v>712</v>
      </c>
      <c r="X1165" s="2" t="s">
        <v>878</v>
      </c>
      <c r="Y1165" s="2" t="s">
        <v>238</v>
      </c>
      <c r="Z1165" s="4">
        <v>63</v>
      </c>
      <c r="AA1165" s="4">
        <f>=ROUNDDOWN(31.5,0)</f>
      </c>
      <c r="AB1165" s="5">
        <v>2</v>
      </c>
      <c r="AC1165" s="2" t="s">
        <v>233</v>
      </c>
      <c r="AD1165" s="4"/>
      <c r="AE1165" s="4"/>
      <c r="AF1165" s="6">
        <v>67</v>
      </c>
      <c r="AG1165" s="6"/>
      <c r="AH1165" s="7">
        <v>1</v>
      </c>
      <c r="AI1165" s="4"/>
      <c r="AJ1165" s="4">
        <f>=ROUNDDOWN({0},0)</f>
      </c>
      <c r="AK1165" s="5"/>
      <c r="AL1165" s="2" t="s">
        <v>233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/>
      <c r="AW1165" s="8"/>
      <c r="AX1165" s="4"/>
      <c r="AY1165" s="8"/>
      <c r="AZ1165" s="7"/>
      <c r="BA1165" s="7"/>
      <c r="BB1165" s="7"/>
      <c r="BC1165" s="4" t="s">
        <v>233</v>
      </c>
      <c r="BD1165" s="8" t="s">
        <v>233</v>
      </c>
      <c r="BE1165" s="4" t="s">
        <v>233</v>
      </c>
      <c r="BF1165" s="8" t="s">
        <v>233</v>
      </c>
      <c r="BG1165" s="7" t="s">
        <v>233</v>
      </c>
      <c r="BH1165" s="7" t="s">
        <v>233</v>
      </c>
      <c r="BI1165" s="7"/>
      <c r="BJ1165" s="4">
        <v>9</v>
      </c>
      <c r="BK1165" s="8">
        <v>809.58</v>
      </c>
      <c r="BL1165" s="2" t="s">
        <v>5752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5747</v>
      </c>
      <c r="BV1165" s="2" t="s">
        <v>233</v>
      </c>
      <c r="BW1165" s="2" t="s">
        <v>233</v>
      </c>
      <c r="BX1165" s="2" t="s">
        <v>241</v>
      </c>
      <c r="BY1165" s="2" t="s">
        <v>242</v>
      </c>
      <c r="BZ1165" s="2" t="s">
        <v>230</v>
      </c>
      <c r="CA1165" s="2" t="s">
        <v>243</v>
      </c>
      <c r="CB1165" s="2" t="s">
        <v>3255</v>
      </c>
      <c r="CC1165" s="2" t="s">
        <v>245</v>
      </c>
      <c r="CD1165" s="2" t="s">
        <v>233</v>
      </c>
      <c r="CE1165" s="4">
        <v>63</v>
      </c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>
        <v>64</v>
      </c>
      <c r="GD1165" s="4">
        <v>61</v>
      </c>
      <c r="GE1165" s="4">
        <v>59</v>
      </c>
      <c r="GF1165" s="4">
        <v>56</v>
      </c>
      <c r="GG1165" s="4">
        <v>52</v>
      </c>
      <c r="GH1165" s="4">
        <v>48</v>
      </c>
      <c r="GI1165" s="4">
        <v>45</v>
      </c>
      <c r="GJ1165" s="4">
        <v>43</v>
      </c>
      <c r="GK1165" s="4">
        <v>42</v>
      </c>
      <c r="GL1165" s="4">
        <v>40</v>
      </c>
      <c r="GM1165" s="4">
        <v>38</v>
      </c>
      <c r="GN1165" s="4">
        <v>36</v>
      </c>
      <c r="GO1165" s="4">
        <v>34</v>
      </c>
      <c r="GP1165" s="4">
        <v>32</v>
      </c>
      <c r="GQ1165" s="4">
        <v>30</v>
      </c>
      <c r="GR1165" s="4">
        <v>28</v>
      </c>
      <c r="GS1165" s="4">
        <v>26</v>
      </c>
      <c r="GT1165" s="4">
        <v>24</v>
      </c>
      <c r="GU1165" s="4">
        <v>22</v>
      </c>
      <c r="GV1165" s="4">
        <v>20</v>
      </c>
      <c r="GW1165" s="4">
        <v>18</v>
      </c>
      <c r="GX1165" s="4">
        <v>16</v>
      </c>
      <c r="GY1165" s="4">
        <v>14</v>
      </c>
      <c r="GZ1165" s="4">
        <v>12</v>
      </c>
      <c r="HA1165" s="4">
        <v>10</v>
      </c>
      <c r="HB1165" s="4">
        <v>92</v>
      </c>
      <c r="HC1165" s="19">
        <v>21.3</v>
      </c>
      <c r="HD1165" s="19">
        <v>20.3</v>
      </c>
      <c r="HE1165" s="19">
        <v>14.8</v>
      </c>
      <c r="HF1165" s="19">
        <v>18.7</v>
      </c>
      <c r="HG1165" s="19">
        <v>26</v>
      </c>
      <c r="HH1165" s="19">
        <v>24</v>
      </c>
      <c r="HI1165" s="19">
        <v>22.5</v>
      </c>
      <c r="HJ1165" s="19">
        <v>21.5</v>
      </c>
      <c r="HK1165" s="19">
        <v>21</v>
      </c>
      <c r="HL1165" s="19">
        <v>20</v>
      </c>
      <c r="HM1165" s="19">
        <v>19</v>
      </c>
      <c r="HN1165" s="19">
        <v>18</v>
      </c>
      <c r="HO1165" s="19">
        <v>17</v>
      </c>
      <c r="HP1165" s="19">
        <v>16</v>
      </c>
      <c r="HQ1165" s="19">
        <v>15</v>
      </c>
      <c r="HR1165" s="19">
        <v>14</v>
      </c>
      <c r="HS1165" s="19">
        <v>13</v>
      </c>
      <c r="HT1165" s="19">
        <v>12</v>
      </c>
      <c r="HU1165" s="19">
        <v>11</v>
      </c>
      <c r="HV1165" s="19">
        <v>10</v>
      </c>
      <c r="HW1165" s="19">
        <v>9</v>
      </c>
      <c r="HX1165" s="19">
        <v>8</v>
      </c>
      <c r="HY1165" s="19">
        <v>7</v>
      </c>
      <c r="HZ1165" s="19">
        <v>6</v>
      </c>
      <c r="IA1165" s="19">
        <v>5</v>
      </c>
      <c r="IB1165" s="19">
        <v>46</v>
      </c>
    </row>
    <row r="1166">
      <c r="A1166" s="2" t="s">
        <v>5753</v>
      </c>
      <c r="B1166" s="2" t="s">
        <v>872</v>
      </c>
      <c r="C1166" s="2" t="s">
        <v>5741</v>
      </c>
      <c r="D1166" s="2" t="s">
        <v>884</v>
      </c>
      <c r="E1166" s="2" t="s">
        <v>885</v>
      </c>
      <c r="F1166" s="2" t="s">
        <v>5742</v>
      </c>
      <c r="G1166" s="2" t="s">
        <v>5742</v>
      </c>
      <c r="H1166" s="2" t="s">
        <v>5742</v>
      </c>
      <c r="I1166" s="2" t="s">
        <v>5743</v>
      </c>
      <c r="J1166" s="2" t="s">
        <v>336</v>
      </c>
      <c r="K1166" s="2" t="s">
        <v>458</v>
      </c>
      <c r="L1166" s="3">
        <v>73.15</v>
      </c>
      <c r="M1166" s="3">
        <v>76.81</v>
      </c>
      <c r="N1166" s="3">
        <v>209</v>
      </c>
      <c r="O1166" s="2" t="s">
        <v>230</v>
      </c>
      <c r="P1166" s="2" t="s">
        <v>231</v>
      </c>
      <c r="Q1166" s="2" t="s">
        <v>232</v>
      </c>
      <c r="R1166" s="2" t="s">
        <v>233</v>
      </c>
      <c r="S1166" s="2" t="s">
        <v>5754</v>
      </c>
      <c r="T1166" s="2" t="s">
        <v>233</v>
      </c>
      <c r="U1166" s="2" t="s">
        <v>781</v>
      </c>
      <c r="V1166" s="2" t="s">
        <v>236</v>
      </c>
      <c r="W1166" s="2" t="s">
        <v>712</v>
      </c>
      <c r="X1166" s="2" t="s">
        <v>878</v>
      </c>
      <c r="Y1166" s="2" t="s">
        <v>238</v>
      </c>
      <c r="Z1166" s="4">
        <v>72</v>
      </c>
      <c r="AA1166" s="4">
        <f>=ROUNDDOWN(14.4,0)</f>
      </c>
      <c r="AB1166" s="5">
        <v>5</v>
      </c>
      <c r="AC1166" s="2" t="s">
        <v>4047</v>
      </c>
      <c r="AD1166" s="4">
        <v>160</v>
      </c>
      <c r="AE1166" s="4">
        <v>160</v>
      </c>
      <c r="AF1166" s="6">
        <v>67</v>
      </c>
      <c r="AG1166" s="6"/>
      <c r="AH1166" s="7">
        <v>1</v>
      </c>
      <c r="AI1166" s="4"/>
      <c r="AJ1166" s="4">
        <f>=ROUNDDOWN({0},0)</f>
      </c>
      <c r="AK1166" s="5"/>
      <c r="AL1166" s="2" t="s">
        <v>233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233</v>
      </c>
      <c r="AW1166" s="8" t="s">
        <v>233</v>
      </c>
      <c r="AX1166" s="4" t="s">
        <v>233</v>
      </c>
      <c r="AY1166" s="8" t="s">
        <v>233</v>
      </c>
      <c r="AZ1166" s="7" t="s">
        <v>233</v>
      </c>
      <c r="BA1166" s="7" t="s">
        <v>233</v>
      </c>
      <c r="BB1166" s="7"/>
      <c r="BC1166" s="4" t="s">
        <v>233</v>
      </c>
      <c r="BD1166" s="8" t="s">
        <v>233</v>
      </c>
      <c r="BE1166" s="4" t="s">
        <v>233</v>
      </c>
      <c r="BF1166" s="8" t="s">
        <v>233</v>
      </c>
      <c r="BG1166" s="7" t="s">
        <v>233</v>
      </c>
      <c r="BH1166" s="7" t="s">
        <v>233</v>
      </c>
      <c r="BI1166" s="7"/>
      <c r="BJ1166" s="4">
        <v>4</v>
      </c>
      <c r="BK1166" s="8">
        <v>336.46</v>
      </c>
      <c r="BL1166" s="2" t="s">
        <v>5623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5747</v>
      </c>
      <c r="BV1166" s="2" t="s">
        <v>233</v>
      </c>
      <c r="BW1166" s="2" t="s">
        <v>233</v>
      </c>
      <c r="BX1166" s="2" t="s">
        <v>241</v>
      </c>
      <c r="BY1166" s="2" t="s">
        <v>242</v>
      </c>
      <c r="BZ1166" s="2" t="s">
        <v>230</v>
      </c>
      <c r="CA1166" s="2" t="s">
        <v>5755</v>
      </c>
      <c r="CB1166" s="2" t="s">
        <v>5756</v>
      </c>
      <c r="CC1166" s="2" t="s">
        <v>245</v>
      </c>
      <c r="CD1166" s="2" t="s">
        <v>233</v>
      </c>
      <c r="CE1166" s="4">
        <v>72</v>
      </c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>
        <v>160</v>
      </c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>
        <v>76</v>
      </c>
      <c r="GD1166" s="4">
        <v>68</v>
      </c>
      <c r="GE1166" s="4">
        <v>62</v>
      </c>
      <c r="GF1166" s="4">
        <v>55</v>
      </c>
      <c r="GG1166" s="4">
        <v>45</v>
      </c>
      <c r="GH1166" s="4">
        <v>37</v>
      </c>
      <c r="GI1166" s="4">
        <v>31</v>
      </c>
      <c r="GJ1166" s="4">
        <v>26</v>
      </c>
      <c r="GK1166" s="4">
        <v>23</v>
      </c>
      <c r="GL1166" s="4">
        <v>17</v>
      </c>
      <c r="GM1166" s="4">
        <v>172</v>
      </c>
      <c r="GN1166" s="4">
        <v>167</v>
      </c>
      <c r="GO1166" s="4">
        <v>162</v>
      </c>
      <c r="GP1166" s="4">
        <v>157</v>
      </c>
      <c r="GQ1166" s="4">
        <v>152</v>
      </c>
      <c r="GR1166" s="4">
        <v>147</v>
      </c>
      <c r="GS1166" s="4">
        <v>142</v>
      </c>
      <c r="GT1166" s="4">
        <v>136</v>
      </c>
      <c r="GU1166" s="4">
        <v>131</v>
      </c>
      <c r="GV1166" s="4">
        <v>126</v>
      </c>
      <c r="GW1166" s="4">
        <v>121</v>
      </c>
      <c r="GX1166" s="4">
        <v>116</v>
      </c>
      <c r="GY1166" s="4">
        <v>111</v>
      </c>
      <c r="GZ1166" s="4">
        <v>106</v>
      </c>
      <c r="HA1166" s="4">
        <v>101</v>
      </c>
      <c r="HB1166" s="4">
        <v>96</v>
      </c>
      <c r="HC1166" s="19">
        <v>9.5</v>
      </c>
      <c r="HD1166" s="19">
        <v>8.5</v>
      </c>
      <c r="HE1166" s="19">
        <v>7.8</v>
      </c>
      <c r="HF1166" s="19">
        <v>7.9</v>
      </c>
      <c r="HG1166" s="19">
        <v>7.5</v>
      </c>
      <c r="HH1166" s="19">
        <v>7.4</v>
      </c>
      <c r="HI1166" s="19">
        <v>6.2</v>
      </c>
      <c r="HJ1166" s="19">
        <v>5.2</v>
      </c>
      <c r="HK1166" s="19">
        <v>4.6</v>
      </c>
      <c r="HL1166" s="19">
        <v>3.4</v>
      </c>
      <c r="HM1166" s="19">
        <v>34.4</v>
      </c>
      <c r="HN1166" s="19">
        <v>33.4</v>
      </c>
      <c r="HO1166" s="19">
        <v>32.4</v>
      </c>
      <c r="HP1166" s="19">
        <v>31.4</v>
      </c>
      <c r="HQ1166" s="19">
        <v>30.4</v>
      </c>
      <c r="HR1166" s="19">
        <v>29.4</v>
      </c>
      <c r="HS1166" s="19">
        <v>28.4</v>
      </c>
      <c r="HT1166" s="19">
        <v>27.2</v>
      </c>
      <c r="HU1166" s="19">
        <v>26.2</v>
      </c>
      <c r="HV1166" s="19">
        <v>25.2</v>
      </c>
      <c r="HW1166" s="19">
        <v>24.2</v>
      </c>
      <c r="HX1166" s="19">
        <v>23.2</v>
      </c>
      <c r="HY1166" s="19">
        <v>22.2</v>
      </c>
      <c r="HZ1166" s="19">
        <v>21.2</v>
      </c>
      <c r="IA1166" s="19">
        <v>20.2</v>
      </c>
      <c r="IB1166" s="19">
        <v>19.2</v>
      </c>
    </row>
    <row r="1167">
      <c r="A1167" s="2" t="s">
        <v>5757</v>
      </c>
      <c r="B1167" s="2" t="s">
        <v>872</v>
      </c>
      <c r="C1167" s="2" t="s">
        <v>5741</v>
      </c>
      <c r="D1167" s="2" t="s">
        <v>884</v>
      </c>
      <c r="E1167" s="2" t="s">
        <v>885</v>
      </c>
      <c r="F1167" s="2" t="s">
        <v>5742</v>
      </c>
      <c r="G1167" s="2" t="s">
        <v>5742</v>
      </c>
      <c r="H1167" s="2" t="s">
        <v>5742</v>
      </c>
      <c r="I1167" s="2" t="s">
        <v>5743</v>
      </c>
      <c r="J1167" s="2" t="s">
        <v>256</v>
      </c>
      <c r="K1167" s="2" t="s">
        <v>458</v>
      </c>
      <c r="L1167" s="3">
        <v>90.65</v>
      </c>
      <c r="M1167" s="3">
        <v>95.18</v>
      </c>
      <c r="N1167" s="3">
        <v>259</v>
      </c>
      <c r="O1167" s="2" t="s">
        <v>230</v>
      </c>
      <c r="P1167" s="2" t="s">
        <v>231</v>
      </c>
      <c r="Q1167" s="2" t="s">
        <v>232</v>
      </c>
      <c r="R1167" s="2" t="s">
        <v>233</v>
      </c>
      <c r="S1167" s="2" t="s">
        <v>5754</v>
      </c>
      <c r="T1167" s="2" t="s">
        <v>233</v>
      </c>
      <c r="U1167" s="2" t="s">
        <v>781</v>
      </c>
      <c r="V1167" s="2" t="s">
        <v>236</v>
      </c>
      <c r="W1167" s="2" t="s">
        <v>712</v>
      </c>
      <c r="X1167" s="2" t="s">
        <v>878</v>
      </c>
      <c r="Y1167" s="2" t="s">
        <v>238</v>
      </c>
      <c r="Z1167" s="4">
        <v>171</v>
      </c>
      <c r="AA1167" s="4">
        <f>=ROUNDDOWN(34.2,0)</f>
      </c>
      <c r="AB1167" s="5">
        <v>5</v>
      </c>
      <c r="AC1167" s="2" t="s">
        <v>4047</v>
      </c>
      <c r="AD1167" s="4">
        <v>90</v>
      </c>
      <c r="AE1167" s="4">
        <v>90</v>
      </c>
      <c r="AF1167" s="6">
        <v>67</v>
      </c>
      <c r="AG1167" s="6"/>
      <c r="AH1167" s="7">
        <v>0</v>
      </c>
      <c r="AI1167" s="4"/>
      <c r="AJ1167" s="4">
        <f>=ROUNDDOWN({0},0)</f>
      </c>
      <c r="AK1167" s="5"/>
      <c r="AL1167" s="2" t="s">
        <v>233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233</v>
      </c>
      <c r="AW1167" s="8" t="s">
        <v>233</v>
      </c>
      <c r="AX1167" s="4" t="s">
        <v>233</v>
      </c>
      <c r="AY1167" s="8" t="s">
        <v>233</v>
      </c>
      <c r="AZ1167" s="7" t="s">
        <v>233</v>
      </c>
      <c r="BA1167" s="7" t="s">
        <v>233</v>
      </c>
      <c r="BB1167" s="7"/>
      <c r="BC1167" s="4" t="s">
        <v>233</v>
      </c>
      <c r="BD1167" s="8" t="s">
        <v>233</v>
      </c>
      <c r="BE1167" s="4" t="s">
        <v>233</v>
      </c>
      <c r="BF1167" s="8" t="s">
        <v>233</v>
      </c>
      <c r="BG1167" s="7" t="s">
        <v>233</v>
      </c>
      <c r="BH1167" s="7" t="s">
        <v>233</v>
      </c>
      <c r="BI1167" s="7"/>
      <c r="BJ1167" s="4"/>
      <c r="BK1167" s="8"/>
      <c r="BL1167" s="2" t="s">
        <v>233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5747</v>
      </c>
      <c r="BV1167" s="2" t="s">
        <v>233</v>
      </c>
      <c r="BW1167" s="2" t="s">
        <v>233</v>
      </c>
      <c r="BX1167" s="2" t="s">
        <v>241</v>
      </c>
      <c r="BY1167" s="2" t="s">
        <v>242</v>
      </c>
      <c r="BZ1167" s="2" t="s">
        <v>230</v>
      </c>
      <c r="CA1167" s="2" t="s">
        <v>5755</v>
      </c>
      <c r="CB1167" s="2" t="s">
        <v>5658</v>
      </c>
      <c r="CC1167" s="2" t="s">
        <v>245</v>
      </c>
      <c r="CD1167" s="2" t="s">
        <v>233</v>
      </c>
      <c r="CE1167" s="4">
        <v>171</v>
      </c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>
        <v>90</v>
      </c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>
        <v>206</v>
      </c>
      <c r="GD1167" s="4">
        <v>200</v>
      </c>
      <c r="GE1167" s="4">
        <v>194</v>
      </c>
      <c r="GF1167" s="4">
        <v>186</v>
      </c>
      <c r="GG1167" s="4">
        <v>175</v>
      </c>
      <c r="GH1167" s="4">
        <v>166</v>
      </c>
      <c r="GI1167" s="4">
        <v>159</v>
      </c>
      <c r="GJ1167" s="4">
        <v>153</v>
      </c>
      <c r="GK1167" s="4">
        <v>149</v>
      </c>
      <c r="GL1167" s="4">
        <v>143</v>
      </c>
      <c r="GM1167" s="4">
        <v>227</v>
      </c>
      <c r="GN1167" s="4">
        <v>221</v>
      </c>
      <c r="GO1167" s="4">
        <v>194</v>
      </c>
      <c r="GP1167" s="4">
        <v>188</v>
      </c>
      <c r="GQ1167" s="4">
        <v>183</v>
      </c>
      <c r="GR1167" s="4">
        <v>178</v>
      </c>
      <c r="GS1167" s="4">
        <v>173</v>
      </c>
      <c r="GT1167" s="4">
        <v>167</v>
      </c>
      <c r="GU1167" s="4">
        <v>162</v>
      </c>
      <c r="GV1167" s="4">
        <v>157</v>
      </c>
      <c r="GW1167" s="4">
        <v>152</v>
      </c>
      <c r="GX1167" s="4">
        <v>147</v>
      </c>
      <c r="GY1167" s="4">
        <v>142</v>
      </c>
      <c r="GZ1167" s="4">
        <v>137</v>
      </c>
      <c r="HA1167" s="4">
        <v>132</v>
      </c>
      <c r="HB1167" s="4">
        <v>127</v>
      </c>
      <c r="HC1167" s="19">
        <v>25.8</v>
      </c>
      <c r="HD1167" s="19">
        <v>25</v>
      </c>
      <c r="HE1167" s="19">
        <v>21.6</v>
      </c>
      <c r="HF1167" s="19">
        <v>23.3</v>
      </c>
      <c r="HG1167" s="19">
        <v>29.2</v>
      </c>
      <c r="HH1167" s="19">
        <v>27.7</v>
      </c>
      <c r="HI1167" s="19">
        <v>26.5</v>
      </c>
      <c r="HJ1167" s="19">
        <v>25.5</v>
      </c>
      <c r="HK1167" s="19">
        <v>13.5</v>
      </c>
      <c r="HL1167" s="19">
        <v>13</v>
      </c>
      <c r="HM1167" s="19">
        <v>20.6</v>
      </c>
      <c r="HN1167" s="19">
        <v>20.1</v>
      </c>
      <c r="HO1167" s="19">
        <v>38.8</v>
      </c>
      <c r="HP1167" s="19">
        <v>37.6</v>
      </c>
      <c r="HQ1167" s="19">
        <v>36.6</v>
      </c>
      <c r="HR1167" s="19">
        <v>35.6</v>
      </c>
      <c r="HS1167" s="19">
        <v>34.6</v>
      </c>
      <c r="HT1167" s="19">
        <v>33.4</v>
      </c>
      <c r="HU1167" s="19">
        <v>32.4</v>
      </c>
      <c r="HV1167" s="19">
        <v>31.4</v>
      </c>
      <c r="HW1167" s="19">
        <v>30.4</v>
      </c>
      <c r="HX1167" s="19">
        <v>29.4</v>
      </c>
      <c r="HY1167" s="19">
        <v>28.4</v>
      </c>
      <c r="HZ1167" s="19">
        <v>27.4</v>
      </c>
      <c r="IA1167" s="19">
        <v>26.4</v>
      </c>
      <c r="IB1167" s="19">
        <v>25.4</v>
      </c>
    </row>
    <row r="1168">
      <c r="A1168" s="2" t="s">
        <v>5758</v>
      </c>
      <c r="B1168" s="2" t="s">
        <v>872</v>
      </c>
      <c r="C1168" s="2" t="s">
        <v>280</v>
      </c>
      <c r="D1168" s="2" t="s">
        <v>774</v>
      </c>
      <c r="E1168" s="2" t="s">
        <v>827</v>
      </c>
      <c r="F1168" s="2" t="s">
        <v>5759</v>
      </c>
      <c r="G1168" s="2" t="s">
        <v>5760</v>
      </c>
      <c r="H1168" s="2" t="s">
        <v>5761</v>
      </c>
      <c r="I1168" s="2" t="s">
        <v>3897</v>
      </c>
      <c r="J1168" s="2" t="s">
        <v>265</v>
      </c>
      <c r="K1168" s="2" t="s">
        <v>300</v>
      </c>
      <c r="L1168" s="3">
        <v>48.5</v>
      </c>
      <c r="M1168" s="3">
        <v>50.92</v>
      </c>
      <c r="N1168" s="3">
        <v>99.99</v>
      </c>
      <c r="O1168" s="2" t="s">
        <v>230</v>
      </c>
      <c r="P1168" s="2" t="s">
        <v>231</v>
      </c>
      <c r="Q1168" s="2" t="s">
        <v>232</v>
      </c>
      <c r="R1168" s="2" t="s">
        <v>233</v>
      </c>
      <c r="S1168" s="2" t="s">
        <v>5762</v>
      </c>
      <c r="T1168" s="2" t="s">
        <v>233</v>
      </c>
      <c r="U1168" s="2" t="s">
        <v>665</v>
      </c>
      <c r="V1168" s="2" t="s">
        <v>1251</v>
      </c>
      <c r="W1168" s="2" t="s">
        <v>712</v>
      </c>
      <c r="X1168" s="2" t="s">
        <v>2033</v>
      </c>
      <c r="Y1168" s="2" t="s">
        <v>238</v>
      </c>
      <c r="Z1168" s="4">
        <v>240</v>
      </c>
      <c r="AA1168" s="4">
        <f>=ROUNDDOWN(120,0)</f>
      </c>
      <c r="AB1168" s="5">
        <v>2</v>
      </c>
      <c r="AC1168" s="2" t="s">
        <v>233</v>
      </c>
      <c r="AD1168" s="4"/>
      <c r="AE1168" s="4"/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233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/>
      <c r="AW1168" s="8"/>
      <c r="AX1168" s="4"/>
      <c r="AY1168" s="8"/>
      <c r="AZ1168" s="7"/>
      <c r="BA1168" s="7"/>
      <c r="BB1168" s="7"/>
      <c r="BC1168" s="4"/>
      <c r="BD1168" s="8"/>
      <c r="BE1168" s="4"/>
      <c r="BF1168" s="8"/>
      <c r="BG1168" s="7"/>
      <c r="BH1168" s="7"/>
      <c r="BI1168" s="7"/>
      <c r="BJ1168" s="4">
        <v>8</v>
      </c>
      <c r="BK1168" s="8">
        <v>446.42</v>
      </c>
      <c r="BL1168" s="2" t="s">
        <v>631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5763</v>
      </c>
      <c r="BV1168" s="2" t="s">
        <v>233</v>
      </c>
      <c r="BW1168" s="2" t="s">
        <v>233</v>
      </c>
      <c r="BX1168" s="2" t="s">
        <v>241</v>
      </c>
      <c r="BY1168" s="2" t="s">
        <v>242</v>
      </c>
      <c r="BZ1168" s="2" t="s">
        <v>230</v>
      </c>
      <c r="CA1168" s="2" t="s">
        <v>243</v>
      </c>
      <c r="CB1168" s="2" t="s">
        <v>1057</v>
      </c>
      <c r="CC1168" s="2" t="s">
        <v>245</v>
      </c>
      <c r="CD1168" s="2" t="s">
        <v>233</v>
      </c>
      <c r="CE1168" s="4">
        <v>240</v>
      </c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>
        <v>243</v>
      </c>
      <c r="GD1168" s="4">
        <v>239</v>
      </c>
      <c r="GE1168" s="4">
        <v>236</v>
      </c>
      <c r="GF1168" s="4">
        <v>233</v>
      </c>
      <c r="GG1168" s="4">
        <v>227</v>
      </c>
      <c r="GH1168" s="4">
        <v>224</v>
      </c>
      <c r="GI1168" s="4">
        <v>221</v>
      </c>
      <c r="GJ1168" s="4">
        <v>219</v>
      </c>
      <c r="GK1168" s="4">
        <v>218</v>
      </c>
      <c r="GL1168" s="4">
        <v>216</v>
      </c>
      <c r="GM1168" s="4">
        <v>214</v>
      </c>
      <c r="GN1168" s="4">
        <v>212</v>
      </c>
      <c r="GO1168" s="4">
        <v>210</v>
      </c>
      <c r="GP1168" s="4">
        <v>208</v>
      </c>
      <c r="GQ1168" s="4">
        <v>206</v>
      </c>
      <c r="GR1168" s="4">
        <v>204</v>
      </c>
      <c r="GS1168" s="4">
        <v>202</v>
      </c>
      <c r="GT1168" s="4">
        <v>200</v>
      </c>
      <c r="GU1168" s="4">
        <v>198</v>
      </c>
      <c r="GV1168" s="4">
        <v>196</v>
      </c>
      <c r="GW1168" s="4">
        <v>194</v>
      </c>
      <c r="GX1168" s="4">
        <v>192</v>
      </c>
      <c r="GY1168" s="4">
        <v>190</v>
      </c>
      <c r="GZ1168" s="4">
        <v>188</v>
      </c>
      <c r="HA1168" s="4">
        <v>186</v>
      </c>
      <c r="HB1168" s="4">
        <v>184</v>
      </c>
      <c r="HC1168" s="19">
        <v>60.8</v>
      </c>
      <c r="HD1168" s="19">
        <v>59.8</v>
      </c>
      <c r="HE1168" s="19">
        <v>59</v>
      </c>
      <c r="HF1168" s="19">
        <v>58.3</v>
      </c>
      <c r="HG1168" s="19">
        <v>113.5</v>
      </c>
      <c r="HH1168" s="19">
        <v>112</v>
      </c>
      <c r="HI1168" s="19">
        <v>110.5</v>
      </c>
      <c r="HJ1168" s="19">
        <v>109.5</v>
      </c>
      <c r="HK1168" s="19">
        <v>109</v>
      </c>
      <c r="HL1168" s="19">
        <v>108</v>
      </c>
      <c r="HM1168" s="19">
        <v>107</v>
      </c>
      <c r="HN1168" s="19">
        <v>106</v>
      </c>
      <c r="HO1168" s="19">
        <v>105</v>
      </c>
      <c r="HP1168" s="19">
        <v>104</v>
      </c>
      <c r="HQ1168" s="19">
        <v>103</v>
      </c>
      <c r="HR1168" s="19">
        <v>102</v>
      </c>
      <c r="HS1168" s="19">
        <v>101</v>
      </c>
      <c r="HT1168" s="19">
        <v>100</v>
      </c>
      <c r="HU1168" s="19">
        <v>99</v>
      </c>
      <c r="HV1168" s="19">
        <v>98</v>
      </c>
      <c r="HW1168" s="19">
        <v>97</v>
      </c>
      <c r="HX1168" s="19">
        <v>96</v>
      </c>
      <c r="HY1168" s="19">
        <v>95</v>
      </c>
      <c r="HZ1168" s="19">
        <v>94</v>
      </c>
      <c r="IA1168" s="19">
        <v>93</v>
      </c>
      <c r="IB1168" s="19">
        <v>92</v>
      </c>
    </row>
    <row r="1169">
      <c r="A1169" s="2" t="s">
        <v>5764</v>
      </c>
      <c r="B1169" s="2" t="s">
        <v>872</v>
      </c>
      <c r="C1169" s="2" t="s">
        <v>280</v>
      </c>
      <c r="D1169" s="2" t="s">
        <v>774</v>
      </c>
      <c r="E1169" s="2" t="s">
        <v>775</v>
      </c>
      <c r="F1169" s="2" t="s">
        <v>5765</v>
      </c>
      <c r="G1169" s="2" t="s">
        <v>3607</v>
      </c>
      <c r="H1169" s="2" t="s">
        <v>5766</v>
      </c>
      <c r="I1169" s="2" t="s">
        <v>5767</v>
      </c>
      <c r="J1169" s="2" t="s">
        <v>265</v>
      </c>
      <c r="K1169" s="2" t="s">
        <v>5768</v>
      </c>
      <c r="L1169" s="3">
        <v>53.9</v>
      </c>
      <c r="M1169" s="3">
        <v>56.59</v>
      </c>
      <c r="N1169" s="3">
        <v>109.99</v>
      </c>
      <c r="O1169" s="2" t="s">
        <v>230</v>
      </c>
      <c r="P1169" s="2" t="s">
        <v>231</v>
      </c>
      <c r="Q1169" s="2" t="s">
        <v>232</v>
      </c>
      <c r="R1169" s="2" t="s">
        <v>233</v>
      </c>
      <c r="S1169" s="2" t="s">
        <v>5769</v>
      </c>
      <c r="T1169" s="2" t="s">
        <v>348</v>
      </c>
      <c r="U1169" s="2" t="s">
        <v>781</v>
      </c>
      <c r="V1169" s="2" t="s">
        <v>1033</v>
      </c>
      <c r="W1169" s="2" t="s">
        <v>3402</v>
      </c>
      <c r="X1169" s="2" t="s">
        <v>233</v>
      </c>
      <c r="Y1169" s="2" t="s">
        <v>639</v>
      </c>
      <c r="Z1169" s="4">
        <v>120</v>
      </c>
      <c r="AA1169" s="4">
        <f>=ROUNDDOWN(20,0)</f>
      </c>
      <c r="AB1169" s="5">
        <v>6</v>
      </c>
      <c r="AC1169" s="2" t="s">
        <v>154</v>
      </c>
      <c r="AD1169" s="4">
        <v>24</v>
      </c>
      <c r="AE1169" s="4">
        <v>259</v>
      </c>
      <c r="AF1169" s="6">
        <v>69</v>
      </c>
      <c r="AG1169" s="6"/>
      <c r="AH1169" s="7">
        <v>1</v>
      </c>
      <c r="AI1169" s="4"/>
      <c r="AJ1169" s="4">
        <f>=ROUNDDOWN({0},0)</f>
      </c>
      <c r="AK1169" s="5"/>
      <c r="AL1169" s="2" t="s">
        <v>233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233</v>
      </c>
      <c r="AW1169" s="8" t="s">
        <v>233</v>
      </c>
      <c r="AX1169" s="4" t="s">
        <v>233</v>
      </c>
      <c r="AY1169" s="8" t="s">
        <v>233</v>
      </c>
      <c r="AZ1169" s="7" t="s">
        <v>233</v>
      </c>
      <c r="BA1169" s="7" t="s">
        <v>233</v>
      </c>
      <c r="BB1169" s="7"/>
      <c r="BC1169" s="4" t="s">
        <v>233</v>
      </c>
      <c r="BD1169" s="8" t="s">
        <v>233</v>
      </c>
      <c r="BE1169" s="4" t="s">
        <v>233</v>
      </c>
      <c r="BF1169" s="8" t="s">
        <v>233</v>
      </c>
      <c r="BG1169" s="7" t="s">
        <v>233</v>
      </c>
      <c r="BH1169" s="7" t="s">
        <v>233</v>
      </c>
      <c r="BI1169" s="7"/>
      <c r="BJ1169" s="4">
        <v>11</v>
      </c>
      <c r="BK1169" s="8">
        <v>612.54</v>
      </c>
      <c r="BL1169" s="2" t="s">
        <v>5770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5771</v>
      </c>
      <c r="BV1169" s="2" t="s">
        <v>233</v>
      </c>
      <c r="BW1169" s="2" t="s">
        <v>233</v>
      </c>
      <c r="BX1169" s="2" t="s">
        <v>241</v>
      </c>
      <c r="BY1169" s="2" t="s">
        <v>242</v>
      </c>
      <c r="BZ1169" s="2" t="s">
        <v>230</v>
      </c>
      <c r="CA1169" s="2" t="s">
        <v>640</v>
      </c>
      <c r="CB1169" s="2" t="s">
        <v>5772</v>
      </c>
      <c r="CC1169" s="2" t="s">
        <v>245</v>
      </c>
      <c r="CD1169" s="2" t="s">
        <v>233</v>
      </c>
      <c r="CE1169" s="4">
        <v>120</v>
      </c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>
        <v>24</v>
      </c>
      <c r="DQ1169" s="4"/>
      <c r="DR1169" s="4"/>
      <c r="DS1169" s="4">
        <v>45</v>
      </c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>
        <v>190</v>
      </c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>
        <v>121</v>
      </c>
      <c r="GD1169" s="4">
        <v>104</v>
      </c>
      <c r="GE1169" s="4">
        <v>96</v>
      </c>
      <c r="GF1169" s="4">
        <v>87</v>
      </c>
      <c r="GG1169" s="4">
        <v>71</v>
      </c>
      <c r="GH1169" s="4">
        <v>130</v>
      </c>
      <c r="GI1169" s="4">
        <v>121</v>
      </c>
      <c r="GJ1169" s="4">
        <v>115</v>
      </c>
      <c r="GK1169" s="4">
        <v>110</v>
      </c>
      <c r="GL1169" s="4">
        <v>293</v>
      </c>
      <c r="GM1169" s="4">
        <v>287</v>
      </c>
      <c r="GN1169" s="4">
        <v>281</v>
      </c>
      <c r="GO1169" s="4">
        <v>275</v>
      </c>
      <c r="GP1169" s="4">
        <v>269</v>
      </c>
      <c r="GQ1169" s="4">
        <v>263</v>
      </c>
      <c r="GR1169" s="4">
        <v>257</v>
      </c>
      <c r="GS1169" s="4">
        <v>251</v>
      </c>
      <c r="GT1169" s="4">
        <v>244</v>
      </c>
      <c r="GU1169" s="4">
        <v>238</v>
      </c>
      <c r="GV1169" s="4">
        <v>232</v>
      </c>
      <c r="GW1169" s="4">
        <v>226</v>
      </c>
      <c r="GX1169" s="4">
        <v>220</v>
      </c>
      <c r="GY1169" s="4">
        <v>214</v>
      </c>
      <c r="GZ1169" s="4">
        <v>208</v>
      </c>
      <c r="HA1169" s="4">
        <v>202</v>
      </c>
      <c r="HB1169" s="4">
        <v>196</v>
      </c>
      <c r="HC1169" s="19">
        <v>10.1</v>
      </c>
      <c r="HD1169" s="19">
        <v>9.5</v>
      </c>
      <c r="HE1169" s="19">
        <v>8.7</v>
      </c>
      <c r="HF1169" s="19">
        <v>8.7</v>
      </c>
      <c r="HG1169" s="19">
        <v>8.9</v>
      </c>
      <c r="HH1169" s="19">
        <v>18.6</v>
      </c>
      <c r="HI1169" s="19">
        <v>20.2</v>
      </c>
      <c r="HJ1169" s="19">
        <v>19.2</v>
      </c>
      <c r="HK1169" s="19">
        <v>18.3</v>
      </c>
      <c r="HL1169" s="19">
        <v>48.8</v>
      </c>
      <c r="HM1169" s="19">
        <v>47.8</v>
      </c>
      <c r="HN1169" s="19">
        <v>46.8</v>
      </c>
      <c r="HO1169" s="19">
        <v>45.8</v>
      </c>
      <c r="HP1169" s="19">
        <v>44.8</v>
      </c>
      <c r="HQ1169" s="19">
        <v>43.8</v>
      </c>
      <c r="HR1169" s="19">
        <v>42.8</v>
      </c>
      <c r="HS1169" s="19">
        <v>41.8</v>
      </c>
      <c r="HT1169" s="19">
        <v>40.7</v>
      </c>
      <c r="HU1169" s="19">
        <v>39.7</v>
      </c>
      <c r="HV1169" s="19">
        <v>38.7</v>
      </c>
      <c r="HW1169" s="19">
        <v>37.7</v>
      </c>
      <c r="HX1169" s="19">
        <v>36.7</v>
      </c>
      <c r="HY1169" s="19">
        <v>35.7</v>
      </c>
      <c r="HZ1169" s="19">
        <v>34.7</v>
      </c>
      <c r="IA1169" s="19">
        <v>33.7</v>
      </c>
      <c r="IB1169" s="19">
        <v>32.7</v>
      </c>
    </row>
    <row r="1170">
      <c r="A1170" s="2" t="s">
        <v>5773</v>
      </c>
      <c r="B1170" s="2" t="s">
        <v>872</v>
      </c>
      <c r="C1170" s="2" t="s">
        <v>280</v>
      </c>
      <c r="D1170" s="2" t="s">
        <v>774</v>
      </c>
      <c r="E1170" s="2" t="s">
        <v>775</v>
      </c>
      <c r="F1170" s="2" t="s">
        <v>5765</v>
      </c>
      <c r="G1170" s="2" t="s">
        <v>3607</v>
      </c>
      <c r="H1170" s="2" t="s">
        <v>5766</v>
      </c>
      <c r="I1170" s="2" t="s">
        <v>5767</v>
      </c>
      <c r="J1170" s="2" t="s">
        <v>275</v>
      </c>
      <c r="K1170" s="2" t="s">
        <v>5768</v>
      </c>
      <c r="L1170" s="3">
        <v>63.7</v>
      </c>
      <c r="M1170" s="3">
        <v>66.88</v>
      </c>
      <c r="N1170" s="3">
        <v>129.99</v>
      </c>
      <c r="O1170" s="2" t="s">
        <v>230</v>
      </c>
      <c r="P1170" s="2" t="s">
        <v>231</v>
      </c>
      <c r="Q1170" s="2" t="s">
        <v>232</v>
      </c>
      <c r="R1170" s="2" t="s">
        <v>233</v>
      </c>
      <c r="S1170" s="2" t="s">
        <v>5769</v>
      </c>
      <c r="T1170" s="2" t="s">
        <v>348</v>
      </c>
      <c r="U1170" s="2" t="s">
        <v>781</v>
      </c>
      <c r="V1170" s="2" t="s">
        <v>1033</v>
      </c>
      <c r="W1170" s="2" t="s">
        <v>3402</v>
      </c>
      <c r="X1170" s="2" t="s">
        <v>233</v>
      </c>
      <c r="Y1170" s="2" t="s">
        <v>639</v>
      </c>
      <c r="Z1170" s="4">
        <v>209</v>
      </c>
      <c r="AA1170" s="4">
        <f>=ROUNDDOWN(23.2222222222222,0)</f>
      </c>
      <c r="AB1170" s="5">
        <v>9</v>
      </c>
      <c r="AC1170" s="2" t="s">
        <v>154</v>
      </c>
      <c r="AD1170" s="4">
        <v>73</v>
      </c>
      <c r="AE1170" s="4">
        <v>103</v>
      </c>
      <c r="AF1170" s="6">
        <v>69</v>
      </c>
      <c r="AG1170" s="6"/>
      <c r="AH1170" s="7">
        <v>1</v>
      </c>
      <c r="AI1170" s="4"/>
      <c r="AJ1170" s="4">
        <f>=ROUNDDOWN({0},0)</f>
      </c>
      <c r="AK1170" s="5"/>
      <c r="AL1170" s="2" t="s">
        <v>233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233</v>
      </c>
      <c r="AW1170" s="8" t="s">
        <v>233</v>
      </c>
      <c r="AX1170" s="4" t="s">
        <v>233</v>
      </c>
      <c r="AY1170" s="8" t="s">
        <v>233</v>
      </c>
      <c r="AZ1170" s="7" t="s">
        <v>233</v>
      </c>
      <c r="BA1170" s="7" t="s">
        <v>233</v>
      </c>
      <c r="BB1170" s="7"/>
      <c r="BC1170" s="4" t="s">
        <v>233</v>
      </c>
      <c r="BD1170" s="8" t="s">
        <v>233</v>
      </c>
      <c r="BE1170" s="4" t="s">
        <v>233</v>
      </c>
      <c r="BF1170" s="8" t="s">
        <v>233</v>
      </c>
      <c r="BG1170" s="7" t="s">
        <v>233</v>
      </c>
      <c r="BH1170" s="7" t="s">
        <v>233</v>
      </c>
      <c r="BI1170" s="7"/>
      <c r="BJ1170" s="4">
        <v>37</v>
      </c>
      <c r="BK1170" s="8">
        <v>2568.47</v>
      </c>
      <c r="BL1170" s="2" t="s">
        <v>1066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5771</v>
      </c>
      <c r="BV1170" s="2" t="s">
        <v>233</v>
      </c>
      <c r="BW1170" s="2" t="s">
        <v>233</v>
      </c>
      <c r="BX1170" s="2" t="s">
        <v>241</v>
      </c>
      <c r="BY1170" s="2" t="s">
        <v>242</v>
      </c>
      <c r="BZ1170" s="2" t="s">
        <v>230</v>
      </c>
      <c r="CA1170" s="2" t="s">
        <v>640</v>
      </c>
      <c r="CB1170" s="2" t="s">
        <v>4830</v>
      </c>
      <c r="CC1170" s="2" t="s">
        <v>245</v>
      </c>
      <c r="CD1170" s="2" t="s">
        <v>233</v>
      </c>
      <c r="CE1170" s="4">
        <v>209</v>
      </c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>
        <v>73</v>
      </c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>
        <v>30</v>
      </c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>
        <v>218</v>
      </c>
      <c r="GD1170" s="4">
        <v>194</v>
      </c>
      <c r="GE1170" s="4">
        <v>174</v>
      </c>
      <c r="GF1170" s="4">
        <v>162</v>
      </c>
      <c r="GG1170" s="4">
        <v>142</v>
      </c>
      <c r="GH1170" s="4">
        <v>202</v>
      </c>
      <c r="GI1170" s="4">
        <v>190</v>
      </c>
      <c r="GJ1170" s="4">
        <v>167</v>
      </c>
      <c r="GK1170" s="4">
        <v>163</v>
      </c>
      <c r="GL1170" s="4">
        <v>186</v>
      </c>
      <c r="GM1170" s="4">
        <v>180</v>
      </c>
      <c r="GN1170" s="4">
        <v>174</v>
      </c>
      <c r="GO1170" s="4">
        <v>168</v>
      </c>
      <c r="GP1170" s="4">
        <v>159</v>
      </c>
      <c r="GQ1170" s="4">
        <v>150</v>
      </c>
      <c r="GR1170" s="4">
        <v>141</v>
      </c>
      <c r="GS1170" s="4">
        <v>132</v>
      </c>
      <c r="GT1170" s="4">
        <v>122</v>
      </c>
      <c r="GU1170" s="4">
        <v>113</v>
      </c>
      <c r="GV1170" s="4">
        <v>104</v>
      </c>
      <c r="GW1170" s="4">
        <v>95</v>
      </c>
      <c r="GX1170" s="4">
        <v>86</v>
      </c>
      <c r="GY1170" s="4">
        <v>77</v>
      </c>
      <c r="GZ1170" s="4">
        <v>68</v>
      </c>
      <c r="HA1170" s="4">
        <v>59</v>
      </c>
      <c r="HB1170" s="4">
        <v>50</v>
      </c>
      <c r="HC1170" s="19">
        <v>11.5</v>
      </c>
      <c r="HD1170" s="19">
        <v>12.1</v>
      </c>
      <c r="HE1170" s="19">
        <v>12.4</v>
      </c>
      <c r="HF1170" s="19">
        <v>9.5</v>
      </c>
      <c r="HG1170" s="19">
        <v>10.9</v>
      </c>
      <c r="HH1170" s="19">
        <v>16.8</v>
      </c>
      <c r="HI1170" s="19">
        <v>19</v>
      </c>
      <c r="HJ1170" s="19">
        <v>27.8</v>
      </c>
      <c r="HK1170" s="19">
        <v>27.2</v>
      </c>
      <c r="HL1170" s="19">
        <v>26.6</v>
      </c>
      <c r="HM1170" s="19">
        <v>22.5</v>
      </c>
      <c r="HN1170" s="19">
        <v>21.8</v>
      </c>
      <c r="HO1170" s="19">
        <v>18.7</v>
      </c>
      <c r="HP1170" s="19">
        <v>17.7</v>
      </c>
      <c r="HQ1170" s="19">
        <v>16.7</v>
      </c>
      <c r="HR1170" s="19">
        <v>15.7</v>
      </c>
      <c r="HS1170" s="19">
        <v>14.7</v>
      </c>
      <c r="HT1170" s="19">
        <v>13.6</v>
      </c>
      <c r="HU1170" s="19">
        <v>12.6</v>
      </c>
      <c r="HV1170" s="19">
        <v>11.6</v>
      </c>
      <c r="HW1170" s="19">
        <v>10.6</v>
      </c>
      <c r="HX1170" s="19">
        <v>9.6</v>
      </c>
      <c r="HY1170" s="19">
        <v>8.6</v>
      </c>
      <c r="HZ1170" s="19">
        <v>7.6</v>
      </c>
      <c r="IA1170" s="19">
        <v>6.6</v>
      </c>
      <c r="IB1170" s="19">
        <v>5.6</v>
      </c>
    </row>
    <row r="1171">
      <c r="A1171" s="2" t="s">
        <v>5774</v>
      </c>
      <c r="B1171" s="2" t="s">
        <v>773</v>
      </c>
      <c r="C1171" s="2" t="s">
        <v>616</v>
      </c>
      <c r="D1171" s="2" t="s">
        <v>1573</v>
      </c>
      <c r="E1171" s="2" t="s">
        <v>1574</v>
      </c>
      <c r="F1171" s="2" t="s">
        <v>5775</v>
      </c>
      <c r="G1171" s="2" t="s">
        <v>5775</v>
      </c>
      <c r="H1171" s="2" t="s">
        <v>5775</v>
      </c>
      <c r="I1171" s="2" t="s">
        <v>3003</v>
      </c>
      <c r="J1171" s="2" t="s">
        <v>265</v>
      </c>
      <c r="K1171" s="2" t="s">
        <v>300</v>
      </c>
      <c r="L1171" s="3">
        <v>33.33</v>
      </c>
      <c r="M1171" s="3">
        <v>35</v>
      </c>
      <c r="N1171" s="3">
        <v>69.99</v>
      </c>
      <c r="O1171" s="2" t="s">
        <v>230</v>
      </c>
      <c r="P1171" s="2" t="s">
        <v>586</v>
      </c>
      <c r="Q1171" s="2" t="s">
        <v>232</v>
      </c>
      <c r="R1171" s="2" t="s">
        <v>233</v>
      </c>
      <c r="S1171" s="2" t="s">
        <v>5776</v>
      </c>
      <c r="T1171" s="2" t="s">
        <v>348</v>
      </c>
      <c r="U1171" s="2" t="s">
        <v>329</v>
      </c>
      <c r="V1171" s="2" t="s">
        <v>236</v>
      </c>
      <c r="W1171" s="2" t="s">
        <v>237</v>
      </c>
      <c r="X1171" s="2" t="s">
        <v>233</v>
      </c>
      <c r="Y1171" s="2" t="s">
        <v>5440</v>
      </c>
      <c r="Z1171" s="4">
        <v>774</v>
      </c>
      <c r="AA1171" s="4">
        <f>=ROUNDDOWN(28.6666666666667,0)</f>
      </c>
      <c r="AB1171" s="5">
        <v>27</v>
      </c>
      <c r="AC1171" s="2" t="s">
        <v>154</v>
      </c>
      <c r="AD1171" s="4">
        <v>290</v>
      </c>
      <c r="AE1171" s="4">
        <v>810</v>
      </c>
      <c r="AF1171" s="6">
        <v>67</v>
      </c>
      <c r="AG1171" s="6">
        <v>75</v>
      </c>
      <c r="AH1171" s="7">
        <v>1</v>
      </c>
      <c r="AI1171" s="4"/>
      <c r="AJ1171" s="4">
        <f>=ROUNDDOWN({0},0)</f>
      </c>
      <c r="AK1171" s="5"/>
      <c r="AL1171" s="2" t="s">
        <v>233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/>
      <c r="AW1171" s="8"/>
      <c r="AX1171" s="4"/>
      <c r="AY1171" s="8"/>
      <c r="AZ1171" s="7"/>
      <c r="BA1171" s="7"/>
      <c r="BB1171" s="7"/>
      <c r="BC1171" s="4" t="s">
        <v>233</v>
      </c>
      <c r="BD1171" s="8" t="s">
        <v>233</v>
      </c>
      <c r="BE1171" s="4" t="s">
        <v>233</v>
      </c>
      <c r="BF1171" s="8" t="s">
        <v>233</v>
      </c>
      <c r="BG1171" s="7" t="s">
        <v>233</v>
      </c>
      <c r="BH1171" s="7" t="s">
        <v>233</v>
      </c>
      <c r="BI1171" s="7"/>
      <c r="BJ1171" s="4">
        <v>140</v>
      </c>
      <c r="BK1171" s="8">
        <v>4938.43</v>
      </c>
      <c r="BL1171" s="2" t="s">
        <v>3665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5777</v>
      </c>
      <c r="BV1171" s="2" t="s">
        <v>233</v>
      </c>
      <c r="BW1171" s="2" t="s">
        <v>233</v>
      </c>
      <c r="BX1171" s="2" t="s">
        <v>624</v>
      </c>
      <c r="BY1171" s="2" t="s">
        <v>242</v>
      </c>
      <c r="BZ1171" s="2" t="s">
        <v>230</v>
      </c>
      <c r="CA1171" s="2" t="s">
        <v>5440</v>
      </c>
      <c r="CB1171" s="2" t="s">
        <v>5778</v>
      </c>
      <c r="CC1171" s="2" t="s">
        <v>245</v>
      </c>
      <c r="CD1171" s="2" t="s">
        <v>233</v>
      </c>
      <c r="CE1171" s="4">
        <v>429</v>
      </c>
      <c r="CF1171" s="4">
        <v>281</v>
      </c>
      <c r="CG1171" s="4"/>
      <c r="CH1171" s="4">
        <v>64</v>
      </c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>
        <v>290</v>
      </c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>
        <v>350</v>
      </c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>
        <v>170</v>
      </c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>
        <v>791</v>
      </c>
      <c r="GD1171" s="4">
        <v>709</v>
      </c>
      <c r="GE1171" s="4">
        <v>625</v>
      </c>
      <c r="GF1171" s="4">
        <v>560</v>
      </c>
      <c r="GG1171" s="4">
        <v>406</v>
      </c>
      <c r="GH1171" s="4">
        <v>629</v>
      </c>
      <c r="GI1171" s="4">
        <v>532</v>
      </c>
      <c r="GJ1171" s="4">
        <v>487</v>
      </c>
      <c r="GK1171" s="4">
        <v>822</v>
      </c>
      <c r="GL1171" s="4">
        <v>795</v>
      </c>
      <c r="GM1171" s="4">
        <v>770</v>
      </c>
      <c r="GN1171" s="4">
        <v>745</v>
      </c>
      <c r="GO1171" s="4">
        <v>720</v>
      </c>
      <c r="GP1171" s="4">
        <v>695</v>
      </c>
      <c r="GQ1171" s="4">
        <v>670</v>
      </c>
      <c r="GR1171" s="4">
        <v>648</v>
      </c>
      <c r="GS1171" s="4">
        <v>796</v>
      </c>
      <c r="GT1171" s="4">
        <v>771</v>
      </c>
      <c r="GU1171" s="4">
        <v>749</v>
      </c>
      <c r="GV1171" s="4">
        <v>721</v>
      </c>
      <c r="GW1171" s="4">
        <v>693</v>
      </c>
      <c r="GX1171" s="4">
        <v>665</v>
      </c>
      <c r="GY1171" s="4">
        <v>637</v>
      </c>
      <c r="GZ1171" s="4">
        <v>603</v>
      </c>
      <c r="HA1171" s="4">
        <v>570</v>
      </c>
      <c r="HB1171" s="4">
        <v>536</v>
      </c>
      <c r="HC1171" s="19">
        <v>10.7</v>
      </c>
      <c r="HD1171" s="19">
        <v>10.9</v>
      </c>
      <c r="HE1171" s="19">
        <v>10</v>
      </c>
      <c r="HF1171" s="19">
        <v>9.4</v>
      </c>
      <c r="HG1171" s="19">
        <v>14.9</v>
      </c>
      <c r="HH1171" s="19">
        <v>17.4</v>
      </c>
      <c r="HI1171" s="19">
        <v>28.7</v>
      </c>
      <c r="HJ1171" s="19">
        <v>28.8</v>
      </c>
      <c r="HK1171" s="19">
        <v>34.4</v>
      </c>
      <c r="HL1171" s="19">
        <v>33.4</v>
      </c>
      <c r="HM1171" s="19">
        <v>32.4</v>
      </c>
      <c r="HN1171" s="19">
        <v>32</v>
      </c>
      <c r="HO1171" s="19">
        <v>31.7</v>
      </c>
      <c r="HP1171" s="19">
        <v>30.6</v>
      </c>
      <c r="HQ1171" s="19">
        <v>29.6</v>
      </c>
      <c r="HR1171" s="19">
        <v>28</v>
      </c>
      <c r="HS1171" s="19">
        <v>23</v>
      </c>
      <c r="HT1171" s="19">
        <v>21.7</v>
      </c>
      <c r="HU1171" s="19">
        <v>20.4</v>
      </c>
      <c r="HV1171" s="19">
        <v>18.5</v>
      </c>
      <c r="HW1171" s="19">
        <v>17.1</v>
      </c>
      <c r="HX1171" s="19">
        <v>15.8</v>
      </c>
      <c r="HY1171" s="19">
        <v>14.2</v>
      </c>
      <c r="HZ1171" s="19">
        <v>13.8</v>
      </c>
      <c r="IA1171" s="19">
        <v>16.3</v>
      </c>
      <c r="IB1171" s="19">
        <v>15.1</v>
      </c>
    </row>
    <row r="1172">
      <c r="A1172" s="2" t="s">
        <v>5779</v>
      </c>
      <c r="B1172" s="2" t="s">
        <v>773</v>
      </c>
      <c r="C1172" s="2" t="s">
        <v>616</v>
      </c>
      <c r="D1172" s="2" t="s">
        <v>1573</v>
      </c>
      <c r="E1172" s="2" t="s">
        <v>1574</v>
      </c>
      <c r="F1172" s="2" t="s">
        <v>5775</v>
      </c>
      <c r="G1172" s="2" t="s">
        <v>5775</v>
      </c>
      <c r="H1172" s="2" t="s">
        <v>5775</v>
      </c>
      <c r="I1172" s="2" t="s">
        <v>3003</v>
      </c>
      <c r="J1172" s="2" t="s">
        <v>228</v>
      </c>
      <c r="K1172" s="2" t="s">
        <v>534</v>
      </c>
      <c r="L1172" s="3">
        <v>26.85</v>
      </c>
      <c r="M1172" s="3">
        <v>28.19</v>
      </c>
      <c r="N1172" s="3">
        <v>59.99</v>
      </c>
      <c r="O1172" s="2" t="s">
        <v>230</v>
      </c>
      <c r="P1172" s="2" t="s">
        <v>586</v>
      </c>
      <c r="Q1172" s="2" t="s">
        <v>232</v>
      </c>
      <c r="R1172" s="2" t="s">
        <v>233</v>
      </c>
      <c r="S1172" s="2" t="s">
        <v>5780</v>
      </c>
      <c r="T1172" s="2" t="s">
        <v>348</v>
      </c>
      <c r="U1172" s="2" t="s">
        <v>329</v>
      </c>
      <c r="V1172" s="2" t="s">
        <v>236</v>
      </c>
      <c r="W1172" s="2" t="s">
        <v>237</v>
      </c>
      <c r="X1172" s="2" t="s">
        <v>233</v>
      </c>
      <c r="Y1172" s="2" t="s">
        <v>5440</v>
      </c>
      <c r="Z1172" s="4">
        <v>424</v>
      </c>
      <c r="AA1172" s="4">
        <f>=ROUNDDOWN(42.4,0)</f>
      </c>
      <c r="AB1172" s="5">
        <v>10</v>
      </c>
      <c r="AC1172" s="2" t="s">
        <v>173</v>
      </c>
      <c r="AD1172" s="4">
        <v>30</v>
      </c>
      <c r="AE1172" s="4">
        <v>30</v>
      </c>
      <c r="AF1172" s="6">
        <v>67</v>
      </c>
      <c r="AG1172" s="6"/>
      <c r="AH1172" s="7">
        <v>1</v>
      </c>
      <c r="AI1172" s="4"/>
      <c r="AJ1172" s="4">
        <f>=ROUNDDOWN({0},0)</f>
      </c>
      <c r="AK1172" s="5"/>
      <c r="AL1172" s="2" t="s">
        <v>233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/>
      <c r="AW1172" s="8"/>
      <c r="AX1172" s="4"/>
      <c r="AY1172" s="8"/>
      <c r="AZ1172" s="7"/>
      <c r="BA1172" s="7"/>
      <c r="BB1172" s="7"/>
      <c r="BC1172" s="4" t="s">
        <v>233</v>
      </c>
      <c r="BD1172" s="8" t="s">
        <v>233</v>
      </c>
      <c r="BE1172" s="4" t="s">
        <v>233</v>
      </c>
      <c r="BF1172" s="8" t="s">
        <v>233</v>
      </c>
      <c r="BG1172" s="7" t="s">
        <v>233</v>
      </c>
      <c r="BH1172" s="7" t="s">
        <v>233</v>
      </c>
      <c r="BI1172" s="7"/>
      <c r="BJ1172" s="4">
        <v>33</v>
      </c>
      <c r="BK1172" s="8">
        <v>957.86</v>
      </c>
      <c r="BL1172" s="2" t="s">
        <v>674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5777</v>
      </c>
      <c r="BV1172" s="2" t="s">
        <v>233</v>
      </c>
      <c r="BW1172" s="2" t="s">
        <v>233</v>
      </c>
      <c r="BX1172" s="2" t="s">
        <v>624</v>
      </c>
      <c r="BY1172" s="2" t="s">
        <v>242</v>
      </c>
      <c r="BZ1172" s="2" t="s">
        <v>230</v>
      </c>
      <c r="CA1172" s="2" t="s">
        <v>5440</v>
      </c>
      <c r="CB1172" s="2" t="s">
        <v>366</v>
      </c>
      <c r="CC1172" s="2" t="s">
        <v>245</v>
      </c>
      <c r="CD1172" s="2" t="s">
        <v>233</v>
      </c>
      <c r="CE1172" s="4">
        <v>424</v>
      </c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>
        <v>30</v>
      </c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>
        <v>428</v>
      </c>
      <c r="GD1172" s="4">
        <v>400</v>
      </c>
      <c r="GE1172" s="4">
        <v>376</v>
      </c>
      <c r="GF1172" s="4">
        <v>357</v>
      </c>
      <c r="GG1172" s="4">
        <v>319</v>
      </c>
      <c r="GH1172" s="4">
        <v>298</v>
      </c>
      <c r="GI1172" s="4">
        <v>274</v>
      </c>
      <c r="GJ1172" s="4">
        <v>266</v>
      </c>
      <c r="GK1172" s="4">
        <v>290</v>
      </c>
      <c r="GL1172" s="4">
        <v>281</v>
      </c>
      <c r="GM1172" s="4">
        <v>273</v>
      </c>
      <c r="GN1172" s="4">
        <v>265</v>
      </c>
      <c r="GO1172" s="4">
        <v>257</v>
      </c>
      <c r="GP1172" s="4">
        <v>249</v>
      </c>
      <c r="GQ1172" s="4">
        <v>241</v>
      </c>
      <c r="GR1172" s="4">
        <v>232</v>
      </c>
      <c r="GS1172" s="4">
        <v>223</v>
      </c>
      <c r="GT1172" s="4">
        <v>213</v>
      </c>
      <c r="GU1172" s="4">
        <v>204</v>
      </c>
      <c r="GV1172" s="4">
        <v>194</v>
      </c>
      <c r="GW1172" s="4">
        <v>184</v>
      </c>
      <c r="GX1172" s="4">
        <v>174</v>
      </c>
      <c r="GY1172" s="4">
        <v>164</v>
      </c>
      <c r="GZ1172" s="4">
        <v>152</v>
      </c>
      <c r="HA1172" s="4">
        <v>140</v>
      </c>
      <c r="HB1172" s="4">
        <v>128</v>
      </c>
      <c r="HC1172" s="19">
        <v>15.9</v>
      </c>
      <c r="HD1172" s="19">
        <v>15.4</v>
      </c>
      <c r="HE1172" s="19">
        <v>14.5</v>
      </c>
      <c r="HF1172" s="19">
        <v>15.5</v>
      </c>
      <c r="HG1172" s="19">
        <v>21.3</v>
      </c>
      <c r="HH1172" s="19">
        <v>24.8</v>
      </c>
      <c r="HI1172" s="19">
        <v>34.3</v>
      </c>
      <c r="HJ1172" s="19">
        <v>33.3</v>
      </c>
      <c r="HK1172" s="19">
        <v>36.3</v>
      </c>
      <c r="HL1172" s="19">
        <v>35.1</v>
      </c>
      <c r="HM1172" s="19">
        <v>34.1</v>
      </c>
      <c r="HN1172" s="19">
        <v>33.1</v>
      </c>
      <c r="HO1172" s="19">
        <v>32.1</v>
      </c>
      <c r="HP1172" s="19">
        <v>27.7</v>
      </c>
      <c r="HQ1172" s="19">
        <v>26.8</v>
      </c>
      <c r="HR1172" s="19">
        <v>23.2</v>
      </c>
      <c r="HS1172" s="19">
        <v>22.3</v>
      </c>
      <c r="HT1172" s="19">
        <v>21.3</v>
      </c>
      <c r="HU1172" s="19">
        <v>20.4</v>
      </c>
      <c r="HV1172" s="19">
        <v>19.4</v>
      </c>
      <c r="HW1172" s="19">
        <v>16.7</v>
      </c>
      <c r="HX1172" s="19">
        <v>14.5</v>
      </c>
      <c r="HY1172" s="19">
        <v>13.7</v>
      </c>
      <c r="HZ1172" s="19">
        <v>13.8</v>
      </c>
      <c r="IA1172" s="19">
        <v>12.7</v>
      </c>
      <c r="IB1172" s="19">
        <v>12.8</v>
      </c>
    </row>
    <row r="1173">
      <c r="A1173" s="2" t="s">
        <v>5781</v>
      </c>
      <c r="B1173" s="2" t="s">
        <v>222</v>
      </c>
      <c r="C1173" s="2" t="s">
        <v>223</v>
      </c>
      <c r="D1173" s="2" t="s">
        <v>261</v>
      </c>
      <c r="E1173" s="2" t="s">
        <v>262</v>
      </c>
      <c r="F1173" s="2" t="s">
        <v>5782</v>
      </c>
      <c r="G1173" s="2" t="s">
        <v>5782</v>
      </c>
      <c r="H1173" s="2" t="s">
        <v>5782</v>
      </c>
      <c r="I1173" s="2" t="s">
        <v>5783</v>
      </c>
      <c r="J1173" s="2" t="s">
        <v>228</v>
      </c>
      <c r="K1173" s="2" t="s">
        <v>266</v>
      </c>
      <c r="L1173" s="3">
        <v>38.4</v>
      </c>
      <c r="M1173" s="3">
        <v>40.32</v>
      </c>
      <c r="N1173" s="3">
        <v>79.99</v>
      </c>
      <c r="O1173" s="2" t="s">
        <v>230</v>
      </c>
      <c r="P1173" s="2" t="s">
        <v>231</v>
      </c>
      <c r="Q1173" s="2" t="s">
        <v>232</v>
      </c>
      <c r="R1173" s="2" t="s">
        <v>233</v>
      </c>
      <c r="S1173" s="2" t="s">
        <v>5784</v>
      </c>
      <c r="T1173" s="2" t="s">
        <v>348</v>
      </c>
      <c r="U1173" s="2" t="s">
        <v>233</v>
      </c>
      <c r="V1173" s="2" t="s">
        <v>236</v>
      </c>
      <c r="W1173" s="2" t="s">
        <v>237</v>
      </c>
      <c r="X1173" s="2" t="s">
        <v>233</v>
      </c>
      <c r="Y1173" s="2" t="s">
        <v>238</v>
      </c>
      <c r="Z1173" s="4">
        <v>188</v>
      </c>
      <c r="AA1173" s="4">
        <f>=ROUNDDOWN(47,0)</f>
      </c>
      <c r="AB1173" s="5">
        <v>4</v>
      </c>
      <c r="AC1173" s="2" t="s">
        <v>154</v>
      </c>
      <c r="AD1173" s="4">
        <v>50</v>
      </c>
      <c r="AE1173" s="4">
        <v>50</v>
      </c>
      <c r="AF1173" s="6">
        <v>66</v>
      </c>
      <c r="AG1173" s="6"/>
      <c r="AH1173" s="7">
        <v>1</v>
      </c>
      <c r="AI1173" s="4"/>
      <c r="AJ1173" s="4">
        <f>=ROUNDDOWN({0},0)</f>
      </c>
      <c r="AK1173" s="5"/>
      <c r="AL1173" s="2" t="s">
        <v>233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233</v>
      </c>
      <c r="AW1173" s="8" t="s">
        <v>233</v>
      </c>
      <c r="AX1173" s="4" t="s">
        <v>233</v>
      </c>
      <c r="AY1173" s="8" t="s">
        <v>233</v>
      </c>
      <c r="AZ1173" s="7" t="s">
        <v>233</v>
      </c>
      <c r="BA1173" s="7" t="s">
        <v>233</v>
      </c>
      <c r="BB1173" s="7"/>
      <c r="BC1173" s="4" t="s">
        <v>233</v>
      </c>
      <c r="BD1173" s="8" t="s">
        <v>233</v>
      </c>
      <c r="BE1173" s="4" t="s">
        <v>233</v>
      </c>
      <c r="BF1173" s="8" t="s">
        <v>233</v>
      </c>
      <c r="BG1173" s="7" t="s">
        <v>233</v>
      </c>
      <c r="BH1173" s="7" t="s">
        <v>233</v>
      </c>
      <c r="BI1173" s="7"/>
      <c r="BJ1173" s="4">
        <v>12</v>
      </c>
      <c r="BK1173" s="8">
        <v>500.04</v>
      </c>
      <c r="BL1173" s="2" t="s">
        <v>5785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5786</v>
      </c>
      <c r="BV1173" s="2" t="s">
        <v>233</v>
      </c>
      <c r="BW1173" s="2" t="s">
        <v>233</v>
      </c>
      <c r="BX1173" s="2" t="s">
        <v>241</v>
      </c>
      <c r="BY1173" s="2" t="s">
        <v>242</v>
      </c>
      <c r="BZ1173" s="2" t="s">
        <v>230</v>
      </c>
      <c r="CA1173" s="2" t="s">
        <v>243</v>
      </c>
      <c r="CB1173" s="2" t="s">
        <v>5787</v>
      </c>
      <c r="CC1173" s="2" t="s">
        <v>245</v>
      </c>
      <c r="CD1173" s="2" t="s">
        <v>233</v>
      </c>
      <c r="CE1173" s="4">
        <v>188</v>
      </c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>
        <v>50</v>
      </c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>
        <v>189</v>
      </c>
      <c r="GD1173" s="4">
        <v>182</v>
      </c>
      <c r="GE1173" s="4">
        <v>171</v>
      </c>
      <c r="GF1173" s="4">
        <v>161</v>
      </c>
      <c r="GG1173" s="4">
        <v>140</v>
      </c>
      <c r="GH1173" s="4">
        <v>179</v>
      </c>
      <c r="GI1173" s="4">
        <v>169</v>
      </c>
      <c r="GJ1173" s="4">
        <v>162</v>
      </c>
      <c r="GK1173" s="4">
        <v>158</v>
      </c>
      <c r="GL1173" s="4">
        <v>155</v>
      </c>
      <c r="GM1173" s="4">
        <v>153</v>
      </c>
      <c r="GN1173" s="4">
        <v>151</v>
      </c>
      <c r="GO1173" s="4">
        <v>149</v>
      </c>
      <c r="GP1173" s="4">
        <v>147</v>
      </c>
      <c r="GQ1173" s="4">
        <v>145</v>
      </c>
      <c r="GR1173" s="4">
        <v>141</v>
      </c>
      <c r="GS1173" s="4">
        <v>137</v>
      </c>
      <c r="GT1173" s="4">
        <v>133</v>
      </c>
      <c r="GU1173" s="4">
        <v>129</v>
      </c>
      <c r="GV1173" s="4">
        <v>124</v>
      </c>
      <c r="GW1173" s="4">
        <v>119</v>
      </c>
      <c r="GX1173" s="4">
        <v>114</v>
      </c>
      <c r="GY1173" s="4">
        <v>109</v>
      </c>
      <c r="GZ1173" s="4">
        <v>105</v>
      </c>
      <c r="HA1173" s="4">
        <v>101</v>
      </c>
      <c r="HB1173" s="4">
        <v>97</v>
      </c>
      <c r="HC1173" s="19">
        <v>15.8</v>
      </c>
      <c r="HD1173" s="19">
        <v>14</v>
      </c>
      <c r="HE1173" s="19">
        <v>13.2</v>
      </c>
      <c r="HF1173" s="19">
        <v>13.4</v>
      </c>
      <c r="HG1173" s="19">
        <v>17.5</v>
      </c>
      <c r="HH1173" s="19">
        <v>29.8</v>
      </c>
      <c r="HI1173" s="19">
        <v>42.3</v>
      </c>
      <c r="HJ1173" s="19">
        <v>54</v>
      </c>
      <c r="HK1173" s="19">
        <v>79</v>
      </c>
      <c r="HL1173" s="19">
        <v>77.5</v>
      </c>
      <c r="HM1173" s="19">
        <v>76.5</v>
      </c>
      <c r="HN1173" s="19">
        <v>75.5</v>
      </c>
      <c r="HO1173" s="19">
        <v>49.7</v>
      </c>
      <c r="HP1173" s="19">
        <v>36.8</v>
      </c>
      <c r="HQ1173" s="19">
        <v>36.3</v>
      </c>
      <c r="HR1173" s="19">
        <v>35.3</v>
      </c>
      <c r="HS1173" s="19">
        <v>34.3</v>
      </c>
      <c r="HT1173" s="19">
        <v>26.6</v>
      </c>
      <c r="HU1173" s="19">
        <v>25.8</v>
      </c>
      <c r="HV1173" s="19">
        <v>24.8</v>
      </c>
      <c r="HW1173" s="19">
        <v>29.8</v>
      </c>
      <c r="HX1173" s="19">
        <v>28.5</v>
      </c>
      <c r="HY1173" s="19">
        <v>27.3</v>
      </c>
      <c r="HZ1173" s="19">
        <v>26.3</v>
      </c>
      <c r="IA1173" s="19">
        <v>25.3</v>
      </c>
      <c r="IB1173" s="19">
        <v>32.3</v>
      </c>
    </row>
    <row r="1174">
      <c r="A1174" s="2" t="s">
        <v>5788</v>
      </c>
      <c r="B1174" s="2" t="s">
        <v>222</v>
      </c>
      <c r="C1174" s="2" t="s">
        <v>223</v>
      </c>
      <c r="D1174" s="2" t="s">
        <v>261</v>
      </c>
      <c r="E1174" s="2" t="s">
        <v>262</v>
      </c>
      <c r="F1174" s="2" t="s">
        <v>5782</v>
      </c>
      <c r="G1174" s="2" t="s">
        <v>5782</v>
      </c>
      <c r="H1174" s="2" t="s">
        <v>5782</v>
      </c>
      <c r="I1174" s="2" t="s">
        <v>5783</v>
      </c>
      <c r="J1174" s="2" t="s">
        <v>265</v>
      </c>
      <c r="K1174" s="2" t="s">
        <v>266</v>
      </c>
      <c r="L1174" s="3">
        <v>49</v>
      </c>
      <c r="M1174" s="3">
        <v>51.45</v>
      </c>
      <c r="N1174" s="3">
        <v>99.99</v>
      </c>
      <c r="O1174" s="2" t="s">
        <v>230</v>
      </c>
      <c r="P1174" s="2" t="s">
        <v>231</v>
      </c>
      <c r="Q1174" s="2" t="s">
        <v>232</v>
      </c>
      <c r="R1174" s="2" t="s">
        <v>233</v>
      </c>
      <c r="S1174" s="2" t="s">
        <v>5784</v>
      </c>
      <c r="T1174" s="2" t="s">
        <v>348</v>
      </c>
      <c r="U1174" s="2" t="s">
        <v>233</v>
      </c>
      <c r="V1174" s="2" t="s">
        <v>236</v>
      </c>
      <c r="W1174" s="2" t="s">
        <v>237</v>
      </c>
      <c r="X1174" s="2" t="s">
        <v>233</v>
      </c>
      <c r="Y1174" s="2" t="s">
        <v>238</v>
      </c>
      <c r="Z1174" s="4">
        <v>192</v>
      </c>
      <c r="AA1174" s="4">
        <f>=ROUNDDOWN(32,0)</f>
      </c>
      <c r="AB1174" s="5">
        <v>6</v>
      </c>
      <c r="AC1174" s="2" t="s">
        <v>150</v>
      </c>
      <c r="AD1174" s="4">
        <v>110</v>
      </c>
      <c r="AE1174" s="4">
        <v>110</v>
      </c>
      <c r="AF1174" s="6">
        <v>66</v>
      </c>
      <c r="AG1174" s="6"/>
      <c r="AH1174" s="7">
        <v>1</v>
      </c>
      <c r="AI1174" s="4"/>
      <c r="AJ1174" s="4">
        <f>=ROUNDDOWN({0},0)</f>
      </c>
      <c r="AK1174" s="5"/>
      <c r="AL1174" s="2" t="s">
        <v>233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233</v>
      </c>
      <c r="AW1174" s="8" t="s">
        <v>233</v>
      </c>
      <c r="AX1174" s="4" t="s">
        <v>233</v>
      </c>
      <c r="AY1174" s="8" t="s">
        <v>233</v>
      </c>
      <c r="AZ1174" s="7" t="s">
        <v>233</v>
      </c>
      <c r="BA1174" s="7" t="s">
        <v>233</v>
      </c>
      <c r="BB1174" s="7"/>
      <c r="BC1174" s="4" t="s">
        <v>233</v>
      </c>
      <c r="BD1174" s="8" t="s">
        <v>233</v>
      </c>
      <c r="BE1174" s="4" t="s">
        <v>233</v>
      </c>
      <c r="BF1174" s="8" t="s">
        <v>233</v>
      </c>
      <c r="BG1174" s="7" t="s">
        <v>233</v>
      </c>
      <c r="BH1174" s="7" t="s">
        <v>233</v>
      </c>
      <c r="BI1174" s="7"/>
      <c r="BJ1174" s="4">
        <v>20</v>
      </c>
      <c r="BK1174" s="8">
        <v>1055.58</v>
      </c>
      <c r="BL1174" s="2" t="s">
        <v>5789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5786</v>
      </c>
      <c r="BV1174" s="2" t="s">
        <v>233</v>
      </c>
      <c r="BW1174" s="2" t="s">
        <v>233</v>
      </c>
      <c r="BX1174" s="2" t="s">
        <v>241</v>
      </c>
      <c r="BY1174" s="2" t="s">
        <v>242</v>
      </c>
      <c r="BZ1174" s="2" t="s">
        <v>230</v>
      </c>
      <c r="CA1174" s="2" t="s">
        <v>243</v>
      </c>
      <c r="CB1174" s="2" t="s">
        <v>5790</v>
      </c>
      <c r="CC1174" s="2" t="s">
        <v>245</v>
      </c>
      <c r="CD1174" s="2" t="s">
        <v>233</v>
      </c>
      <c r="CE1174" s="4">
        <v>192</v>
      </c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>
        <v>110</v>
      </c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>
        <v>194</v>
      </c>
      <c r="GD1174" s="4">
        <v>160</v>
      </c>
      <c r="GE1174" s="4">
        <v>143</v>
      </c>
      <c r="GF1174" s="4">
        <v>128</v>
      </c>
      <c r="GG1174" s="4">
        <v>207</v>
      </c>
      <c r="GH1174" s="4">
        <v>192</v>
      </c>
      <c r="GI1174" s="4">
        <v>178</v>
      </c>
      <c r="GJ1174" s="4">
        <v>169</v>
      </c>
      <c r="GK1174" s="4">
        <v>163</v>
      </c>
      <c r="GL1174" s="4">
        <v>157</v>
      </c>
      <c r="GM1174" s="4">
        <v>153</v>
      </c>
      <c r="GN1174" s="4">
        <v>149</v>
      </c>
      <c r="GO1174" s="4">
        <v>145</v>
      </c>
      <c r="GP1174" s="4">
        <v>141</v>
      </c>
      <c r="GQ1174" s="4">
        <v>137</v>
      </c>
      <c r="GR1174" s="4">
        <v>131</v>
      </c>
      <c r="GS1174" s="4">
        <v>125</v>
      </c>
      <c r="GT1174" s="4">
        <v>118</v>
      </c>
      <c r="GU1174" s="4">
        <v>112</v>
      </c>
      <c r="GV1174" s="4">
        <v>104</v>
      </c>
      <c r="GW1174" s="4">
        <v>96</v>
      </c>
      <c r="GX1174" s="4">
        <v>88</v>
      </c>
      <c r="GY1174" s="4">
        <v>80</v>
      </c>
      <c r="GZ1174" s="4">
        <v>73</v>
      </c>
      <c r="HA1174" s="4">
        <v>66</v>
      </c>
      <c r="HB1174" s="4">
        <v>59</v>
      </c>
      <c r="HC1174" s="19">
        <v>8.1</v>
      </c>
      <c r="HD1174" s="19">
        <v>8</v>
      </c>
      <c r="HE1174" s="19">
        <v>7.5</v>
      </c>
      <c r="HF1174" s="19">
        <v>7.5</v>
      </c>
      <c r="HG1174" s="19">
        <v>18.8</v>
      </c>
      <c r="HH1174" s="19">
        <v>21.3</v>
      </c>
      <c r="HI1174" s="19">
        <v>29.7</v>
      </c>
      <c r="HJ1174" s="19">
        <v>33.8</v>
      </c>
      <c r="HK1174" s="19">
        <v>40.8</v>
      </c>
      <c r="HL1174" s="19">
        <v>39.3</v>
      </c>
      <c r="HM1174" s="19">
        <v>38.3</v>
      </c>
      <c r="HN1174" s="19">
        <v>37.3</v>
      </c>
      <c r="HO1174" s="19">
        <v>29</v>
      </c>
      <c r="HP1174" s="19">
        <v>23.5</v>
      </c>
      <c r="HQ1174" s="19">
        <v>22.8</v>
      </c>
      <c r="HR1174" s="19">
        <v>18.7</v>
      </c>
      <c r="HS1174" s="19">
        <v>17.9</v>
      </c>
      <c r="HT1174" s="19">
        <v>14.8</v>
      </c>
      <c r="HU1174" s="19">
        <v>14</v>
      </c>
      <c r="HV1174" s="19">
        <v>13</v>
      </c>
      <c r="HW1174" s="19">
        <v>12</v>
      </c>
      <c r="HX1174" s="19">
        <v>12.6</v>
      </c>
      <c r="HY1174" s="19">
        <v>11.4</v>
      </c>
      <c r="HZ1174" s="19">
        <v>10.4</v>
      </c>
      <c r="IA1174" s="19">
        <v>11</v>
      </c>
      <c r="IB1174" s="19">
        <v>9.8</v>
      </c>
    </row>
    <row r="1175">
      <c r="A1175" s="2" t="s">
        <v>5791</v>
      </c>
      <c r="B1175" s="2" t="s">
        <v>222</v>
      </c>
      <c r="C1175" s="2" t="s">
        <v>223</v>
      </c>
      <c r="D1175" s="2" t="s">
        <v>261</v>
      </c>
      <c r="E1175" s="2" t="s">
        <v>262</v>
      </c>
      <c r="F1175" s="2" t="s">
        <v>5782</v>
      </c>
      <c r="G1175" s="2" t="s">
        <v>5782</v>
      </c>
      <c r="H1175" s="2" t="s">
        <v>5782</v>
      </c>
      <c r="I1175" s="2" t="s">
        <v>5783</v>
      </c>
      <c r="J1175" s="2" t="s">
        <v>256</v>
      </c>
      <c r="K1175" s="2" t="s">
        <v>266</v>
      </c>
      <c r="L1175" s="3">
        <v>60</v>
      </c>
      <c r="M1175" s="3">
        <v>63</v>
      </c>
      <c r="N1175" s="3">
        <v>119.99</v>
      </c>
      <c r="O1175" s="2" t="s">
        <v>230</v>
      </c>
      <c r="P1175" s="2" t="s">
        <v>231</v>
      </c>
      <c r="Q1175" s="2" t="s">
        <v>232</v>
      </c>
      <c r="R1175" s="2" t="s">
        <v>233</v>
      </c>
      <c r="S1175" s="2" t="s">
        <v>5784</v>
      </c>
      <c r="T1175" s="2" t="s">
        <v>348</v>
      </c>
      <c r="U1175" s="2" t="s">
        <v>233</v>
      </c>
      <c r="V1175" s="2" t="s">
        <v>236</v>
      </c>
      <c r="W1175" s="2" t="s">
        <v>237</v>
      </c>
      <c r="X1175" s="2" t="s">
        <v>233</v>
      </c>
      <c r="Y1175" s="2" t="s">
        <v>238</v>
      </c>
      <c r="Z1175" s="4">
        <v>134</v>
      </c>
      <c r="AA1175" s="4">
        <f>=ROUNDDOWN(26.8,0)</f>
      </c>
      <c r="AB1175" s="5">
        <v>5</v>
      </c>
      <c r="AC1175" s="2" t="s">
        <v>150</v>
      </c>
      <c r="AD1175" s="4">
        <v>60</v>
      </c>
      <c r="AE1175" s="4">
        <v>110</v>
      </c>
      <c r="AF1175" s="6">
        <v>66</v>
      </c>
      <c r="AG1175" s="6"/>
      <c r="AH1175" s="7">
        <v>1</v>
      </c>
      <c r="AI1175" s="4"/>
      <c r="AJ1175" s="4">
        <f>=ROUNDDOWN({0},0)</f>
      </c>
      <c r="AK1175" s="5"/>
      <c r="AL1175" s="2" t="s">
        <v>233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233</v>
      </c>
      <c r="AW1175" s="8" t="s">
        <v>233</v>
      </c>
      <c r="AX1175" s="4" t="s">
        <v>233</v>
      </c>
      <c r="AY1175" s="8" t="s">
        <v>233</v>
      </c>
      <c r="AZ1175" s="7" t="s">
        <v>233</v>
      </c>
      <c r="BA1175" s="7" t="s">
        <v>233</v>
      </c>
      <c r="BB1175" s="7"/>
      <c r="BC1175" s="4" t="s">
        <v>233</v>
      </c>
      <c r="BD1175" s="8" t="s">
        <v>233</v>
      </c>
      <c r="BE1175" s="4" t="s">
        <v>233</v>
      </c>
      <c r="BF1175" s="8" t="s">
        <v>233</v>
      </c>
      <c r="BG1175" s="7" t="s">
        <v>233</v>
      </c>
      <c r="BH1175" s="7" t="s">
        <v>233</v>
      </c>
      <c r="BI1175" s="7"/>
      <c r="BJ1175" s="4">
        <v>19</v>
      </c>
      <c r="BK1175" s="8">
        <v>1230.97</v>
      </c>
      <c r="BL1175" s="2" t="s">
        <v>5792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5786</v>
      </c>
      <c r="BV1175" s="2" t="s">
        <v>233</v>
      </c>
      <c r="BW1175" s="2" t="s">
        <v>233</v>
      </c>
      <c r="BX1175" s="2" t="s">
        <v>241</v>
      </c>
      <c r="BY1175" s="2" t="s">
        <v>242</v>
      </c>
      <c r="BZ1175" s="2" t="s">
        <v>230</v>
      </c>
      <c r="CA1175" s="2" t="s">
        <v>243</v>
      </c>
      <c r="CB1175" s="2" t="s">
        <v>5793</v>
      </c>
      <c r="CC1175" s="2" t="s">
        <v>245</v>
      </c>
      <c r="CD1175" s="2" t="s">
        <v>233</v>
      </c>
      <c r="CE1175" s="4">
        <v>134</v>
      </c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>
        <v>60</v>
      </c>
      <c r="DM1175" s="4"/>
      <c r="DN1175" s="4"/>
      <c r="DO1175" s="4"/>
      <c r="DP1175" s="4">
        <v>50</v>
      </c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>
        <v>135</v>
      </c>
      <c r="GD1175" s="4">
        <v>125</v>
      </c>
      <c r="GE1175" s="4">
        <v>111</v>
      </c>
      <c r="GF1175" s="4">
        <v>98</v>
      </c>
      <c r="GG1175" s="4">
        <v>131</v>
      </c>
      <c r="GH1175" s="4">
        <v>170</v>
      </c>
      <c r="GI1175" s="4">
        <v>160</v>
      </c>
      <c r="GJ1175" s="4">
        <v>153</v>
      </c>
      <c r="GK1175" s="4">
        <v>149</v>
      </c>
      <c r="GL1175" s="4">
        <v>144</v>
      </c>
      <c r="GM1175" s="4">
        <v>141</v>
      </c>
      <c r="GN1175" s="4">
        <v>138</v>
      </c>
      <c r="GO1175" s="4">
        <v>135</v>
      </c>
      <c r="GP1175" s="4">
        <v>132</v>
      </c>
      <c r="GQ1175" s="4">
        <v>129</v>
      </c>
      <c r="GR1175" s="4">
        <v>123</v>
      </c>
      <c r="GS1175" s="4">
        <v>117</v>
      </c>
      <c r="GT1175" s="4">
        <v>111</v>
      </c>
      <c r="GU1175" s="4">
        <v>105</v>
      </c>
      <c r="GV1175" s="4">
        <v>98</v>
      </c>
      <c r="GW1175" s="4">
        <v>91</v>
      </c>
      <c r="GX1175" s="4">
        <v>84</v>
      </c>
      <c r="GY1175" s="4">
        <v>77</v>
      </c>
      <c r="GZ1175" s="4">
        <v>70</v>
      </c>
      <c r="HA1175" s="4">
        <v>63</v>
      </c>
      <c r="HB1175" s="4">
        <v>56</v>
      </c>
      <c r="HC1175" s="19">
        <v>8.4</v>
      </c>
      <c r="HD1175" s="19">
        <v>7.8</v>
      </c>
      <c r="HE1175" s="19">
        <v>7.4</v>
      </c>
      <c r="HF1175" s="19">
        <v>7</v>
      </c>
      <c r="HG1175" s="19">
        <v>16.4</v>
      </c>
      <c r="HH1175" s="19">
        <v>28.3</v>
      </c>
      <c r="HI1175" s="19">
        <v>32</v>
      </c>
      <c r="HJ1175" s="19">
        <v>38.3</v>
      </c>
      <c r="HK1175" s="19">
        <v>37.3</v>
      </c>
      <c r="HL1175" s="19">
        <v>48</v>
      </c>
      <c r="HM1175" s="19">
        <v>47</v>
      </c>
      <c r="HN1175" s="19">
        <v>34.5</v>
      </c>
      <c r="HO1175" s="19">
        <v>33.8</v>
      </c>
      <c r="HP1175" s="19">
        <v>26.4</v>
      </c>
      <c r="HQ1175" s="19">
        <v>21.5</v>
      </c>
      <c r="HR1175" s="19">
        <v>20.5</v>
      </c>
      <c r="HS1175" s="19">
        <v>19.5</v>
      </c>
      <c r="HT1175" s="19">
        <v>15.9</v>
      </c>
      <c r="HU1175" s="19">
        <v>15</v>
      </c>
      <c r="HV1175" s="19">
        <v>14</v>
      </c>
      <c r="HW1175" s="19">
        <v>13</v>
      </c>
      <c r="HX1175" s="19">
        <v>12</v>
      </c>
      <c r="HY1175" s="19">
        <v>11</v>
      </c>
      <c r="HZ1175" s="19">
        <v>10</v>
      </c>
      <c r="IA1175" s="19">
        <v>10.5</v>
      </c>
      <c r="IB1175" s="19">
        <v>9.3</v>
      </c>
    </row>
    <row r="1176">
      <c r="A1176" s="2" t="s">
        <v>5794</v>
      </c>
      <c r="B1176" s="2" t="s">
        <v>825</v>
      </c>
      <c r="C1176" s="2" t="s">
        <v>1411</v>
      </c>
      <c r="D1176" s="2" t="s">
        <v>261</v>
      </c>
      <c r="E1176" s="2" t="s">
        <v>603</v>
      </c>
      <c r="F1176" s="2" t="s">
        <v>5795</v>
      </c>
      <c r="G1176" s="2" t="s">
        <v>5796</v>
      </c>
      <c r="H1176" s="2" t="s">
        <v>5797</v>
      </c>
      <c r="I1176" s="2" t="s">
        <v>5798</v>
      </c>
      <c r="J1176" s="2" t="s">
        <v>265</v>
      </c>
      <c r="K1176" s="2" t="s">
        <v>484</v>
      </c>
      <c r="L1176" s="3">
        <v>39.74</v>
      </c>
      <c r="M1176" s="3">
        <v>41.73</v>
      </c>
      <c r="N1176" s="3">
        <v>89.99</v>
      </c>
      <c r="O1176" s="2" t="s">
        <v>230</v>
      </c>
      <c r="P1176" s="2" t="s">
        <v>231</v>
      </c>
      <c r="Q1176" s="2" t="s">
        <v>232</v>
      </c>
      <c r="R1176" s="2" t="s">
        <v>233</v>
      </c>
      <c r="S1176" s="2" t="s">
        <v>5799</v>
      </c>
      <c r="T1176" s="2" t="s">
        <v>469</v>
      </c>
      <c r="U1176" s="2" t="s">
        <v>608</v>
      </c>
      <c r="V1176" s="2" t="s">
        <v>236</v>
      </c>
      <c r="W1176" s="2" t="s">
        <v>237</v>
      </c>
      <c r="X1176" s="2" t="s">
        <v>5800</v>
      </c>
      <c r="Y1176" s="2" t="s">
        <v>1633</v>
      </c>
      <c r="Z1176" s="4">
        <v>568</v>
      </c>
      <c r="AA1176" s="4">
        <f>=ROUNDDOWN(75.7333333333333,0)</f>
      </c>
      <c r="AB1176" s="5">
        <v>7.5</v>
      </c>
      <c r="AC1176" s="2" t="s">
        <v>233</v>
      </c>
      <c r="AD1176" s="4"/>
      <c r="AE1176" s="4"/>
      <c r="AF1176" s="6">
        <v>64</v>
      </c>
      <c r="AG1176" s="6">
        <v>47</v>
      </c>
      <c r="AH1176" s="7">
        <v>1</v>
      </c>
      <c r="AI1176" s="4"/>
      <c r="AJ1176" s="4">
        <f>=ROUNDDOWN({0},0)</f>
      </c>
      <c r="AK1176" s="5"/>
      <c r="AL1176" s="2" t="s">
        <v>233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/>
      <c r="AW1176" s="8"/>
      <c r="AX1176" s="4"/>
      <c r="AY1176" s="8"/>
      <c r="AZ1176" s="7"/>
      <c r="BA1176" s="7"/>
      <c r="BB1176" s="7"/>
      <c r="BC1176" s="4"/>
      <c r="BD1176" s="8"/>
      <c r="BE1176" s="4"/>
      <c r="BF1176" s="8"/>
      <c r="BG1176" s="7"/>
      <c r="BH1176" s="7"/>
      <c r="BI1176" s="7"/>
      <c r="BJ1176" s="4">
        <v>24</v>
      </c>
      <c r="BK1176" s="8">
        <v>1016.53</v>
      </c>
      <c r="BL1176" s="2" t="s">
        <v>491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5801</v>
      </c>
      <c r="BV1176" s="2" t="s">
        <v>233</v>
      </c>
      <c r="BW1176" s="2" t="s">
        <v>233</v>
      </c>
      <c r="BX1176" s="2" t="s">
        <v>293</v>
      </c>
      <c r="BY1176" s="2" t="s">
        <v>242</v>
      </c>
      <c r="BZ1176" s="2" t="s">
        <v>230</v>
      </c>
      <c r="CA1176" s="2" t="s">
        <v>684</v>
      </c>
      <c r="CB1176" s="2" t="s">
        <v>5045</v>
      </c>
      <c r="CC1176" s="2" t="s">
        <v>245</v>
      </c>
      <c r="CD1176" s="2" t="s">
        <v>233</v>
      </c>
      <c r="CE1176" s="4">
        <v>264</v>
      </c>
      <c r="CF1176" s="4"/>
      <c r="CG1176" s="4"/>
      <c r="CH1176" s="4">
        <v>304</v>
      </c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>
        <v>574</v>
      </c>
      <c r="GD1176" s="4">
        <v>561</v>
      </c>
      <c r="GE1176" s="4">
        <v>555</v>
      </c>
      <c r="GF1176" s="4">
        <v>549</v>
      </c>
      <c r="GG1176" s="4">
        <v>535</v>
      </c>
      <c r="GH1176" s="4">
        <v>522</v>
      </c>
      <c r="GI1176" s="4">
        <v>507</v>
      </c>
      <c r="GJ1176" s="4">
        <v>497</v>
      </c>
      <c r="GK1176" s="4">
        <v>490</v>
      </c>
      <c r="GL1176" s="4">
        <v>483</v>
      </c>
      <c r="GM1176" s="4">
        <v>476</v>
      </c>
      <c r="GN1176" s="4">
        <v>469</v>
      </c>
      <c r="GO1176" s="4">
        <v>462</v>
      </c>
      <c r="GP1176" s="4">
        <v>455</v>
      </c>
      <c r="GQ1176" s="4">
        <v>448</v>
      </c>
      <c r="GR1176" s="4">
        <v>441</v>
      </c>
      <c r="GS1176" s="4">
        <v>434</v>
      </c>
      <c r="GT1176" s="4">
        <v>427</v>
      </c>
      <c r="GU1176" s="4">
        <v>420</v>
      </c>
      <c r="GV1176" s="4">
        <v>413</v>
      </c>
      <c r="GW1176" s="4">
        <v>406</v>
      </c>
      <c r="GX1176" s="4">
        <v>399</v>
      </c>
      <c r="GY1176" s="4">
        <v>392</v>
      </c>
      <c r="GZ1176" s="4">
        <v>385</v>
      </c>
      <c r="HA1176" s="4">
        <v>378</v>
      </c>
      <c r="HB1176" s="4">
        <v>371</v>
      </c>
      <c r="HC1176" s="19">
        <v>92.9</v>
      </c>
      <c r="HD1176" s="19">
        <v>91.9</v>
      </c>
      <c r="HE1176" s="19">
        <v>88.2</v>
      </c>
      <c r="HF1176" s="19">
        <v>87.7</v>
      </c>
      <c r="HG1176" s="19">
        <v>87.7</v>
      </c>
      <c r="HH1176" s="19">
        <v>88.2</v>
      </c>
      <c r="HI1176" s="19">
        <v>164.4</v>
      </c>
      <c r="HJ1176" s="19">
        <v>162.7</v>
      </c>
      <c r="HK1176" s="19">
        <v>161.7</v>
      </c>
      <c r="HL1176" s="19">
        <v>160.7</v>
      </c>
      <c r="HM1176" s="19">
        <v>159.7</v>
      </c>
      <c r="HN1176" s="19">
        <v>158.7</v>
      </c>
      <c r="HO1176" s="19">
        <v>157.7</v>
      </c>
      <c r="HP1176" s="19">
        <v>156.7</v>
      </c>
      <c r="HQ1176" s="19">
        <v>155.7</v>
      </c>
      <c r="HR1176" s="19">
        <v>154.7</v>
      </c>
      <c r="HS1176" s="19">
        <v>153.7</v>
      </c>
      <c r="HT1176" s="19">
        <v>152.7</v>
      </c>
      <c r="HU1176" s="19">
        <v>151.7</v>
      </c>
      <c r="HV1176" s="19">
        <v>150.7</v>
      </c>
      <c r="HW1176" s="19">
        <v>149.7</v>
      </c>
      <c r="HX1176" s="19">
        <v>148.7</v>
      </c>
      <c r="HY1176" s="19">
        <v>147.7</v>
      </c>
      <c r="HZ1176" s="19">
        <v>146.7</v>
      </c>
      <c r="IA1176" s="19">
        <v>145.7</v>
      </c>
      <c r="IB1176" s="19">
        <v>144.7</v>
      </c>
    </row>
    <row r="1177">
      <c r="A1177" s="2" t="s">
        <v>5802</v>
      </c>
      <c r="B1177" s="2" t="s">
        <v>773</v>
      </c>
      <c r="C1177" s="2" t="s">
        <v>2240</v>
      </c>
      <c r="D1177" s="2" t="s">
        <v>2224</v>
      </c>
      <c r="E1177" s="2" t="s">
        <v>2225</v>
      </c>
      <c r="F1177" s="2" t="s">
        <v>5803</v>
      </c>
      <c r="G1177" s="2" t="s">
        <v>5803</v>
      </c>
      <c r="H1177" s="2" t="s">
        <v>5803</v>
      </c>
      <c r="I1177" s="2" t="s">
        <v>2227</v>
      </c>
      <c r="J1177" s="2" t="s">
        <v>228</v>
      </c>
      <c r="K1177" s="2" t="s">
        <v>266</v>
      </c>
      <c r="L1177" s="3">
        <v>44.52</v>
      </c>
      <c r="M1177" s="3">
        <v>46.75</v>
      </c>
      <c r="N1177" s="3">
        <v>94.99</v>
      </c>
      <c r="O1177" s="2" t="s">
        <v>230</v>
      </c>
      <c r="P1177" s="2" t="s">
        <v>231</v>
      </c>
      <c r="Q1177" s="2" t="s">
        <v>232</v>
      </c>
      <c r="R1177" s="2" t="s">
        <v>233</v>
      </c>
      <c r="S1177" s="2" t="s">
        <v>233</v>
      </c>
      <c r="T1177" s="2" t="s">
        <v>268</v>
      </c>
      <c r="U1177" s="2" t="s">
        <v>329</v>
      </c>
      <c r="V1177" s="2" t="s">
        <v>236</v>
      </c>
      <c r="W1177" s="2" t="s">
        <v>237</v>
      </c>
      <c r="X1177" s="2" t="s">
        <v>233</v>
      </c>
      <c r="Y1177" s="2" t="s">
        <v>2958</v>
      </c>
      <c r="Z1177" s="4">
        <v>409</v>
      </c>
      <c r="AA1177" s="4">
        <f>=ROUNDDOWN(44.4565217391304,0)</f>
      </c>
      <c r="AB1177" s="5">
        <v>9.2</v>
      </c>
      <c r="AC1177" s="2" t="s">
        <v>233</v>
      </c>
      <c r="AD1177" s="4"/>
      <c r="AE1177" s="4"/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233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/>
      <c r="AW1177" s="8"/>
      <c r="AX1177" s="4"/>
      <c r="AY1177" s="8"/>
      <c r="AZ1177" s="7"/>
      <c r="BA1177" s="7"/>
      <c r="BB1177" s="7"/>
      <c r="BC1177" s="4"/>
      <c r="BD1177" s="8"/>
      <c r="BE1177" s="4"/>
      <c r="BF1177" s="8"/>
      <c r="BG1177" s="7"/>
      <c r="BH1177" s="7"/>
      <c r="BI1177" s="7"/>
      <c r="BJ1177" s="4">
        <v>27</v>
      </c>
      <c r="BK1177" s="8">
        <v>1409.09</v>
      </c>
      <c r="BL1177" s="2" t="s">
        <v>5804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5805</v>
      </c>
      <c r="BV1177" s="2" t="s">
        <v>233</v>
      </c>
      <c r="BW1177" s="2" t="s">
        <v>233</v>
      </c>
      <c r="BX1177" s="2" t="s">
        <v>293</v>
      </c>
      <c r="BY1177" s="2" t="s">
        <v>242</v>
      </c>
      <c r="BZ1177" s="2" t="s">
        <v>230</v>
      </c>
      <c r="CA1177" s="2" t="s">
        <v>2960</v>
      </c>
      <c r="CB1177" s="2" t="s">
        <v>5806</v>
      </c>
      <c r="CC1177" s="2" t="s">
        <v>245</v>
      </c>
      <c r="CD1177" s="2" t="s">
        <v>233</v>
      </c>
      <c r="CE1177" s="4">
        <v>409</v>
      </c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>
        <v>411</v>
      </c>
      <c r="GD1177" s="4">
        <v>398</v>
      </c>
      <c r="GE1177" s="4">
        <v>387</v>
      </c>
      <c r="GF1177" s="4">
        <v>374</v>
      </c>
      <c r="GG1177" s="4">
        <v>360</v>
      </c>
      <c r="GH1177" s="4">
        <v>346</v>
      </c>
      <c r="GI1177" s="4">
        <v>328</v>
      </c>
      <c r="GJ1177" s="4">
        <v>304</v>
      </c>
      <c r="GK1177" s="4">
        <v>285</v>
      </c>
      <c r="GL1177" s="4">
        <v>273</v>
      </c>
      <c r="GM1177" s="4">
        <v>263</v>
      </c>
      <c r="GN1177" s="4">
        <v>253</v>
      </c>
      <c r="GO1177" s="4">
        <v>248</v>
      </c>
      <c r="GP1177" s="4">
        <v>243</v>
      </c>
      <c r="GQ1177" s="4">
        <v>238</v>
      </c>
      <c r="GR1177" s="4">
        <v>230</v>
      </c>
      <c r="GS1177" s="4">
        <v>224</v>
      </c>
      <c r="GT1177" s="4">
        <v>219</v>
      </c>
      <c r="GU1177" s="4">
        <v>217</v>
      </c>
      <c r="GV1177" s="4">
        <v>215</v>
      </c>
      <c r="GW1177" s="4">
        <v>212</v>
      </c>
      <c r="GX1177" s="4">
        <v>209</v>
      </c>
      <c r="GY1177" s="4">
        <v>207</v>
      </c>
      <c r="GZ1177" s="4">
        <v>202</v>
      </c>
      <c r="HA1177" s="4">
        <v>198</v>
      </c>
      <c r="HB1177" s="4">
        <v>197</v>
      </c>
      <c r="HC1177" s="19">
        <v>31.6</v>
      </c>
      <c r="HD1177" s="19">
        <v>30.6</v>
      </c>
      <c r="HE1177" s="19">
        <v>25.8</v>
      </c>
      <c r="HF1177" s="19">
        <v>20.8</v>
      </c>
      <c r="HG1177" s="19">
        <v>18.9</v>
      </c>
      <c r="HH1177" s="19">
        <v>19.2</v>
      </c>
      <c r="HI1177" s="19">
        <v>20.5</v>
      </c>
      <c r="HJ1177" s="19">
        <v>23.4</v>
      </c>
      <c r="HK1177" s="19">
        <v>31.7</v>
      </c>
      <c r="HL1177" s="19">
        <v>34.1</v>
      </c>
      <c r="HM1177" s="19">
        <v>43.8</v>
      </c>
      <c r="HN1177" s="19">
        <v>42.2</v>
      </c>
      <c r="HO1177" s="19">
        <v>41.3</v>
      </c>
      <c r="HP1177" s="19">
        <v>40.5</v>
      </c>
      <c r="HQ1177" s="19">
        <v>47.6</v>
      </c>
      <c r="HR1177" s="19">
        <v>57.5</v>
      </c>
      <c r="HS1177" s="19">
        <v>74.7</v>
      </c>
      <c r="HT1177" s="19">
        <v>109.5</v>
      </c>
      <c r="HU1177" s="19">
        <v>108.5</v>
      </c>
      <c r="HV1177" s="19">
        <v>71.7</v>
      </c>
      <c r="HW1177" s="19">
        <v>53</v>
      </c>
      <c r="HX1177" s="19">
        <v>69.7</v>
      </c>
      <c r="HY1177" s="19">
        <v>69</v>
      </c>
      <c r="HZ1177" s="19">
        <v>101</v>
      </c>
      <c r="IA1177" s="19">
        <v>99</v>
      </c>
      <c r="IB1177" s="19">
        <v>98.5</v>
      </c>
    </row>
    <row r="1178">
      <c r="A1178" s="2" t="s">
        <v>5807</v>
      </c>
      <c r="B1178" s="2" t="s">
        <v>872</v>
      </c>
      <c r="C1178" s="2" t="s">
        <v>1171</v>
      </c>
      <c r="D1178" s="2" t="s">
        <v>1172</v>
      </c>
      <c r="E1178" s="2" t="s">
        <v>1173</v>
      </c>
      <c r="F1178" s="2" t="s">
        <v>5808</v>
      </c>
      <c r="G1178" s="2" t="s">
        <v>5808</v>
      </c>
      <c r="H1178" s="2" t="s">
        <v>5808</v>
      </c>
      <c r="I1178" s="2" t="s">
        <v>1365</v>
      </c>
      <c r="J1178" s="2" t="s">
        <v>1564</v>
      </c>
      <c r="K1178" s="2" t="s">
        <v>629</v>
      </c>
      <c r="L1178" s="3">
        <v>34.04</v>
      </c>
      <c r="M1178" s="3">
        <v>35.74</v>
      </c>
      <c r="N1178" s="3">
        <v>109.99</v>
      </c>
      <c r="O1178" s="2" t="s">
        <v>230</v>
      </c>
      <c r="P1178" s="2" t="s">
        <v>721</v>
      </c>
      <c r="Q1178" s="2" t="s">
        <v>232</v>
      </c>
      <c r="R1178" s="2" t="s">
        <v>233</v>
      </c>
      <c r="S1178" s="2" t="s">
        <v>233</v>
      </c>
      <c r="T1178" s="2" t="s">
        <v>233</v>
      </c>
      <c r="U1178" s="2" t="s">
        <v>329</v>
      </c>
      <c r="V1178" s="2" t="s">
        <v>236</v>
      </c>
      <c r="W1178" s="2" t="s">
        <v>818</v>
      </c>
      <c r="X1178" s="2" t="s">
        <v>233</v>
      </c>
      <c r="Y1178" s="2" t="s">
        <v>1042</v>
      </c>
      <c r="Z1178" s="4">
        <v>112</v>
      </c>
      <c r="AA1178" s="4">
        <f>=ROUNDDOWN(43.0769230769231,0)</f>
      </c>
      <c r="AB1178" s="5">
        <v>2.6</v>
      </c>
      <c r="AC1178" s="2" t="s">
        <v>233</v>
      </c>
      <c r="AD1178" s="4"/>
      <c r="AE1178" s="4"/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233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/>
      <c r="AW1178" s="8"/>
      <c r="AX1178" s="4"/>
      <c r="AY1178" s="8"/>
      <c r="AZ1178" s="7"/>
      <c r="BA1178" s="7"/>
      <c r="BB1178" s="7"/>
      <c r="BC1178" s="4" t="s">
        <v>233</v>
      </c>
      <c r="BD1178" s="8" t="s">
        <v>233</v>
      </c>
      <c r="BE1178" s="4" t="s">
        <v>233</v>
      </c>
      <c r="BF1178" s="8" t="s">
        <v>233</v>
      </c>
      <c r="BG1178" s="7" t="s">
        <v>233</v>
      </c>
      <c r="BH1178" s="7" t="s">
        <v>233</v>
      </c>
      <c r="BI1178" s="7"/>
      <c r="BJ1178" s="4">
        <v>11</v>
      </c>
      <c r="BK1178" s="8">
        <v>428.01</v>
      </c>
      <c r="BL1178" s="2" t="s">
        <v>1449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5809</v>
      </c>
      <c r="BV1178" s="2" t="s">
        <v>233</v>
      </c>
      <c r="BW1178" s="2" t="s">
        <v>233</v>
      </c>
      <c r="BX1178" s="2" t="s">
        <v>241</v>
      </c>
      <c r="BY1178" s="2" t="s">
        <v>242</v>
      </c>
      <c r="BZ1178" s="2" t="s">
        <v>230</v>
      </c>
      <c r="CA1178" s="2" t="s">
        <v>1368</v>
      </c>
      <c r="CB1178" s="2" t="s">
        <v>4005</v>
      </c>
      <c r="CC1178" s="2" t="s">
        <v>245</v>
      </c>
      <c r="CD1178" s="2" t="s">
        <v>233</v>
      </c>
      <c r="CE1178" s="4">
        <v>112</v>
      </c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>
        <v>115</v>
      </c>
      <c r="GD1178" s="4">
        <v>110</v>
      </c>
      <c r="GE1178" s="4">
        <v>107</v>
      </c>
      <c r="GF1178" s="4">
        <v>104</v>
      </c>
      <c r="GG1178" s="4">
        <v>98</v>
      </c>
      <c r="GH1178" s="4">
        <v>95</v>
      </c>
      <c r="GI1178" s="4">
        <v>92</v>
      </c>
      <c r="GJ1178" s="4">
        <v>90</v>
      </c>
      <c r="GK1178" s="4">
        <v>89</v>
      </c>
      <c r="GL1178" s="4">
        <v>87</v>
      </c>
      <c r="GM1178" s="4">
        <v>85</v>
      </c>
      <c r="GN1178" s="4">
        <v>83</v>
      </c>
      <c r="GO1178" s="4">
        <v>81</v>
      </c>
      <c r="GP1178" s="4">
        <v>79</v>
      </c>
      <c r="GQ1178" s="4">
        <v>77</v>
      </c>
      <c r="GR1178" s="4">
        <v>75</v>
      </c>
      <c r="GS1178" s="4">
        <v>73</v>
      </c>
      <c r="GT1178" s="4">
        <v>71</v>
      </c>
      <c r="GU1178" s="4">
        <v>69</v>
      </c>
      <c r="GV1178" s="4">
        <v>67</v>
      </c>
      <c r="GW1178" s="4">
        <v>65</v>
      </c>
      <c r="GX1178" s="4">
        <v>63</v>
      </c>
      <c r="GY1178" s="4">
        <v>61</v>
      </c>
      <c r="GZ1178" s="4">
        <v>59</v>
      </c>
      <c r="HA1178" s="4">
        <v>57</v>
      </c>
      <c r="HB1178" s="4">
        <v>55</v>
      </c>
      <c r="HC1178" s="19">
        <v>28.8</v>
      </c>
      <c r="HD1178" s="19">
        <v>27.5</v>
      </c>
      <c r="HE1178" s="19">
        <v>26.8</v>
      </c>
      <c r="HF1178" s="19">
        <v>26</v>
      </c>
      <c r="HG1178" s="19">
        <v>49</v>
      </c>
      <c r="HH1178" s="19">
        <v>47.5</v>
      </c>
      <c r="HI1178" s="19">
        <v>46</v>
      </c>
      <c r="HJ1178" s="19">
        <v>45</v>
      </c>
      <c r="HK1178" s="19">
        <v>44.5</v>
      </c>
      <c r="HL1178" s="19">
        <v>43.5</v>
      </c>
      <c r="HM1178" s="19">
        <v>42.5</v>
      </c>
      <c r="HN1178" s="19">
        <v>41.5</v>
      </c>
      <c r="HO1178" s="19">
        <v>40.5</v>
      </c>
      <c r="HP1178" s="19">
        <v>39.5</v>
      </c>
      <c r="HQ1178" s="19">
        <v>38.5</v>
      </c>
      <c r="HR1178" s="19">
        <v>37.5</v>
      </c>
      <c r="HS1178" s="19">
        <v>36.5</v>
      </c>
      <c r="HT1178" s="19">
        <v>35.5</v>
      </c>
      <c r="HU1178" s="19">
        <v>34.5</v>
      </c>
      <c r="HV1178" s="19">
        <v>33.5</v>
      </c>
      <c r="HW1178" s="19">
        <v>32.5</v>
      </c>
      <c r="HX1178" s="19">
        <v>31.5</v>
      </c>
      <c r="HY1178" s="19">
        <v>30.5</v>
      </c>
      <c r="HZ1178" s="19">
        <v>29.5</v>
      </c>
      <c r="IA1178" s="19">
        <v>28.5</v>
      </c>
      <c r="IB1178" s="19">
        <v>27.5</v>
      </c>
    </row>
    <row r="1179">
      <c r="A1179" s="2" t="s">
        <v>5810</v>
      </c>
      <c r="B1179" s="2" t="s">
        <v>872</v>
      </c>
      <c r="C1179" s="2" t="s">
        <v>1171</v>
      </c>
      <c r="D1179" s="2" t="s">
        <v>1172</v>
      </c>
      <c r="E1179" s="2" t="s">
        <v>1173</v>
      </c>
      <c r="F1179" s="2" t="s">
        <v>5808</v>
      </c>
      <c r="G1179" s="2" t="s">
        <v>5808</v>
      </c>
      <c r="H1179" s="2" t="s">
        <v>5808</v>
      </c>
      <c r="I1179" s="2" t="s">
        <v>1365</v>
      </c>
      <c r="J1179" s="2" t="s">
        <v>1564</v>
      </c>
      <c r="K1179" s="2" t="s">
        <v>870</v>
      </c>
      <c r="L1179" s="3">
        <v>34.04</v>
      </c>
      <c r="M1179" s="3">
        <v>35.74</v>
      </c>
      <c r="N1179" s="3">
        <v>109.99</v>
      </c>
      <c r="O1179" s="2" t="s">
        <v>230</v>
      </c>
      <c r="P1179" s="2" t="s">
        <v>231</v>
      </c>
      <c r="Q1179" s="2" t="s">
        <v>232</v>
      </c>
      <c r="R1179" s="2" t="s">
        <v>233</v>
      </c>
      <c r="S1179" s="2" t="s">
        <v>233</v>
      </c>
      <c r="T1179" s="2" t="s">
        <v>233</v>
      </c>
      <c r="U1179" s="2" t="s">
        <v>329</v>
      </c>
      <c r="V1179" s="2" t="s">
        <v>236</v>
      </c>
      <c r="W1179" s="2" t="s">
        <v>818</v>
      </c>
      <c r="X1179" s="2" t="s">
        <v>233</v>
      </c>
      <c r="Y1179" s="2" t="s">
        <v>1042</v>
      </c>
      <c r="Z1179" s="4">
        <v>152</v>
      </c>
      <c r="AA1179" s="4">
        <f>=ROUNDDOWN(101.333333333333,0)</f>
      </c>
      <c r="AB1179" s="5">
        <v>1.5</v>
      </c>
      <c r="AC1179" s="2" t="s">
        <v>233</v>
      </c>
      <c r="AD1179" s="4"/>
      <c r="AE1179" s="4"/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233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/>
      <c r="AW1179" s="8"/>
      <c r="AX1179" s="4"/>
      <c r="AY1179" s="8"/>
      <c r="AZ1179" s="7"/>
      <c r="BA1179" s="7"/>
      <c r="BB1179" s="7"/>
      <c r="BC1179" s="4" t="s">
        <v>233</v>
      </c>
      <c r="BD1179" s="8" t="s">
        <v>233</v>
      </c>
      <c r="BE1179" s="4" t="s">
        <v>233</v>
      </c>
      <c r="BF1179" s="8" t="s">
        <v>233</v>
      </c>
      <c r="BG1179" s="7" t="s">
        <v>233</v>
      </c>
      <c r="BH1179" s="7" t="s">
        <v>233</v>
      </c>
      <c r="BI1179" s="7"/>
      <c r="BJ1179" s="4">
        <v>6</v>
      </c>
      <c r="BK1179" s="8">
        <v>310.14</v>
      </c>
      <c r="BL1179" s="2" t="s">
        <v>5811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5809</v>
      </c>
      <c r="BV1179" s="2" t="s">
        <v>233</v>
      </c>
      <c r="BW1179" s="2" t="s">
        <v>233</v>
      </c>
      <c r="BX1179" s="2" t="s">
        <v>241</v>
      </c>
      <c r="BY1179" s="2" t="s">
        <v>242</v>
      </c>
      <c r="BZ1179" s="2" t="s">
        <v>230</v>
      </c>
      <c r="CA1179" s="2" t="s">
        <v>1368</v>
      </c>
      <c r="CB1179" s="2" t="s">
        <v>5812</v>
      </c>
      <c r="CC1179" s="2" t="s">
        <v>245</v>
      </c>
      <c r="CD1179" s="2" t="s">
        <v>233</v>
      </c>
      <c r="CE1179" s="4">
        <v>152</v>
      </c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>
        <v>154</v>
      </c>
      <c r="GD1179" s="4">
        <v>150</v>
      </c>
      <c r="GE1179" s="4">
        <v>147</v>
      </c>
      <c r="GF1179" s="4">
        <v>144</v>
      </c>
      <c r="GG1179" s="4">
        <v>138</v>
      </c>
      <c r="GH1179" s="4">
        <v>135</v>
      </c>
      <c r="GI1179" s="4">
        <v>132</v>
      </c>
      <c r="GJ1179" s="4">
        <v>130</v>
      </c>
      <c r="GK1179" s="4">
        <v>129</v>
      </c>
      <c r="GL1179" s="4">
        <v>127</v>
      </c>
      <c r="GM1179" s="4">
        <v>125</v>
      </c>
      <c r="GN1179" s="4">
        <v>123</v>
      </c>
      <c r="GO1179" s="4">
        <v>121</v>
      </c>
      <c r="GP1179" s="4">
        <v>119</v>
      </c>
      <c r="GQ1179" s="4">
        <v>117</v>
      </c>
      <c r="GR1179" s="4">
        <v>115</v>
      </c>
      <c r="GS1179" s="4">
        <v>113</v>
      </c>
      <c r="GT1179" s="4">
        <v>111</v>
      </c>
      <c r="GU1179" s="4">
        <v>109</v>
      </c>
      <c r="GV1179" s="4">
        <v>107</v>
      </c>
      <c r="GW1179" s="4">
        <v>105</v>
      </c>
      <c r="GX1179" s="4">
        <v>103</v>
      </c>
      <c r="GY1179" s="4">
        <v>101</v>
      </c>
      <c r="GZ1179" s="4">
        <v>99</v>
      </c>
      <c r="HA1179" s="4">
        <v>97</v>
      </c>
      <c r="HB1179" s="4">
        <v>95</v>
      </c>
      <c r="HC1179" s="19">
        <v>38.5</v>
      </c>
      <c r="HD1179" s="19">
        <v>37.5</v>
      </c>
      <c r="HE1179" s="19">
        <v>36.8</v>
      </c>
      <c r="HF1179" s="19">
        <v>36</v>
      </c>
      <c r="HG1179" s="19">
        <v>69</v>
      </c>
      <c r="HH1179" s="19">
        <v>67.5</v>
      </c>
      <c r="HI1179" s="19">
        <v>66</v>
      </c>
      <c r="HJ1179" s="19">
        <v>65</v>
      </c>
      <c r="HK1179" s="19">
        <v>64.5</v>
      </c>
      <c r="HL1179" s="19">
        <v>63.5</v>
      </c>
      <c r="HM1179" s="19">
        <v>62.5</v>
      </c>
      <c r="HN1179" s="19">
        <v>61.5</v>
      </c>
      <c r="HO1179" s="19">
        <v>60.5</v>
      </c>
      <c r="HP1179" s="19">
        <v>59.5</v>
      </c>
      <c r="HQ1179" s="19">
        <v>58.5</v>
      </c>
      <c r="HR1179" s="19">
        <v>57.5</v>
      </c>
      <c r="HS1179" s="19">
        <v>56.5</v>
      </c>
      <c r="HT1179" s="19">
        <v>55.5</v>
      </c>
      <c r="HU1179" s="19">
        <v>54.5</v>
      </c>
      <c r="HV1179" s="19">
        <v>53.5</v>
      </c>
      <c r="HW1179" s="19">
        <v>52.5</v>
      </c>
      <c r="HX1179" s="19">
        <v>51.5</v>
      </c>
      <c r="HY1179" s="19">
        <v>50.5</v>
      </c>
      <c r="HZ1179" s="19">
        <v>49.5</v>
      </c>
      <c r="IA1179" s="19">
        <v>48.5</v>
      </c>
      <c r="IB1179" s="19">
        <v>47.5</v>
      </c>
    </row>
    <row r="1180">
      <c r="A1180" s="2" t="s">
        <v>5813</v>
      </c>
      <c r="B1180" s="2" t="s">
        <v>872</v>
      </c>
      <c r="C1180" s="2" t="s">
        <v>1171</v>
      </c>
      <c r="D1180" s="2" t="s">
        <v>1172</v>
      </c>
      <c r="E1180" s="2" t="s">
        <v>1173</v>
      </c>
      <c r="F1180" s="2" t="s">
        <v>5808</v>
      </c>
      <c r="G1180" s="2" t="s">
        <v>5808</v>
      </c>
      <c r="H1180" s="2" t="s">
        <v>5808</v>
      </c>
      <c r="I1180" s="2" t="s">
        <v>1365</v>
      </c>
      <c r="J1180" s="2" t="s">
        <v>1564</v>
      </c>
      <c r="K1180" s="2" t="s">
        <v>1177</v>
      </c>
      <c r="L1180" s="3">
        <v>34.04</v>
      </c>
      <c r="M1180" s="3">
        <v>35.74</v>
      </c>
      <c r="N1180" s="3">
        <v>109.99</v>
      </c>
      <c r="O1180" s="2" t="s">
        <v>230</v>
      </c>
      <c r="P1180" s="2" t="s">
        <v>721</v>
      </c>
      <c r="Q1180" s="2" t="s">
        <v>232</v>
      </c>
      <c r="R1180" s="2" t="s">
        <v>233</v>
      </c>
      <c r="S1180" s="2" t="s">
        <v>233</v>
      </c>
      <c r="T1180" s="2" t="s">
        <v>233</v>
      </c>
      <c r="U1180" s="2" t="s">
        <v>329</v>
      </c>
      <c r="V1180" s="2" t="s">
        <v>236</v>
      </c>
      <c r="W1180" s="2" t="s">
        <v>818</v>
      </c>
      <c r="X1180" s="2" t="s">
        <v>233</v>
      </c>
      <c r="Y1180" s="2" t="s">
        <v>1042</v>
      </c>
      <c r="Z1180" s="4">
        <v>121</v>
      </c>
      <c r="AA1180" s="4">
        <f>=ROUNDDOWN(80.6666666666667,0)</f>
      </c>
      <c r="AB1180" s="5">
        <v>1.5</v>
      </c>
      <c r="AC1180" s="2" t="s">
        <v>233</v>
      </c>
      <c r="AD1180" s="4"/>
      <c r="AE1180" s="4"/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233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 t="s">
        <v>233</v>
      </c>
      <c r="BD1180" s="8" t="s">
        <v>233</v>
      </c>
      <c r="BE1180" s="4" t="s">
        <v>233</v>
      </c>
      <c r="BF1180" s="8" t="s">
        <v>233</v>
      </c>
      <c r="BG1180" s="7" t="s">
        <v>233</v>
      </c>
      <c r="BH1180" s="7" t="s">
        <v>233</v>
      </c>
      <c r="BI1180" s="7"/>
      <c r="BJ1180" s="4">
        <v>4</v>
      </c>
      <c r="BK1180" s="8">
        <v>157.48</v>
      </c>
      <c r="BL1180" s="2" t="s">
        <v>362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5809</v>
      </c>
      <c r="BV1180" s="2" t="s">
        <v>233</v>
      </c>
      <c r="BW1180" s="2" t="s">
        <v>233</v>
      </c>
      <c r="BX1180" s="2" t="s">
        <v>241</v>
      </c>
      <c r="BY1180" s="2" t="s">
        <v>242</v>
      </c>
      <c r="BZ1180" s="2" t="s">
        <v>230</v>
      </c>
      <c r="CA1180" s="2" t="s">
        <v>1368</v>
      </c>
      <c r="CB1180" s="2" t="s">
        <v>3076</v>
      </c>
      <c r="CC1180" s="2" t="s">
        <v>245</v>
      </c>
      <c r="CD1180" s="2" t="s">
        <v>233</v>
      </c>
      <c r="CE1180" s="4">
        <v>121</v>
      </c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>
        <v>122</v>
      </c>
      <c r="GD1180" s="4">
        <v>108</v>
      </c>
      <c r="GE1180" s="4">
        <v>105</v>
      </c>
      <c r="GF1180" s="4">
        <v>102</v>
      </c>
      <c r="GG1180" s="4">
        <v>98</v>
      </c>
      <c r="GH1180" s="4">
        <v>95</v>
      </c>
      <c r="GI1180" s="4">
        <v>92</v>
      </c>
      <c r="GJ1180" s="4">
        <v>90</v>
      </c>
      <c r="GK1180" s="4">
        <v>88</v>
      </c>
      <c r="GL1180" s="4">
        <v>86</v>
      </c>
      <c r="GM1180" s="4">
        <v>84</v>
      </c>
      <c r="GN1180" s="4">
        <v>82</v>
      </c>
      <c r="GO1180" s="4">
        <v>80</v>
      </c>
      <c r="GP1180" s="4">
        <v>78</v>
      </c>
      <c r="GQ1180" s="4">
        <v>76</v>
      </c>
      <c r="GR1180" s="4">
        <v>74</v>
      </c>
      <c r="GS1180" s="4">
        <v>72</v>
      </c>
      <c r="GT1180" s="4">
        <v>70</v>
      </c>
      <c r="GU1180" s="4">
        <v>68</v>
      </c>
      <c r="GV1180" s="4">
        <v>66</v>
      </c>
      <c r="GW1180" s="4">
        <v>64</v>
      </c>
      <c r="GX1180" s="4">
        <v>62</v>
      </c>
      <c r="GY1180" s="4">
        <v>60</v>
      </c>
      <c r="GZ1180" s="4">
        <v>58</v>
      </c>
      <c r="HA1180" s="4">
        <v>56</v>
      </c>
      <c r="HB1180" s="4">
        <v>54</v>
      </c>
      <c r="HC1180" s="19">
        <v>20.3</v>
      </c>
      <c r="HD1180" s="19">
        <v>36</v>
      </c>
      <c r="HE1180" s="19">
        <v>35</v>
      </c>
      <c r="HF1180" s="19">
        <v>34</v>
      </c>
      <c r="HG1180" s="19">
        <v>49</v>
      </c>
      <c r="HH1180" s="19">
        <v>47.5</v>
      </c>
      <c r="HI1180" s="19">
        <v>46</v>
      </c>
      <c r="HJ1180" s="19">
        <v>45</v>
      </c>
      <c r="HK1180" s="19">
        <v>44</v>
      </c>
      <c r="HL1180" s="19">
        <v>43</v>
      </c>
      <c r="HM1180" s="19">
        <v>42</v>
      </c>
      <c r="HN1180" s="19">
        <v>41</v>
      </c>
      <c r="HO1180" s="19">
        <v>40</v>
      </c>
      <c r="HP1180" s="19">
        <v>39</v>
      </c>
      <c r="HQ1180" s="19">
        <v>38</v>
      </c>
      <c r="HR1180" s="19">
        <v>37</v>
      </c>
      <c r="HS1180" s="19">
        <v>36</v>
      </c>
      <c r="HT1180" s="19">
        <v>35</v>
      </c>
      <c r="HU1180" s="19">
        <v>34</v>
      </c>
      <c r="HV1180" s="19">
        <v>33</v>
      </c>
      <c r="HW1180" s="19">
        <v>32</v>
      </c>
      <c r="HX1180" s="19">
        <v>31</v>
      </c>
      <c r="HY1180" s="19">
        <v>30</v>
      </c>
      <c r="HZ1180" s="19">
        <v>29</v>
      </c>
      <c r="IA1180" s="19">
        <v>28</v>
      </c>
      <c r="IB1180" s="19">
        <v>27</v>
      </c>
    </row>
    <row r="1181">
      <c r="A1181" s="2" t="s">
        <v>5814</v>
      </c>
      <c r="B1181" s="2" t="s">
        <v>736</v>
      </c>
      <c r="C1181" s="2" t="s">
        <v>280</v>
      </c>
      <c r="D1181" s="2" t="s">
        <v>1197</v>
      </c>
      <c r="E1181" s="2" t="s">
        <v>1198</v>
      </c>
      <c r="F1181" s="2" t="s">
        <v>5815</v>
      </c>
      <c r="G1181" s="2" t="s">
        <v>5815</v>
      </c>
      <c r="H1181" s="2" t="s">
        <v>5815</v>
      </c>
      <c r="I1181" s="2" t="s">
        <v>5816</v>
      </c>
      <c r="J1181" s="2" t="s">
        <v>741</v>
      </c>
      <c r="K1181" s="2" t="s">
        <v>5817</v>
      </c>
      <c r="L1181" s="3">
        <v>43.01</v>
      </c>
      <c r="M1181" s="3">
        <v>45.16</v>
      </c>
      <c r="N1181" s="3">
        <v>84.99</v>
      </c>
      <c r="O1181" s="2" t="s">
        <v>230</v>
      </c>
      <c r="P1181" s="2" t="s">
        <v>231</v>
      </c>
      <c r="Q1181" s="2" t="s">
        <v>232</v>
      </c>
      <c r="R1181" s="2" t="s">
        <v>233</v>
      </c>
      <c r="S1181" s="2" t="s">
        <v>5818</v>
      </c>
      <c r="T1181" s="2" t="s">
        <v>233</v>
      </c>
      <c r="U1181" s="2" t="s">
        <v>711</v>
      </c>
      <c r="V1181" s="2" t="s">
        <v>744</v>
      </c>
      <c r="W1181" s="2" t="s">
        <v>288</v>
      </c>
      <c r="X1181" s="2" t="s">
        <v>288</v>
      </c>
      <c r="Y1181" s="2" t="s">
        <v>893</v>
      </c>
      <c r="Z1181" s="4">
        <v>91</v>
      </c>
      <c r="AA1181" s="4">
        <f>=ROUNDDOWN(13,0)</f>
      </c>
      <c r="AB1181" s="5">
        <v>7</v>
      </c>
      <c r="AC1181" s="2" t="s">
        <v>233</v>
      </c>
      <c r="AD1181" s="4"/>
      <c r="AE1181" s="4"/>
      <c r="AF1181" s="6">
        <v>63</v>
      </c>
      <c r="AG1181" s="6"/>
      <c r="AH1181" s="7">
        <v>1</v>
      </c>
      <c r="AI1181" s="4"/>
      <c r="AJ1181" s="4">
        <f>=ROUNDDOWN({0},0)</f>
      </c>
      <c r="AK1181" s="5"/>
      <c r="AL1181" s="2" t="s">
        <v>233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/>
      <c r="AW1181" s="8"/>
      <c r="AX1181" s="4"/>
      <c r="AY1181" s="8"/>
      <c r="AZ1181" s="7"/>
      <c r="BA1181" s="7"/>
      <c r="BB1181" s="7"/>
      <c r="BC1181" s="4"/>
      <c r="BD1181" s="8"/>
      <c r="BE1181" s="4"/>
      <c r="BF1181" s="8"/>
      <c r="BG1181" s="7"/>
      <c r="BH1181" s="7"/>
      <c r="BI1181" s="7"/>
      <c r="BJ1181" s="4">
        <v>56</v>
      </c>
      <c r="BK1181" s="8">
        <v>2882.14</v>
      </c>
      <c r="BL1181" s="2" t="s">
        <v>5819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5820</v>
      </c>
      <c r="BV1181" s="2" t="s">
        <v>233</v>
      </c>
      <c r="BW1181" s="2" t="s">
        <v>233</v>
      </c>
      <c r="BX1181" s="2" t="s">
        <v>241</v>
      </c>
      <c r="BY1181" s="2" t="s">
        <v>242</v>
      </c>
      <c r="BZ1181" s="2" t="s">
        <v>230</v>
      </c>
      <c r="CA1181" s="2" t="s">
        <v>1437</v>
      </c>
      <c r="CB1181" s="2" t="s">
        <v>4859</v>
      </c>
      <c r="CC1181" s="2" t="s">
        <v>245</v>
      </c>
      <c r="CD1181" s="2" t="s">
        <v>233</v>
      </c>
      <c r="CE1181" s="4"/>
      <c r="CF1181" s="4">
        <v>91</v>
      </c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>
        <v>120</v>
      </c>
      <c r="GD1181" s="4">
        <v>118</v>
      </c>
      <c r="GE1181" s="4">
        <v>115</v>
      </c>
      <c r="GF1181" s="4">
        <v>112</v>
      </c>
      <c r="GG1181" s="4">
        <v>109</v>
      </c>
      <c r="GH1181" s="4">
        <v>104</v>
      </c>
      <c r="GI1181" s="4">
        <v>96</v>
      </c>
      <c r="GJ1181" s="4">
        <v>89</v>
      </c>
      <c r="GK1181" s="4">
        <v>82</v>
      </c>
      <c r="GL1181" s="4">
        <v>75</v>
      </c>
      <c r="GM1181" s="4">
        <v>67</v>
      </c>
      <c r="GN1181" s="4">
        <v>60</v>
      </c>
      <c r="GO1181" s="4">
        <v>53</v>
      </c>
      <c r="GP1181" s="4">
        <v>46</v>
      </c>
      <c r="GQ1181" s="4">
        <v>39</v>
      </c>
      <c r="GR1181" s="4">
        <v>32</v>
      </c>
      <c r="GS1181" s="4">
        <v>25</v>
      </c>
      <c r="GT1181" s="4">
        <v>121</v>
      </c>
      <c r="GU1181" s="4">
        <v>114</v>
      </c>
      <c r="GV1181" s="4">
        <v>107</v>
      </c>
      <c r="GW1181" s="4">
        <v>100</v>
      </c>
      <c r="GX1181" s="4">
        <v>93</v>
      </c>
      <c r="GY1181" s="4">
        <v>86</v>
      </c>
      <c r="GZ1181" s="4">
        <v>79</v>
      </c>
      <c r="HA1181" s="4">
        <v>71</v>
      </c>
      <c r="HB1181" s="4">
        <v>64</v>
      </c>
      <c r="HC1181" s="19">
        <v>40</v>
      </c>
      <c r="HD1181" s="19">
        <v>29.5</v>
      </c>
      <c r="HE1181" s="19">
        <v>23</v>
      </c>
      <c r="HF1181" s="19">
        <v>18.7</v>
      </c>
      <c r="HG1181" s="19">
        <v>15.6</v>
      </c>
      <c r="HH1181" s="19">
        <v>14.9</v>
      </c>
      <c r="HI1181" s="19">
        <v>13.7</v>
      </c>
      <c r="HJ1181" s="19">
        <v>12.7</v>
      </c>
      <c r="HK1181" s="19">
        <v>11.7</v>
      </c>
      <c r="HL1181" s="19">
        <v>10.7</v>
      </c>
      <c r="HM1181" s="19">
        <v>9.6</v>
      </c>
      <c r="HN1181" s="19">
        <v>8.6</v>
      </c>
      <c r="HO1181" s="19">
        <v>7.6</v>
      </c>
      <c r="HP1181" s="19">
        <v>6.6</v>
      </c>
      <c r="HQ1181" s="19">
        <v>5.6</v>
      </c>
      <c r="HR1181" s="19">
        <v>4.6</v>
      </c>
      <c r="HS1181" s="19">
        <v>3.6</v>
      </c>
      <c r="HT1181" s="19">
        <v>17.3</v>
      </c>
      <c r="HU1181" s="19">
        <v>16.3</v>
      </c>
      <c r="HV1181" s="19">
        <v>15.3</v>
      </c>
      <c r="HW1181" s="19">
        <v>14.3</v>
      </c>
      <c r="HX1181" s="19">
        <v>13.3</v>
      </c>
      <c r="HY1181" s="19">
        <v>12.3</v>
      </c>
      <c r="HZ1181" s="19">
        <v>11.3</v>
      </c>
      <c r="IA1181" s="19">
        <v>10.1</v>
      </c>
      <c r="IB1181" s="19">
        <v>9.1</v>
      </c>
    </row>
    <row r="1182">
      <c r="A1182" s="2" t="s">
        <v>5821</v>
      </c>
      <c r="B1182" s="2" t="s">
        <v>923</v>
      </c>
      <c r="C1182" s="2" t="s">
        <v>908</v>
      </c>
      <c r="D1182" s="2" t="s">
        <v>951</v>
      </c>
      <c r="E1182" s="2" t="s">
        <v>952</v>
      </c>
      <c r="F1182" s="2" t="s">
        <v>5822</v>
      </c>
      <c r="G1182" s="2" t="s">
        <v>5822</v>
      </c>
      <c r="H1182" s="2" t="s">
        <v>5822</v>
      </c>
      <c r="I1182" s="2" t="s">
        <v>5823</v>
      </c>
      <c r="J1182" s="2" t="s">
        <v>954</v>
      </c>
      <c r="K1182" s="2" t="s">
        <v>1014</v>
      </c>
      <c r="L1182" s="3">
        <v>20.5</v>
      </c>
      <c r="M1182" s="3">
        <v>21.52</v>
      </c>
      <c r="N1182" s="3">
        <v>42.99</v>
      </c>
      <c r="O1182" s="2" t="s">
        <v>230</v>
      </c>
      <c r="P1182" s="2" t="s">
        <v>231</v>
      </c>
      <c r="Q1182" s="2" t="s">
        <v>232</v>
      </c>
      <c r="R1182" s="2" t="s">
        <v>233</v>
      </c>
      <c r="S1182" s="2" t="s">
        <v>5824</v>
      </c>
      <c r="T1182" s="2" t="s">
        <v>233</v>
      </c>
      <c r="U1182" s="2" t="s">
        <v>233</v>
      </c>
      <c r="V1182" s="2" t="s">
        <v>914</v>
      </c>
      <c r="W1182" s="2" t="s">
        <v>915</v>
      </c>
      <c r="X1182" s="2" t="s">
        <v>233</v>
      </c>
      <c r="Y1182" s="2" t="s">
        <v>238</v>
      </c>
      <c r="Z1182" s="4">
        <v>307</v>
      </c>
      <c r="AA1182" s="4">
        <f>=ROUNDDOWN(18.0588235294118,0)</f>
      </c>
      <c r="AB1182" s="5">
        <v>17</v>
      </c>
      <c r="AC1182" s="2" t="s">
        <v>139</v>
      </c>
      <c r="AD1182" s="4">
        <v>140</v>
      </c>
      <c r="AE1182" s="4">
        <v>540</v>
      </c>
      <c r="AF1182" s="6">
        <v>69</v>
      </c>
      <c r="AG1182" s="6"/>
      <c r="AH1182" s="7">
        <v>1</v>
      </c>
      <c r="AI1182" s="4"/>
      <c r="AJ1182" s="4">
        <f>=ROUNDDOWN({0},0)</f>
      </c>
      <c r="AK1182" s="5"/>
      <c r="AL1182" s="2" t="s">
        <v>233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/>
      <c r="AW1182" s="8"/>
      <c r="AX1182" s="4"/>
      <c r="AY1182" s="8"/>
      <c r="AZ1182" s="7"/>
      <c r="BA1182" s="7"/>
      <c r="BB1182" s="7"/>
      <c r="BC1182" s="4"/>
      <c r="BD1182" s="8"/>
      <c r="BE1182" s="4"/>
      <c r="BF1182" s="8"/>
      <c r="BG1182" s="7"/>
      <c r="BH1182" s="7"/>
      <c r="BI1182" s="7"/>
      <c r="BJ1182" s="4">
        <v>225</v>
      </c>
      <c r="BK1182" s="8">
        <v>4852.94</v>
      </c>
      <c r="BL1182" s="2" t="s">
        <v>5825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5826</v>
      </c>
      <c r="BV1182" s="2" t="s">
        <v>233</v>
      </c>
      <c r="BW1182" s="2" t="s">
        <v>233</v>
      </c>
      <c r="BX1182" s="2" t="s">
        <v>241</v>
      </c>
      <c r="BY1182" s="2" t="s">
        <v>242</v>
      </c>
      <c r="BZ1182" s="2" t="s">
        <v>230</v>
      </c>
      <c r="CA1182" s="2" t="s">
        <v>5827</v>
      </c>
      <c r="CB1182" s="2" t="s">
        <v>577</v>
      </c>
      <c r="CC1182" s="2" t="s">
        <v>245</v>
      </c>
      <c r="CD1182" s="2" t="s">
        <v>233</v>
      </c>
      <c r="CE1182" s="4">
        <v>307</v>
      </c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>
        <v>140</v>
      </c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>
        <v>200</v>
      </c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>
        <v>200</v>
      </c>
      <c r="GB1182" s="4"/>
      <c r="GC1182" s="4">
        <v>352</v>
      </c>
      <c r="GD1182" s="4">
        <v>325</v>
      </c>
      <c r="GE1182" s="4">
        <v>430</v>
      </c>
      <c r="GF1182" s="4">
        <v>404</v>
      </c>
      <c r="GG1182" s="4">
        <v>375</v>
      </c>
      <c r="GH1182" s="4">
        <v>339</v>
      </c>
      <c r="GI1182" s="4">
        <v>310</v>
      </c>
      <c r="GJ1182" s="4">
        <v>288</v>
      </c>
      <c r="GK1182" s="4">
        <v>266</v>
      </c>
      <c r="GL1182" s="4">
        <v>243</v>
      </c>
      <c r="GM1182" s="4">
        <v>218</v>
      </c>
      <c r="GN1182" s="4">
        <v>197</v>
      </c>
      <c r="GO1182" s="4">
        <v>176</v>
      </c>
      <c r="GP1182" s="4">
        <v>155</v>
      </c>
      <c r="GQ1182" s="4">
        <v>332</v>
      </c>
      <c r="GR1182" s="4">
        <v>309</v>
      </c>
      <c r="GS1182" s="4">
        <v>286</v>
      </c>
      <c r="GT1182" s="4">
        <v>267</v>
      </c>
      <c r="GU1182" s="4">
        <v>248</v>
      </c>
      <c r="GV1182" s="4">
        <v>229</v>
      </c>
      <c r="GW1182" s="4">
        <v>410</v>
      </c>
      <c r="GX1182" s="4">
        <v>391</v>
      </c>
      <c r="GY1182" s="4">
        <v>372</v>
      </c>
      <c r="GZ1182" s="4">
        <v>353</v>
      </c>
      <c r="HA1182" s="4">
        <v>335</v>
      </c>
      <c r="HB1182" s="4">
        <v>318</v>
      </c>
      <c r="HC1182" s="19">
        <v>12.1</v>
      </c>
      <c r="HD1182" s="19">
        <v>10.2</v>
      </c>
      <c r="HE1182" s="19">
        <v>14.3</v>
      </c>
      <c r="HF1182" s="19">
        <v>13.9</v>
      </c>
      <c r="HG1182" s="19">
        <v>13.9</v>
      </c>
      <c r="HH1182" s="19">
        <v>14.1</v>
      </c>
      <c r="HI1182" s="19">
        <v>13.5</v>
      </c>
      <c r="HJ1182" s="19">
        <v>12.5</v>
      </c>
      <c r="HK1182" s="19">
        <v>12.1</v>
      </c>
      <c r="HL1182" s="19">
        <v>11</v>
      </c>
      <c r="HM1182" s="19">
        <v>9.9</v>
      </c>
      <c r="HN1182" s="19">
        <v>9</v>
      </c>
      <c r="HO1182" s="19">
        <v>8</v>
      </c>
      <c r="HP1182" s="19">
        <v>7</v>
      </c>
      <c r="HQ1182" s="19">
        <v>15.8</v>
      </c>
      <c r="HR1182" s="19">
        <v>15.5</v>
      </c>
      <c r="HS1182" s="19">
        <v>15.1</v>
      </c>
      <c r="HT1182" s="19">
        <v>14.1</v>
      </c>
      <c r="HU1182" s="19">
        <v>13.1</v>
      </c>
      <c r="HV1182" s="19">
        <v>12.1</v>
      </c>
      <c r="HW1182" s="19">
        <v>21.6</v>
      </c>
      <c r="HX1182" s="19">
        <v>21.7</v>
      </c>
      <c r="HY1182" s="19">
        <v>20.7</v>
      </c>
      <c r="HZ1182" s="19">
        <v>20.8</v>
      </c>
      <c r="IA1182" s="19">
        <v>19.7</v>
      </c>
      <c r="IB1182" s="19">
        <v>18.7</v>
      </c>
    </row>
    <row r="1183">
      <c r="A1183" s="2" t="s">
        <v>5828</v>
      </c>
      <c r="B1183" s="2" t="s">
        <v>872</v>
      </c>
      <c r="C1183" s="2" t="s">
        <v>908</v>
      </c>
      <c r="D1183" s="2" t="s">
        <v>884</v>
      </c>
      <c r="E1183" s="2" t="s">
        <v>4689</v>
      </c>
      <c r="F1183" s="2" t="s">
        <v>5829</v>
      </c>
      <c r="G1183" s="2" t="s">
        <v>5829</v>
      </c>
      <c r="H1183" s="2" t="s">
        <v>5829</v>
      </c>
      <c r="I1183" s="2" t="s">
        <v>5648</v>
      </c>
      <c r="J1183" s="2" t="s">
        <v>275</v>
      </c>
      <c r="K1183" s="2" t="s">
        <v>458</v>
      </c>
      <c r="L1183" s="3">
        <v>54.99</v>
      </c>
      <c r="M1183" s="3">
        <v>57.74</v>
      </c>
      <c r="N1183" s="3">
        <v>119.99</v>
      </c>
      <c r="O1183" s="2" t="s">
        <v>230</v>
      </c>
      <c r="P1183" s="2" t="s">
        <v>597</v>
      </c>
      <c r="Q1183" s="2" t="s">
        <v>232</v>
      </c>
      <c r="R1183" s="2" t="s">
        <v>233</v>
      </c>
      <c r="S1183" s="2" t="s">
        <v>5649</v>
      </c>
      <c r="T1183" s="2" t="s">
        <v>233</v>
      </c>
      <c r="U1183" s="2" t="s">
        <v>233</v>
      </c>
      <c r="V1183" s="2" t="s">
        <v>914</v>
      </c>
      <c r="W1183" s="2" t="s">
        <v>915</v>
      </c>
      <c r="X1183" s="2" t="s">
        <v>1481</v>
      </c>
      <c r="Y1183" s="2" t="s">
        <v>238</v>
      </c>
      <c r="Z1183" s="4">
        <v>467</v>
      </c>
      <c r="AA1183" s="4">
        <f>=ROUNDDOWN(31.1333333333333,0)</f>
      </c>
      <c r="AB1183" s="5">
        <v>15</v>
      </c>
      <c r="AC1183" s="2" t="s">
        <v>151</v>
      </c>
      <c r="AD1183" s="4">
        <v>190</v>
      </c>
      <c r="AE1183" s="4">
        <v>320</v>
      </c>
      <c r="AF1183" s="6">
        <v>69</v>
      </c>
      <c r="AG1183" s="6"/>
      <c r="AH1183" s="7">
        <v>1</v>
      </c>
      <c r="AI1183" s="4"/>
      <c r="AJ1183" s="4">
        <f>=ROUNDDOWN({0},0)</f>
      </c>
      <c r="AK1183" s="5"/>
      <c r="AL1183" s="2" t="s">
        <v>233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/>
      <c r="AW1183" s="8"/>
      <c r="AX1183" s="4"/>
      <c r="AY1183" s="8"/>
      <c r="AZ1183" s="7"/>
      <c r="BA1183" s="7"/>
      <c r="BB1183" s="7"/>
      <c r="BC1183" s="4"/>
      <c r="BD1183" s="8"/>
      <c r="BE1183" s="4"/>
      <c r="BF1183" s="8"/>
      <c r="BG1183" s="7"/>
      <c r="BH1183" s="7"/>
      <c r="BI1183" s="7"/>
      <c r="BJ1183" s="4">
        <v>86</v>
      </c>
      <c r="BK1183" s="8">
        <v>5191.72</v>
      </c>
      <c r="BL1183" s="2" t="s">
        <v>5830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5831</v>
      </c>
      <c r="BV1183" s="2" t="s">
        <v>233</v>
      </c>
      <c r="BW1183" s="2" t="s">
        <v>233</v>
      </c>
      <c r="BX1183" s="2" t="s">
        <v>241</v>
      </c>
      <c r="BY1183" s="2" t="s">
        <v>242</v>
      </c>
      <c r="BZ1183" s="2" t="s">
        <v>230</v>
      </c>
      <c r="CA1183" s="2" t="s">
        <v>5832</v>
      </c>
      <c r="CB1183" s="2" t="s">
        <v>5827</v>
      </c>
      <c r="CC1183" s="2" t="s">
        <v>245</v>
      </c>
      <c r="CD1183" s="2" t="s">
        <v>233</v>
      </c>
      <c r="CE1183" s="4">
        <v>467</v>
      </c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>
        <v>190</v>
      </c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>
        <v>100</v>
      </c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>
        <v>30</v>
      </c>
      <c r="GB1183" s="4"/>
      <c r="GC1183" s="4">
        <v>486</v>
      </c>
      <c r="GD1183" s="4">
        <v>341</v>
      </c>
      <c r="GE1183" s="4">
        <v>319</v>
      </c>
      <c r="GF1183" s="4">
        <v>297</v>
      </c>
      <c r="GG1183" s="4">
        <v>457</v>
      </c>
      <c r="GH1183" s="4">
        <v>432</v>
      </c>
      <c r="GI1183" s="4">
        <v>408</v>
      </c>
      <c r="GJ1183" s="4">
        <v>391</v>
      </c>
      <c r="GK1183" s="4">
        <v>375</v>
      </c>
      <c r="GL1183" s="4">
        <v>358</v>
      </c>
      <c r="GM1183" s="4">
        <v>340</v>
      </c>
      <c r="GN1183" s="4">
        <v>323</v>
      </c>
      <c r="GO1183" s="4">
        <v>306</v>
      </c>
      <c r="GP1183" s="4">
        <v>289</v>
      </c>
      <c r="GQ1183" s="4">
        <v>372</v>
      </c>
      <c r="GR1183" s="4">
        <v>355</v>
      </c>
      <c r="GS1183" s="4">
        <v>338</v>
      </c>
      <c r="GT1183" s="4">
        <v>321</v>
      </c>
      <c r="GU1183" s="4">
        <v>304</v>
      </c>
      <c r="GV1183" s="4">
        <v>287</v>
      </c>
      <c r="GW1183" s="4">
        <v>301</v>
      </c>
      <c r="GX1183" s="4">
        <v>285</v>
      </c>
      <c r="GY1183" s="4">
        <v>269</v>
      </c>
      <c r="GZ1183" s="4">
        <v>253</v>
      </c>
      <c r="HA1183" s="4">
        <v>236</v>
      </c>
      <c r="HB1183" s="4">
        <v>220</v>
      </c>
      <c r="HC1183" s="19">
        <v>8.8</v>
      </c>
      <c r="HD1183" s="19">
        <v>13.6</v>
      </c>
      <c r="HE1183" s="19">
        <v>12.8</v>
      </c>
      <c r="HF1183" s="19">
        <v>12.4</v>
      </c>
      <c r="HG1183" s="19">
        <v>22.9</v>
      </c>
      <c r="HH1183" s="19">
        <v>24</v>
      </c>
      <c r="HI1183" s="19">
        <v>24</v>
      </c>
      <c r="HJ1183" s="19">
        <v>23</v>
      </c>
      <c r="HK1183" s="19">
        <v>22.1</v>
      </c>
      <c r="HL1183" s="19">
        <v>21.1</v>
      </c>
      <c r="HM1183" s="19">
        <v>20</v>
      </c>
      <c r="HN1183" s="19">
        <v>19</v>
      </c>
      <c r="HO1183" s="19">
        <v>18</v>
      </c>
      <c r="HP1183" s="19">
        <v>17</v>
      </c>
      <c r="HQ1183" s="19">
        <v>21.9</v>
      </c>
      <c r="HR1183" s="19">
        <v>20.9</v>
      </c>
      <c r="HS1183" s="19">
        <v>19.9</v>
      </c>
      <c r="HT1183" s="19">
        <v>20.1</v>
      </c>
      <c r="HU1183" s="19">
        <v>19</v>
      </c>
      <c r="HV1183" s="19">
        <v>17.9</v>
      </c>
      <c r="HW1183" s="19">
        <v>18.8</v>
      </c>
      <c r="HX1183" s="19">
        <v>17.8</v>
      </c>
      <c r="HY1183" s="19">
        <v>16.8</v>
      </c>
      <c r="HZ1183" s="19">
        <v>15.8</v>
      </c>
      <c r="IA1183" s="19">
        <v>14.8</v>
      </c>
      <c r="IB1183" s="19">
        <v>13.8</v>
      </c>
    </row>
    <row r="1184">
      <c r="A1184" s="2" t="s">
        <v>5833</v>
      </c>
      <c r="B1184" s="2" t="s">
        <v>222</v>
      </c>
      <c r="C1184" s="2" t="s">
        <v>223</v>
      </c>
      <c r="D1184" s="2" t="s">
        <v>1573</v>
      </c>
      <c r="E1184" s="2" t="s">
        <v>2089</v>
      </c>
      <c r="F1184" s="2" t="s">
        <v>5834</v>
      </c>
      <c r="G1184" s="2" t="s">
        <v>233</v>
      </c>
      <c r="H1184" s="2" t="s">
        <v>233</v>
      </c>
      <c r="I1184" s="2" t="s">
        <v>5835</v>
      </c>
      <c r="J1184" s="2" t="s">
        <v>228</v>
      </c>
      <c r="K1184" s="2" t="s">
        <v>266</v>
      </c>
      <c r="L1184" s="3">
        <v>36.8</v>
      </c>
      <c r="M1184" s="3">
        <v>38.64</v>
      </c>
      <c r="N1184" s="3">
        <v>79.99</v>
      </c>
      <c r="O1184" s="2" t="s">
        <v>230</v>
      </c>
      <c r="P1184" s="2" t="s">
        <v>231</v>
      </c>
      <c r="Q1184" s="2" t="s">
        <v>232</v>
      </c>
      <c r="R1184" s="2" t="s">
        <v>233</v>
      </c>
      <c r="S1184" s="2" t="s">
        <v>5836</v>
      </c>
      <c r="T1184" s="2" t="s">
        <v>5837</v>
      </c>
      <c r="U1184" s="2" t="s">
        <v>233</v>
      </c>
      <c r="V1184" s="2" t="s">
        <v>236</v>
      </c>
      <c r="W1184" s="2" t="s">
        <v>237</v>
      </c>
      <c r="X1184" s="2" t="s">
        <v>233</v>
      </c>
      <c r="Y1184" s="2" t="s">
        <v>238</v>
      </c>
      <c r="Z1184" s="4">
        <v>145</v>
      </c>
      <c r="AA1184" s="4">
        <f>=ROUNDDOWN(20.7142857142857,0)</f>
      </c>
      <c r="AB1184" s="5">
        <v>7</v>
      </c>
      <c r="AC1184" s="2" t="s">
        <v>490</v>
      </c>
      <c r="AD1184" s="4">
        <v>100</v>
      </c>
      <c r="AE1184" s="4">
        <v>270</v>
      </c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233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233</v>
      </c>
      <c r="AW1184" s="8" t="s">
        <v>233</v>
      </c>
      <c r="AX1184" s="4" t="s">
        <v>233</v>
      </c>
      <c r="AY1184" s="8" t="s">
        <v>233</v>
      </c>
      <c r="AZ1184" s="7" t="s">
        <v>233</v>
      </c>
      <c r="BA1184" s="7" t="s">
        <v>233</v>
      </c>
      <c r="BB1184" s="7"/>
      <c r="BC1184" s="4" t="s">
        <v>233</v>
      </c>
      <c r="BD1184" s="8" t="s">
        <v>233</v>
      </c>
      <c r="BE1184" s="4" t="s">
        <v>233</v>
      </c>
      <c r="BF1184" s="8" t="s">
        <v>233</v>
      </c>
      <c r="BG1184" s="7" t="s">
        <v>233</v>
      </c>
      <c r="BH1184" s="7" t="s">
        <v>233</v>
      </c>
      <c r="BI1184" s="7"/>
      <c r="BJ1184" s="4">
        <v>47</v>
      </c>
      <c r="BK1184" s="8">
        <v>1890.81</v>
      </c>
      <c r="BL1184" s="2" t="s">
        <v>5838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5839</v>
      </c>
      <c r="BV1184" s="2" t="s">
        <v>233</v>
      </c>
      <c r="BW1184" s="2" t="s">
        <v>233</v>
      </c>
      <c r="BX1184" s="2" t="s">
        <v>241</v>
      </c>
      <c r="BY1184" s="2" t="s">
        <v>242</v>
      </c>
      <c r="BZ1184" s="2" t="s">
        <v>230</v>
      </c>
      <c r="CA1184" s="2" t="s">
        <v>243</v>
      </c>
      <c r="CB1184" s="2" t="s">
        <v>5840</v>
      </c>
      <c r="CC1184" s="2" t="s">
        <v>245</v>
      </c>
      <c r="CD1184" s="2" t="s">
        <v>233</v>
      </c>
      <c r="CE1184" s="4">
        <v>145</v>
      </c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>
        <v>100</v>
      </c>
      <c r="DZ1184" s="4"/>
      <c r="EA1184" s="4"/>
      <c r="EB1184" s="4"/>
      <c r="EC1184" s="4"/>
      <c r="ED1184" s="4"/>
      <c r="EE1184" s="4"/>
      <c r="EF1184" s="4">
        <v>170</v>
      </c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>
        <v>157</v>
      </c>
      <c r="GD1184" s="4">
        <v>96</v>
      </c>
      <c r="GE1184" s="4">
        <v>64</v>
      </c>
      <c r="GF1184" s="4">
        <v>51</v>
      </c>
      <c r="GG1184" s="4">
        <v>34</v>
      </c>
      <c r="GH1184" s="4">
        <v>26</v>
      </c>
      <c r="GI1184" s="4">
        <v>118</v>
      </c>
      <c r="GJ1184" s="4">
        <v>265</v>
      </c>
      <c r="GK1184" s="4">
        <v>264</v>
      </c>
      <c r="GL1184" s="4">
        <v>261</v>
      </c>
      <c r="GM1184" s="4">
        <v>259</v>
      </c>
      <c r="GN1184" s="4">
        <v>257</v>
      </c>
      <c r="GO1184" s="4">
        <v>250</v>
      </c>
      <c r="GP1184" s="4">
        <v>243</v>
      </c>
      <c r="GQ1184" s="4">
        <v>236</v>
      </c>
      <c r="GR1184" s="4">
        <v>230</v>
      </c>
      <c r="GS1184" s="4">
        <v>223</v>
      </c>
      <c r="GT1184" s="4">
        <v>217</v>
      </c>
      <c r="GU1184" s="4">
        <v>211</v>
      </c>
      <c r="GV1184" s="4">
        <v>204</v>
      </c>
      <c r="GW1184" s="4">
        <v>197</v>
      </c>
      <c r="GX1184" s="4">
        <v>190</v>
      </c>
      <c r="GY1184" s="4">
        <v>183</v>
      </c>
      <c r="GZ1184" s="4">
        <v>176</v>
      </c>
      <c r="HA1184" s="4">
        <v>169</v>
      </c>
      <c r="HB1184" s="4">
        <v>161</v>
      </c>
      <c r="HC1184" s="19">
        <v>5.1</v>
      </c>
      <c r="HD1184" s="19">
        <v>5.3</v>
      </c>
      <c r="HE1184" s="19">
        <v>5.3</v>
      </c>
      <c r="HF1184" s="19">
        <v>3.6</v>
      </c>
      <c r="HG1184" s="19">
        <v>3.4</v>
      </c>
      <c r="HH1184" s="19">
        <v>2.9</v>
      </c>
      <c r="HI1184" s="19">
        <v>16.9</v>
      </c>
      <c r="HJ1184" s="19">
        <v>132.5</v>
      </c>
      <c r="HK1184" s="19">
        <v>66</v>
      </c>
      <c r="HL1184" s="19">
        <v>65.3</v>
      </c>
      <c r="HM1184" s="19">
        <v>43.2</v>
      </c>
      <c r="HN1184" s="19">
        <v>36.7</v>
      </c>
      <c r="HO1184" s="19">
        <v>35.7</v>
      </c>
      <c r="HP1184" s="19">
        <v>40.5</v>
      </c>
      <c r="HQ1184" s="19">
        <v>39.3</v>
      </c>
      <c r="HR1184" s="19">
        <v>38.3</v>
      </c>
      <c r="HS1184" s="19">
        <v>37.2</v>
      </c>
      <c r="HT1184" s="19">
        <v>31</v>
      </c>
      <c r="HU1184" s="19">
        <v>30.1</v>
      </c>
      <c r="HV1184" s="19">
        <v>29.1</v>
      </c>
      <c r="HW1184" s="19">
        <v>28.1</v>
      </c>
      <c r="HX1184" s="19">
        <v>27.1</v>
      </c>
      <c r="HY1184" s="19">
        <v>22.9</v>
      </c>
      <c r="HZ1184" s="19">
        <v>22</v>
      </c>
      <c r="IA1184" s="19">
        <v>21.1</v>
      </c>
      <c r="IB1184" s="19">
        <v>20.1</v>
      </c>
    </row>
    <row r="1185">
      <c r="A1185" s="2" t="s">
        <v>5841</v>
      </c>
      <c r="B1185" s="2" t="s">
        <v>222</v>
      </c>
      <c r="C1185" s="2" t="s">
        <v>223</v>
      </c>
      <c r="D1185" s="2" t="s">
        <v>1573</v>
      </c>
      <c r="E1185" s="2" t="s">
        <v>2089</v>
      </c>
      <c r="F1185" s="2" t="s">
        <v>5834</v>
      </c>
      <c r="G1185" s="2" t="s">
        <v>233</v>
      </c>
      <c r="H1185" s="2" t="s">
        <v>233</v>
      </c>
      <c r="I1185" s="2" t="s">
        <v>5835</v>
      </c>
      <c r="J1185" s="2" t="s">
        <v>265</v>
      </c>
      <c r="K1185" s="2" t="s">
        <v>266</v>
      </c>
      <c r="L1185" s="3">
        <v>41.4</v>
      </c>
      <c r="M1185" s="3">
        <v>43.47</v>
      </c>
      <c r="N1185" s="3">
        <v>89.99</v>
      </c>
      <c r="O1185" s="2" t="s">
        <v>230</v>
      </c>
      <c r="P1185" s="2" t="s">
        <v>231</v>
      </c>
      <c r="Q1185" s="2" t="s">
        <v>232</v>
      </c>
      <c r="R1185" s="2" t="s">
        <v>233</v>
      </c>
      <c r="S1185" s="2" t="s">
        <v>5836</v>
      </c>
      <c r="T1185" s="2" t="s">
        <v>5837</v>
      </c>
      <c r="U1185" s="2" t="s">
        <v>233</v>
      </c>
      <c r="V1185" s="2" t="s">
        <v>236</v>
      </c>
      <c r="W1185" s="2" t="s">
        <v>237</v>
      </c>
      <c r="X1185" s="2" t="s">
        <v>233</v>
      </c>
      <c r="Y1185" s="2" t="s">
        <v>238</v>
      </c>
      <c r="Z1185" s="4">
        <v>308</v>
      </c>
      <c r="AA1185" s="4">
        <f>=ROUNDDOWN(30.8,0)</f>
      </c>
      <c r="AB1185" s="5">
        <v>10</v>
      </c>
      <c r="AC1185" s="2" t="s">
        <v>490</v>
      </c>
      <c r="AD1185" s="4">
        <v>140</v>
      </c>
      <c r="AE1185" s="4">
        <v>270</v>
      </c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233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233</v>
      </c>
      <c r="AW1185" s="8" t="s">
        <v>233</v>
      </c>
      <c r="AX1185" s="4" t="s">
        <v>233</v>
      </c>
      <c r="AY1185" s="8" t="s">
        <v>233</v>
      </c>
      <c r="AZ1185" s="7" t="s">
        <v>233</v>
      </c>
      <c r="BA1185" s="7" t="s">
        <v>233</v>
      </c>
      <c r="BB1185" s="7"/>
      <c r="BC1185" s="4" t="s">
        <v>233</v>
      </c>
      <c r="BD1185" s="8" t="s">
        <v>233</v>
      </c>
      <c r="BE1185" s="4" t="s">
        <v>233</v>
      </c>
      <c r="BF1185" s="8" t="s">
        <v>233</v>
      </c>
      <c r="BG1185" s="7" t="s">
        <v>233</v>
      </c>
      <c r="BH1185" s="7" t="s">
        <v>233</v>
      </c>
      <c r="BI1185" s="7"/>
      <c r="BJ1185" s="4">
        <v>80</v>
      </c>
      <c r="BK1185" s="8">
        <v>3637.71</v>
      </c>
      <c r="BL1185" s="2" t="s">
        <v>5842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5839</v>
      </c>
      <c r="BV1185" s="2" t="s">
        <v>233</v>
      </c>
      <c r="BW1185" s="2" t="s">
        <v>233</v>
      </c>
      <c r="BX1185" s="2" t="s">
        <v>241</v>
      </c>
      <c r="BY1185" s="2" t="s">
        <v>242</v>
      </c>
      <c r="BZ1185" s="2" t="s">
        <v>230</v>
      </c>
      <c r="CA1185" s="2" t="s">
        <v>243</v>
      </c>
      <c r="CB1185" s="2" t="s">
        <v>5843</v>
      </c>
      <c r="CC1185" s="2" t="s">
        <v>245</v>
      </c>
      <c r="CD1185" s="2" t="s">
        <v>233</v>
      </c>
      <c r="CE1185" s="4">
        <v>308</v>
      </c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>
        <v>140</v>
      </c>
      <c r="DZ1185" s="4"/>
      <c r="EA1185" s="4"/>
      <c r="EB1185" s="4"/>
      <c r="EC1185" s="4"/>
      <c r="ED1185" s="4"/>
      <c r="EE1185" s="4"/>
      <c r="EF1185" s="4">
        <v>130</v>
      </c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>
        <v>326</v>
      </c>
      <c r="GD1185" s="4">
        <v>238</v>
      </c>
      <c r="GE1185" s="4">
        <v>205</v>
      </c>
      <c r="GF1185" s="4">
        <v>176</v>
      </c>
      <c r="GG1185" s="4">
        <v>137</v>
      </c>
      <c r="GH1185" s="4">
        <v>123</v>
      </c>
      <c r="GI1185" s="4">
        <v>249</v>
      </c>
      <c r="GJ1185" s="4">
        <v>369</v>
      </c>
      <c r="GK1185" s="4">
        <v>362</v>
      </c>
      <c r="GL1185" s="4">
        <v>350</v>
      </c>
      <c r="GM1185" s="4">
        <v>340</v>
      </c>
      <c r="GN1185" s="4">
        <v>330</v>
      </c>
      <c r="GO1185" s="4">
        <v>320</v>
      </c>
      <c r="GP1185" s="4">
        <v>310</v>
      </c>
      <c r="GQ1185" s="4">
        <v>300</v>
      </c>
      <c r="GR1185" s="4">
        <v>291</v>
      </c>
      <c r="GS1185" s="4">
        <v>281</v>
      </c>
      <c r="GT1185" s="4">
        <v>272</v>
      </c>
      <c r="GU1185" s="4">
        <v>263</v>
      </c>
      <c r="GV1185" s="4">
        <v>253</v>
      </c>
      <c r="GW1185" s="4">
        <v>243</v>
      </c>
      <c r="GX1185" s="4">
        <v>233</v>
      </c>
      <c r="GY1185" s="4">
        <v>223</v>
      </c>
      <c r="GZ1185" s="4">
        <v>212</v>
      </c>
      <c r="HA1185" s="4">
        <v>202</v>
      </c>
      <c r="HB1185" s="4">
        <v>191</v>
      </c>
      <c r="HC1185" s="19">
        <v>6.9</v>
      </c>
      <c r="HD1185" s="19">
        <v>8.2</v>
      </c>
      <c r="HE1185" s="19">
        <v>8.5</v>
      </c>
      <c r="HF1185" s="19">
        <v>9.3</v>
      </c>
      <c r="HG1185" s="19">
        <v>12.5</v>
      </c>
      <c r="HH1185" s="19">
        <v>11.2</v>
      </c>
      <c r="HI1185" s="19">
        <v>24.9</v>
      </c>
      <c r="HJ1185" s="19">
        <v>36.9</v>
      </c>
      <c r="HK1185" s="19">
        <v>36.2</v>
      </c>
      <c r="HL1185" s="19">
        <v>35</v>
      </c>
      <c r="HM1185" s="19">
        <v>34</v>
      </c>
      <c r="HN1185" s="19">
        <v>33</v>
      </c>
      <c r="HO1185" s="19">
        <v>32</v>
      </c>
      <c r="HP1185" s="19">
        <v>31</v>
      </c>
      <c r="HQ1185" s="19">
        <v>33.3</v>
      </c>
      <c r="HR1185" s="19">
        <v>29.1</v>
      </c>
      <c r="HS1185" s="19">
        <v>28.1</v>
      </c>
      <c r="HT1185" s="19">
        <v>27.2</v>
      </c>
      <c r="HU1185" s="19">
        <v>26.3</v>
      </c>
      <c r="HV1185" s="19">
        <v>25.3</v>
      </c>
      <c r="HW1185" s="19">
        <v>24.3</v>
      </c>
      <c r="HX1185" s="19">
        <v>23.3</v>
      </c>
      <c r="HY1185" s="19">
        <v>20.3</v>
      </c>
      <c r="HZ1185" s="19">
        <v>19.3</v>
      </c>
      <c r="IA1185" s="19">
        <v>18.4</v>
      </c>
      <c r="IB1185" s="19">
        <v>17.4</v>
      </c>
    </row>
    <row r="1186">
      <c r="A1186" s="2" t="s">
        <v>5844</v>
      </c>
      <c r="B1186" s="2" t="s">
        <v>222</v>
      </c>
      <c r="C1186" s="2" t="s">
        <v>223</v>
      </c>
      <c r="D1186" s="2" t="s">
        <v>1573</v>
      </c>
      <c r="E1186" s="2" t="s">
        <v>2089</v>
      </c>
      <c r="F1186" s="2" t="s">
        <v>5834</v>
      </c>
      <c r="G1186" s="2" t="s">
        <v>233</v>
      </c>
      <c r="H1186" s="2" t="s">
        <v>233</v>
      </c>
      <c r="I1186" s="2" t="s">
        <v>5845</v>
      </c>
      <c r="J1186" s="2" t="s">
        <v>256</v>
      </c>
      <c r="K1186" s="2" t="s">
        <v>266</v>
      </c>
      <c r="L1186" s="3">
        <v>52.9</v>
      </c>
      <c r="M1186" s="3">
        <v>55.54</v>
      </c>
      <c r="N1186" s="3">
        <v>114.99</v>
      </c>
      <c r="O1186" s="2" t="s">
        <v>230</v>
      </c>
      <c r="P1186" s="2" t="s">
        <v>231</v>
      </c>
      <c r="Q1186" s="2" t="s">
        <v>232</v>
      </c>
      <c r="R1186" s="2" t="s">
        <v>233</v>
      </c>
      <c r="S1186" s="2" t="s">
        <v>5836</v>
      </c>
      <c r="T1186" s="2" t="s">
        <v>5837</v>
      </c>
      <c r="U1186" s="2" t="s">
        <v>233</v>
      </c>
      <c r="V1186" s="2" t="s">
        <v>236</v>
      </c>
      <c r="W1186" s="2" t="s">
        <v>237</v>
      </c>
      <c r="X1186" s="2" t="s">
        <v>233</v>
      </c>
      <c r="Y1186" s="2" t="s">
        <v>238</v>
      </c>
      <c r="Z1186" s="4">
        <v>159</v>
      </c>
      <c r="AA1186" s="4">
        <f>=ROUNDDOWN(19.875,0)</f>
      </c>
      <c r="AB1186" s="5">
        <v>8</v>
      </c>
      <c r="AC1186" s="2" t="s">
        <v>490</v>
      </c>
      <c r="AD1186" s="4">
        <v>130</v>
      </c>
      <c r="AE1186" s="4">
        <v>247</v>
      </c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233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233</v>
      </c>
      <c r="AW1186" s="8" t="s">
        <v>233</v>
      </c>
      <c r="AX1186" s="4" t="s">
        <v>233</v>
      </c>
      <c r="AY1186" s="8" t="s">
        <v>233</v>
      </c>
      <c r="AZ1186" s="7" t="s">
        <v>233</v>
      </c>
      <c r="BA1186" s="7" t="s">
        <v>233</v>
      </c>
      <c r="BB1186" s="7"/>
      <c r="BC1186" s="4" t="s">
        <v>233</v>
      </c>
      <c r="BD1186" s="8" t="s">
        <v>233</v>
      </c>
      <c r="BE1186" s="4" t="s">
        <v>233</v>
      </c>
      <c r="BF1186" s="8" t="s">
        <v>233</v>
      </c>
      <c r="BG1186" s="7" t="s">
        <v>233</v>
      </c>
      <c r="BH1186" s="7" t="s">
        <v>233</v>
      </c>
      <c r="BI1186" s="7"/>
      <c r="BJ1186" s="4">
        <v>64</v>
      </c>
      <c r="BK1186" s="8">
        <v>3860.75</v>
      </c>
      <c r="BL1186" s="2" t="s">
        <v>5846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5839</v>
      </c>
      <c r="BV1186" s="2" t="s">
        <v>233</v>
      </c>
      <c r="BW1186" s="2" t="s">
        <v>233</v>
      </c>
      <c r="BX1186" s="2" t="s">
        <v>241</v>
      </c>
      <c r="BY1186" s="2" t="s">
        <v>242</v>
      </c>
      <c r="BZ1186" s="2" t="s">
        <v>230</v>
      </c>
      <c r="CA1186" s="2" t="s">
        <v>243</v>
      </c>
      <c r="CB1186" s="2" t="s">
        <v>5847</v>
      </c>
      <c r="CC1186" s="2" t="s">
        <v>245</v>
      </c>
      <c r="CD1186" s="2" t="s">
        <v>233</v>
      </c>
      <c r="CE1186" s="4">
        <v>159</v>
      </c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>
        <v>130</v>
      </c>
      <c r="DZ1186" s="4"/>
      <c r="EA1186" s="4"/>
      <c r="EB1186" s="4"/>
      <c r="EC1186" s="4"/>
      <c r="ED1186" s="4"/>
      <c r="EE1186" s="4"/>
      <c r="EF1186" s="4">
        <v>117</v>
      </c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>
        <v>170</v>
      </c>
      <c r="GD1186" s="4">
        <v>118</v>
      </c>
      <c r="GE1186" s="4">
        <v>97</v>
      </c>
      <c r="GF1186" s="4">
        <v>79</v>
      </c>
      <c r="GG1186" s="4">
        <v>54</v>
      </c>
      <c r="GH1186" s="4">
        <v>44</v>
      </c>
      <c r="GI1186" s="4">
        <v>164</v>
      </c>
      <c r="GJ1186" s="4">
        <v>274</v>
      </c>
      <c r="GK1186" s="4">
        <v>268</v>
      </c>
      <c r="GL1186" s="4">
        <v>258</v>
      </c>
      <c r="GM1186" s="4">
        <v>249</v>
      </c>
      <c r="GN1186" s="4">
        <v>240</v>
      </c>
      <c r="GO1186" s="4">
        <v>232</v>
      </c>
      <c r="GP1186" s="4">
        <v>224</v>
      </c>
      <c r="GQ1186" s="4">
        <v>216</v>
      </c>
      <c r="GR1186" s="4">
        <v>208</v>
      </c>
      <c r="GS1186" s="4">
        <v>200</v>
      </c>
      <c r="GT1186" s="4">
        <v>192</v>
      </c>
      <c r="GU1186" s="4">
        <v>184</v>
      </c>
      <c r="GV1186" s="4">
        <v>176</v>
      </c>
      <c r="GW1186" s="4">
        <v>168</v>
      </c>
      <c r="GX1186" s="4">
        <v>161</v>
      </c>
      <c r="GY1186" s="4">
        <v>154</v>
      </c>
      <c r="GZ1186" s="4">
        <v>147</v>
      </c>
      <c r="HA1186" s="4">
        <v>140</v>
      </c>
      <c r="HB1186" s="4">
        <v>132</v>
      </c>
      <c r="HC1186" s="19">
        <v>5.9</v>
      </c>
      <c r="HD1186" s="19">
        <v>6.6</v>
      </c>
      <c r="HE1186" s="19">
        <v>6.1</v>
      </c>
      <c r="HF1186" s="19">
        <v>6.1</v>
      </c>
      <c r="HG1186" s="19">
        <v>6.8</v>
      </c>
      <c r="HH1186" s="19">
        <v>5.5</v>
      </c>
      <c r="HI1186" s="19">
        <v>20.5</v>
      </c>
      <c r="HJ1186" s="19">
        <v>34.3</v>
      </c>
      <c r="HK1186" s="19">
        <v>29.8</v>
      </c>
      <c r="HL1186" s="19">
        <v>32.3</v>
      </c>
      <c r="HM1186" s="19">
        <v>31.1</v>
      </c>
      <c r="HN1186" s="19">
        <v>30</v>
      </c>
      <c r="HO1186" s="19">
        <v>29</v>
      </c>
      <c r="HP1186" s="19">
        <v>28</v>
      </c>
      <c r="HQ1186" s="19">
        <v>27</v>
      </c>
      <c r="HR1186" s="19">
        <v>26</v>
      </c>
      <c r="HS1186" s="19">
        <v>25</v>
      </c>
      <c r="HT1186" s="19">
        <v>24</v>
      </c>
      <c r="HU1186" s="19">
        <v>23</v>
      </c>
      <c r="HV1186" s="19">
        <v>25.1</v>
      </c>
      <c r="HW1186" s="19">
        <v>24</v>
      </c>
      <c r="HX1186" s="19">
        <v>23</v>
      </c>
      <c r="HY1186" s="19">
        <v>19.3</v>
      </c>
      <c r="HZ1186" s="19">
        <v>18.4</v>
      </c>
      <c r="IA1186" s="19">
        <v>17.5</v>
      </c>
      <c r="IB1186" s="19">
        <v>16.5</v>
      </c>
    </row>
    <row r="1187">
      <c r="A1187" s="2" t="s">
        <v>5848</v>
      </c>
      <c r="B1187" s="2" t="s">
        <v>222</v>
      </c>
      <c r="C1187" s="2" t="s">
        <v>223</v>
      </c>
      <c r="D1187" s="2" t="s">
        <v>261</v>
      </c>
      <c r="E1187" s="2" t="s">
        <v>262</v>
      </c>
      <c r="F1187" s="2" t="s">
        <v>5849</v>
      </c>
      <c r="G1187" s="2" t="s">
        <v>5849</v>
      </c>
      <c r="H1187" s="2" t="s">
        <v>5849</v>
      </c>
      <c r="I1187" s="2" t="s">
        <v>5783</v>
      </c>
      <c r="J1187" s="2" t="s">
        <v>228</v>
      </c>
      <c r="K1187" s="2" t="s">
        <v>266</v>
      </c>
      <c r="L1187" s="3">
        <v>32.9</v>
      </c>
      <c r="M1187" s="3">
        <v>34.54</v>
      </c>
      <c r="N1187" s="3">
        <v>69.99</v>
      </c>
      <c r="O1187" s="2" t="s">
        <v>230</v>
      </c>
      <c r="P1187" s="2" t="s">
        <v>231</v>
      </c>
      <c r="Q1187" s="2" t="s">
        <v>232</v>
      </c>
      <c r="R1187" s="2" t="s">
        <v>233</v>
      </c>
      <c r="S1187" s="2" t="s">
        <v>5784</v>
      </c>
      <c r="T1187" s="2" t="s">
        <v>348</v>
      </c>
      <c r="U1187" s="2" t="s">
        <v>233</v>
      </c>
      <c r="V1187" s="2" t="s">
        <v>236</v>
      </c>
      <c r="W1187" s="2" t="s">
        <v>237</v>
      </c>
      <c r="X1187" s="2" t="s">
        <v>233</v>
      </c>
      <c r="Y1187" s="2" t="s">
        <v>238</v>
      </c>
      <c r="Z1187" s="4">
        <v>201</v>
      </c>
      <c r="AA1187" s="4">
        <f>=ROUNDDOWN(33.5,0)</f>
      </c>
      <c r="AB1187" s="5">
        <v>6</v>
      </c>
      <c r="AC1187" s="2" t="s">
        <v>154</v>
      </c>
      <c r="AD1187" s="4">
        <v>50</v>
      </c>
      <c r="AE1187" s="4">
        <v>50</v>
      </c>
      <c r="AF1187" s="6">
        <v>66</v>
      </c>
      <c r="AG1187" s="6"/>
      <c r="AH1187" s="7">
        <v>1</v>
      </c>
      <c r="AI1187" s="4"/>
      <c r="AJ1187" s="4">
        <f>=ROUNDDOWN({0},0)</f>
      </c>
      <c r="AK1187" s="5"/>
      <c r="AL1187" s="2" t="s">
        <v>233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/>
      <c r="AW1187" s="8"/>
      <c r="AX1187" s="4"/>
      <c r="AY1187" s="8"/>
      <c r="AZ1187" s="7"/>
      <c r="BA1187" s="7"/>
      <c r="BB1187" s="7"/>
      <c r="BC1187" s="4"/>
      <c r="BD1187" s="8"/>
      <c r="BE1187" s="4"/>
      <c r="BF1187" s="8"/>
      <c r="BG1187" s="7"/>
      <c r="BH1187" s="7"/>
      <c r="BI1187" s="7"/>
      <c r="BJ1187" s="4">
        <v>25</v>
      </c>
      <c r="BK1187" s="8">
        <v>949.65</v>
      </c>
      <c r="BL1187" s="2" t="s">
        <v>5850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5851</v>
      </c>
      <c r="BV1187" s="2" t="s">
        <v>233</v>
      </c>
      <c r="BW1187" s="2" t="s">
        <v>233</v>
      </c>
      <c r="BX1187" s="2" t="s">
        <v>241</v>
      </c>
      <c r="BY1187" s="2" t="s">
        <v>242</v>
      </c>
      <c r="BZ1187" s="2" t="s">
        <v>230</v>
      </c>
      <c r="CA1187" s="2" t="s">
        <v>243</v>
      </c>
      <c r="CB1187" s="2" t="s">
        <v>5793</v>
      </c>
      <c r="CC1187" s="2" t="s">
        <v>245</v>
      </c>
      <c r="CD1187" s="2" t="s">
        <v>233</v>
      </c>
      <c r="CE1187" s="4">
        <v>201</v>
      </c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>
        <v>50</v>
      </c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>
        <v>208</v>
      </c>
      <c r="GD1187" s="4">
        <v>179</v>
      </c>
      <c r="GE1187" s="4">
        <v>166</v>
      </c>
      <c r="GF1187" s="4">
        <v>155</v>
      </c>
      <c r="GG1187" s="4">
        <v>133</v>
      </c>
      <c r="GH1187" s="4">
        <v>171</v>
      </c>
      <c r="GI1187" s="4">
        <v>160</v>
      </c>
      <c r="GJ1187" s="4">
        <v>152</v>
      </c>
      <c r="GK1187" s="4">
        <v>146</v>
      </c>
      <c r="GL1187" s="4">
        <v>141</v>
      </c>
      <c r="GM1187" s="4">
        <v>137</v>
      </c>
      <c r="GN1187" s="4">
        <v>133</v>
      </c>
      <c r="GO1187" s="4">
        <v>128</v>
      </c>
      <c r="GP1187" s="4">
        <v>123</v>
      </c>
      <c r="GQ1187" s="4">
        <v>118</v>
      </c>
      <c r="GR1187" s="4">
        <v>111</v>
      </c>
      <c r="GS1187" s="4">
        <v>105</v>
      </c>
      <c r="GT1187" s="4">
        <v>99</v>
      </c>
      <c r="GU1187" s="4">
        <v>93</v>
      </c>
      <c r="GV1187" s="4">
        <v>86</v>
      </c>
      <c r="GW1187" s="4">
        <v>79</v>
      </c>
      <c r="GX1187" s="4">
        <v>73</v>
      </c>
      <c r="GY1187" s="4">
        <v>67</v>
      </c>
      <c r="GZ1187" s="4">
        <v>62</v>
      </c>
      <c r="HA1187" s="4">
        <v>57</v>
      </c>
      <c r="HB1187" s="4">
        <v>50</v>
      </c>
      <c r="HC1187" s="19">
        <v>10.9</v>
      </c>
      <c r="HD1187" s="19">
        <v>12.8</v>
      </c>
      <c r="HE1187" s="19">
        <v>11.9</v>
      </c>
      <c r="HF1187" s="19">
        <v>11.9</v>
      </c>
      <c r="HG1187" s="19">
        <v>14.8</v>
      </c>
      <c r="HH1187" s="19">
        <v>21.4</v>
      </c>
      <c r="HI1187" s="19">
        <v>26.7</v>
      </c>
      <c r="HJ1187" s="19">
        <v>30.4</v>
      </c>
      <c r="HK1187" s="19">
        <v>36.5</v>
      </c>
      <c r="HL1187" s="19">
        <v>35.3</v>
      </c>
      <c r="HM1187" s="19">
        <v>27.4</v>
      </c>
      <c r="HN1187" s="19">
        <v>22.2</v>
      </c>
      <c r="HO1187" s="19">
        <v>21.3</v>
      </c>
      <c r="HP1187" s="19">
        <v>20.5</v>
      </c>
      <c r="HQ1187" s="19">
        <v>19.7</v>
      </c>
      <c r="HR1187" s="19">
        <v>18.5</v>
      </c>
      <c r="HS1187" s="19">
        <v>17.5</v>
      </c>
      <c r="HT1187" s="19">
        <v>16.5</v>
      </c>
      <c r="HU1187" s="19">
        <v>15.5</v>
      </c>
      <c r="HV1187" s="19">
        <v>14.3</v>
      </c>
      <c r="HW1187" s="19">
        <v>13.2</v>
      </c>
      <c r="HX1187" s="19">
        <v>12.2</v>
      </c>
      <c r="HY1187" s="19">
        <v>11.2</v>
      </c>
      <c r="HZ1187" s="19">
        <v>10.3</v>
      </c>
      <c r="IA1187" s="19">
        <v>9.5</v>
      </c>
      <c r="IB1187" s="19">
        <v>8.3</v>
      </c>
    </row>
    <row r="1188">
      <c r="A1188" s="2" t="s">
        <v>5852</v>
      </c>
      <c r="B1188" s="2" t="s">
        <v>811</v>
      </c>
      <c r="C1188" s="2" t="s">
        <v>789</v>
      </c>
      <c r="D1188" s="2" t="s">
        <v>813</v>
      </c>
      <c r="E1188" s="2" t="s">
        <v>814</v>
      </c>
      <c r="F1188" s="2" t="s">
        <v>5853</v>
      </c>
      <c r="G1188" s="2" t="s">
        <v>5853</v>
      </c>
      <c r="H1188" s="2" t="s">
        <v>5853</v>
      </c>
      <c r="I1188" s="2" t="s">
        <v>5854</v>
      </c>
      <c r="J1188" s="2" t="s">
        <v>741</v>
      </c>
      <c r="K1188" s="2" t="s">
        <v>229</v>
      </c>
      <c r="L1188" s="3">
        <v>53</v>
      </c>
      <c r="M1188" s="3">
        <v>55.65</v>
      </c>
      <c r="N1188" s="3">
        <v>109.99</v>
      </c>
      <c r="O1188" s="2" t="s">
        <v>230</v>
      </c>
      <c r="P1188" s="2" t="s">
        <v>231</v>
      </c>
      <c r="Q1188" s="2" t="s">
        <v>232</v>
      </c>
      <c r="R1188" s="2" t="s">
        <v>233</v>
      </c>
      <c r="S1188" s="2" t="s">
        <v>233</v>
      </c>
      <c r="T1188" s="2" t="s">
        <v>233</v>
      </c>
      <c r="U1188" s="2" t="s">
        <v>329</v>
      </c>
      <c r="V1188" s="2" t="s">
        <v>609</v>
      </c>
      <c r="W1188" s="2" t="s">
        <v>712</v>
      </c>
      <c r="X1188" s="2" t="s">
        <v>288</v>
      </c>
      <c r="Y1188" s="2" t="s">
        <v>820</v>
      </c>
      <c r="Z1188" s="4">
        <v>28</v>
      </c>
      <c r="AA1188" s="4">
        <f>=ROUNDDOWN(14,0)</f>
      </c>
      <c r="AB1188" s="5">
        <v>2</v>
      </c>
      <c r="AC1188" s="2" t="s">
        <v>174</v>
      </c>
      <c r="AD1188" s="4">
        <v>78</v>
      </c>
      <c r="AE1188" s="4">
        <v>78</v>
      </c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233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/>
      <c r="BD1188" s="8"/>
      <c r="BE1188" s="4"/>
      <c r="BF1188" s="8"/>
      <c r="BG1188" s="7"/>
      <c r="BH1188" s="7"/>
      <c r="BI1188" s="7"/>
      <c r="BJ1188" s="4">
        <v>6</v>
      </c>
      <c r="BK1188" s="8">
        <v>390.6</v>
      </c>
      <c r="BL1188" s="2" t="s">
        <v>1304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5855</v>
      </c>
      <c r="BV1188" s="2" t="s">
        <v>233</v>
      </c>
      <c r="BW1188" s="2" t="s">
        <v>233</v>
      </c>
      <c r="BX1188" s="2" t="s">
        <v>241</v>
      </c>
      <c r="BY1188" s="2" t="s">
        <v>242</v>
      </c>
      <c r="BZ1188" s="2" t="s">
        <v>230</v>
      </c>
      <c r="CA1188" s="2" t="s">
        <v>1143</v>
      </c>
      <c r="CB1188" s="2" t="s">
        <v>1552</v>
      </c>
      <c r="CC1188" s="2" t="s">
        <v>245</v>
      </c>
      <c r="CD1188" s="2" t="s">
        <v>233</v>
      </c>
      <c r="CE1188" s="4"/>
      <c r="CF1188" s="4">
        <v>28</v>
      </c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>
        <v>78</v>
      </c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>
        <v>40</v>
      </c>
      <c r="GD1188" s="4">
        <v>26</v>
      </c>
      <c r="GE1188" s="4">
        <v>24</v>
      </c>
      <c r="GF1188" s="4">
        <v>21</v>
      </c>
      <c r="GG1188" s="4">
        <v>19</v>
      </c>
      <c r="GH1188" s="4">
        <v>17</v>
      </c>
      <c r="GI1188" s="4">
        <v>14</v>
      </c>
      <c r="GJ1188" s="4">
        <v>12</v>
      </c>
      <c r="GK1188" s="4">
        <v>88</v>
      </c>
      <c r="GL1188" s="4">
        <v>86</v>
      </c>
      <c r="GM1188" s="4">
        <v>84</v>
      </c>
      <c r="GN1188" s="4">
        <v>82</v>
      </c>
      <c r="GO1188" s="4">
        <v>80</v>
      </c>
      <c r="GP1188" s="4">
        <v>78</v>
      </c>
      <c r="GQ1188" s="4">
        <v>76</v>
      </c>
      <c r="GR1188" s="4">
        <v>74</v>
      </c>
      <c r="GS1188" s="4">
        <v>72</v>
      </c>
      <c r="GT1188" s="4">
        <v>70</v>
      </c>
      <c r="GU1188" s="4">
        <v>68</v>
      </c>
      <c r="GV1188" s="4">
        <v>66</v>
      </c>
      <c r="GW1188" s="4">
        <v>64</v>
      </c>
      <c r="GX1188" s="4">
        <v>62</v>
      </c>
      <c r="GY1188" s="4">
        <v>60</v>
      </c>
      <c r="GZ1188" s="4">
        <v>58</v>
      </c>
      <c r="HA1188" s="4">
        <v>56</v>
      </c>
      <c r="HB1188" s="4">
        <v>54</v>
      </c>
      <c r="HC1188" s="19">
        <v>8</v>
      </c>
      <c r="HD1188" s="19">
        <v>13</v>
      </c>
      <c r="HE1188" s="19">
        <v>12</v>
      </c>
      <c r="HF1188" s="19">
        <v>10.5</v>
      </c>
      <c r="HG1188" s="19">
        <v>9.5</v>
      </c>
      <c r="HH1188" s="19">
        <v>8.5</v>
      </c>
      <c r="HI1188" s="19">
        <v>7</v>
      </c>
      <c r="HJ1188" s="19">
        <v>6</v>
      </c>
      <c r="HK1188" s="19">
        <v>44</v>
      </c>
      <c r="HL1188" s="19">
        <v>43</v>
      </c>
      <c r="HM1188" s="19">
        <v>42</v>
      </c>
      <c r="HN1188" s="19">
        <v>41</v>
      </c>
      <c r="HO1188" s="19">
        <v>40</v>
      </c>
      <c r="HP1188" s="19">
        <v>39</v>
      </c>
      <c r="HQ1188" s="19">
        <v>38</v>
      </c>
      <c r="HR1188" s="19">
        <v>37</v>
      </c>
      <c r="HS1188" s="19">
        <v>36</v>
      </c>
      <c r="HT1188" s="19">
        <v>35</v>
      </c>
      <c r="HU1188" s="19">
        <v>34</v>
      </c>
      <c r="HV1188" s="19">
        <v>33</v>
      </c>
      <c r="HW1188" s="19">
        <v>32</v>
      </c>
      <c r="HX1188" s="19">
        <v>31</v>
      </c>
      <c r="HY1188" s="19">
        <v>30</v>
      </c>
      <c r="HZ1188" s="19">
        <v>29</v>
      </c>
      <c r="IA1188" s="19">
        <v>28</v>
      </c>
      <c r="IB1188" s="19">
        <v>27</v>
      </c>
    </row>
    <row r="1189">
      <c r="A1189" s="2" t="s">
        <v>5856</v>
      </c>
      <c r="B1189" s="2" t="s">
        <v>773</v>
      </c>
      <c r="C1189" s="2" t="s">
        <v>280</v>
      </c>
      <c r="D1189" s="2" t="s">
        <v>1442</v>
      </c>
      <c r="E1189" s="2" t="s">
        <v>1443</v>
      </c>
      <c r="F1189" s="2" t="s">
        <v>5593</v>
      </c>
      <c r="G1189" s="2" t="s">
        <v>5857</v>
      </c>
      <c r="H1189" s="2" t="s">
        <v>5857</v>
      </c>
      <c r="I1189" s="2" t="s">
        <v>5222</v>
      </c>
      <c r="J1189" s="2" t="s">
        <v>989</v>
      </c>
      <c r="K1189" s="2" t="s">
        <v>434</v>
      </c>
      <c r="L1189" s="3">
        <v>15.91</v>
      </c>
      <c r="M1189" s="3">
        <v>16.71</v>
      </c>
      <c r="N1189" s="3">
        <v>36.99</v>
      </c>
      <c r="O1189" s="2" t="s">
        <v>230</v>
      </c>
      <c r="P1189" s="2" t="s">
        <v>231</v>
      </c>
      <c r="Q1189" s="2" t="s">
        <v>232</v>
      </c>
      <c r="R1189" s="2" t="s">
        <v>233</v>
      </c>
      <c r="S1189" s="2" t="s">
        <v>5858</v>
      </c>
      <c r="T1189" s="2" t="s">
        <v>780</v>
      </c>
      <c r="U1189" s="2" t="s">
        <v>329</v>
      </c>
      <c r="V1189" s="2" t="s">
        <v>1268</v>
      </c>
      <c r="W1189" s="2" t="s">
        <v>288</v>
      </c>
      <c r="X1189" s="2" t="s">
        <v>233</v>
      </c>
      <c r="Y1189" s="2" t="s">
        <v>1997</v>
      </c>
      <c r="Z1189" s="4">
        <v>949</v>
      </c>
      <c r="AA1189" s="4">
        <f>=ROUNDDOWN(37.96,0)</f>
      </c>
      <c r="AB1189" s="5">
        <v>25</v>
      </c>
      <c r="AC1189" s="2" t="s">
        <v>135</v>
      </c>
      <c r="AD1189" s="4">
        <v>800</v>
      </c>
      <c r="AE1189" s="4">
        <v>1600</v>
      </c>
      <c r="AF1189" s="6">
        <v>64</v>
      </c>
      <c r="AG1189" s="6"/>
      <c r="AH1189" s="7">
        <v>1</v>
      </c>
      <c r="AI1189" s="4"/>
      <c r="AJ1189" s="4">
        <f>=ROUNDDOWN({0},0)</f>
      </c>
      <c r="AK1189" s="5"/>
      <c r="AL1189" s="2" t="s">
        <v>233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/>
      <c r="AW1189" s="8"/>
      <c r="AX1189" s="4"/>
      <c r="AY1189" s="8"/>
      <c r="AZ1189" s="7"/>
      <c r="BA1189" s="7"/>
      <c r="BB1189" s="7"/>
      <c r="BC1189" s="4" t="s">
        <v>233</v>
      </c>
      <c r="BD1189" s="8" t="s">
        <v>233</v>
      </c>
      <c r="BE1189" s="4" t="s">
        <v>233</v>
      </c>
      <c r="BF1189" s="8" t="s">
        <v>233</v>
      </c>
      <c r="BG1189" s="7" t="s">
        <v>233</v>
      </c>
      <c r="BH1189" s="7" t="s">
        <v>233</v>
      </c>
      <c r="BI1189" s="7"/>
      <c r="BJ1189" s="4">
        <v>533</v>
      </c>
      <c r="BK1189" s="8">
        <v>8797.57</v>
      </c>
      <c r="BL1189" s="2" t="s">
        <v>5859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5860</v>
      </c>
      <c r="BV1189" s="2" t="s">
        <v>233</v>
      </c>
      <c r="BW1189" s="2" t="s">
        <v>233</v>
      </c>
      <c r="BX1189" s="2" t="s">
        <v>241</v>
      </c>
      <c r="BY1189" s="2" t="s">
        <v>242</v>
      </c>
      <c r="BZ1189" s="2" t="s">
        <v>230</v>
      </c>
      <c r="CA1189" s="2" t="s">
        <v>5861</v>
      </c>
      <c r="CB1189" s="2" t="s">
        <v>5862</v>
      </c>
      <c r="CC1189" s="2" t="s">
        <v>245</v>
      </c>
      <c r="CD1189" s="2" t="s">
        <v>233</v>
      </c>
      <c r="CE1189" s="4">
        <v>173</v>
      </c>
      <c r="CF1189" s="4">
        <v>776</v>
      </c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>
        <v>800</v>
      </c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>
        <v>800</v>
      </c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>
        <v>1041</v>
      </c>
      <c r="GD1189" s="4">
        <v>1746</v>
      </c>
      <c r="GE1189" s="4">
        <v>1536</v>
      </c>
      <c r="GF1189" s="4">
        <v>1296</v>
      </c>
      <c r="GG1189" s="4">
        <v>719</v>
      </c>
      <c r="GH1189" s="4">
        <v>548</v>
      </c>
      <c r="GI1189" s="4">
        <v>311</v>
      </c>
      <c r="GJ1189" s="4">
        <v>140</v>
      </c>
      <c r="GK1189" s="4">
        <v>104</v>
      </c>
      <c r="GL1189" s="4">
        <v>61</v>
      </c>
      <c r="GM1189" s="4">
        <v>21</v>
      </c>
      <c r="GN1189" s="4"/>
      <c r="GO1189" s="4"/>
      <c r="GP1189" s="4"/>
      <c r="GQ1189" s="4">
        <v>800</v>
      </c>
      <c r="GR1189" s="4">
        <v>735</v>
      </c>
      <c r="GS1189" s="4">
        <v>710</v>
      </c>
      <c r="GT1189" s="4">
        <v>683</v>
      </c>
      <c r="GU1189" s="4">
        <v>658</v>
      </c>
      <c r="GV1189" s="4">
        <v>633</v>
      </c>
      <c r="GW1189" s="4">
        <v>608</v>
      </c>
      <c r="GX1189" s="4">
        <v>583</v>
      </c>
      <c r="GY1189" s="4">
        <v>558</v>
      </c>
      <c r="GZ1189" s="4">
        <v>533</v>
      </c>
      <c r="HA1189" s="4">
        <v>508</v>
      </c>
      <c r="HB1189" s="4">
        <v>483</v>
      </c>
      <c r="HC1189" s="19">
        <v>3.7</v>
      </c>
      <c r="HD1189" s="19">
        <v>5.8</v>
      </c>
      <c r="HE1189" s="19">
        <v>5</v>
      </c>
      <c r="HF1189" s="19">
        <v>4.5</v>
      </c>
      <c r="HG1189" s="19">
        <v>4.7</v>
      </c>
      <c r="HH1189" s="19">
        <v>4.5</v>
      </c>
      <c r="HI1189" s="19">
        <v>4.3</v>
      </c>
      <c r="HJ1189" s="19">
        <v>3.8</v>
      </c>
      <c r="HK1189" s="19">
        <v>2.9</v>
      </c>
      <c r="HL1189" s="19">
        <v>1.9</v>
      </c>
      <c r="HM1189" s="19">
        <v>0.7</v>
      </c>
      <c r="HN1189" s="20">
        <v>0</v>
      </c>
      <c r="HO1189" s="20">
        <v>0</v>
      </c>
      <c r="HP1189" s="20">
        <v>0</v>
      </c>
      <c r="HQ1189" s="19">
        <v>22.2</v>
      </c>
      <c r="HR1189" s="19">
        <v>28.3</v>
      </c>
      <c r="HS1189" s="19">
        <v>27.3</v>
      </c>
      <c r="HT1189" s="19">
        <v>27.3</v>
      </c>
      <c r="HU1189" s="19">
        <v>26.3</v>
      </c>
      <c r="HV1189" s="19">
        <v>25.3</v>
      </c>
      <c r="HW1189" s="19">
        <v>24.3</v>
      </c>
      <c r="HX1189" s="19">
        <v>23.3</v>
      </c>
      <c r="HY1189" s="19">
        <v>22.3</v>
      </c>
      <c r="HZ1189" s="19">
        <v>21.3</v>
      </c>
      <c r="IA1189" s="19">
        <v>20.3</v>
      </c>
      <c r="IB1189" s="19">
        <v>19.3</v>
      </c>
    </row>
    <row r="1190">
      <c r="A1190" s="2" t="s">
        <v>5863</v>
      </c>
      <c r="B1190" s="2" t="s">
        <v>773</v>
      </c>
      <c r="C1190" s="2" t="s">
        <v>280</v>
      </c>
      <c r="D1190" s="2" t="s">
        <v>1172</v>
      </c>
      <c r="E1190" s="2" t="s">
        <v>2729</v>
      </c>
      <c r="F1190" s="2" t="s">
        <v>5593</v>
      </c>
      <c r="G1190" s="2" t="s">
        <v>5857</v>
      </c>
      <c r="H1190" s="2" t="s">
        <v>5857</v>
      </c>
      <c r="I1190" s="2" t="s">
        <v>2730</v>
      </c>
      <c r="J1190" s="2" t="s">
        <v>1564</v>
      </c>
      <c r="K1190" s="2" t="s">
        <v>5864</v>
      </c>
      <c r="L1190" s="3">
        <v>14.83</v>
      </c>
      <c r="M1190" s="3">
        <v>15.57</v>
      </c>
      <c r="N1190" s="3">
        <v>31.99</v>
      </c>
      <c r="O1190" s="2" t="s">
        <v>230</v>
      </c>
      <c r="P1190" s="2" t="s">
        <v>231</v>
      </c>
      <c r="Q1190" s="2" t="s">
        <v>232</v>
      </c>
      <c r="R1190" s="2" t="s">
        <v>233</v>
      </c>
      <c r="S1190" s="2" t="s">
        <v>5865</v>
      </c>
      <c r="T1190" s="2" t="s">
        <v>780</v>
      </c>
      <c r="U1190" s="2" t="s">
        <v>329</v>
      </c>
      <c r="V1190" s="2" t="s">
        <v>349</v>
      </c>
      <c r="W1190" s="2" t="s">
        <v>288</v>
      </c>
      <c r="X1190" s="2" t="s">
        <v>233</v>
      </c>
      <c r="Y1190" s="2" t="s">
        <v>5866</v>
      </c>
      <c r="Z1190" s="4">
        <v>581</v>
      </c>
      <c r="AA1190" s="4">
        <f>=ROUNDDOWN(48.4166666666667,0)</f>
      </c>
      <c r="AB1190" s="5">
        <v>12</v>
      </c>
      <c r="AC1190" s="2" t="s">
        <v>490</v>
      </c>
      <c r="AD1190" s="4">
        <v>260</v>
      </c>
      <c r="AE1190" s="4">
        <v>260</v>
      </c>
      <c r="AF1190" s="6">
        <v>64</v>
      </c>
      <c r="AG1190" s="6"/>
      <c r="AH1190" s="7">
        <v>1</v>
      </c>
      <c r="AI1190" s="4"/>
      <c r="AJ1190" s="4">
        <f>=ROUNDDOWN({0},0)</f>
      </c>
      <c r="AK1190" s="5"/>
      <c r="AL1190" s="2" t="s">
        <v>233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/>
      <c r="AW1190" s="8"/>
      <c r="AX1190" s="4"/>
      <c r="AY1190" s="8"/>
      <c r="AZ1190" s="7"/>
      <c r="BA1190" s="7"/>
      <c r="BB1190" s="7"/>
      <c r="BC1190" s="4" t="s">
        <v>233</v>
      </c>
      <c r="BD1190" s="8" t="s">
        <v>233</v>
      </c>
      <c r="BE1190" s="4" t="s">
        <v>233</v>
      </c>
      <c r="BF1190" s="8" t="s">
        <v>233</v>
      </c>
      <c r="BG1190" s="7" t="s">
        <v>233</v>
      </c>
      <c r="BH1190" s="7" t="s">
        <v>233</v>
      </c>
      <c r="BI1190" s="7"/>
      <c r="BJ1190" s="4">
        <v>48</v>
      </c>
      <c r="BK1190" s="8">
        <v>737.72</v>
      </c>
      <c r="BL1190" s="2" t="s">
        <v>5867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5868</v>
      </c>
      <c r="BV1190" s="2" t="s">
        <v>233</v>
      </c>
      <c r="BW1190" s="2" t="s">
        <v>233</v>
      </c>
      <c r="BX1190" s="2" t="s">
        <v>241</v>
      </c>
      <c r="BY1190" s="2" t="s">
        <v>242</v>
      </c>
      <c r="BZ1190" s="2" t="s">
        <v>230</v>
      </c>
      <c r="CA1190" s="2" t="s">
        <v>5869</v>
      </c>
      <c r="CB1190" s="2" t="s">
        <v>1648</v>
      </c>
      <c r="CC1190" s="2" t="s">
        <v>245</v>
      </c>
      <c r="CD1190" s="2" t="s">
        <v>233</v>
      </c>
      <c r="CE1190" s="4">
        <v>384</v>
      </c>
      <c r="CF1190" s="4">
        <v>197</v>
      </c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>
        <v>260</v>
      </c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>
        <v>587</v>
      </c>
      <c r="GD1190" s="4">
        <v>546</v>
      </c>
      <c r="GE1190" s="4">
        <v>518</v>
      </c>
      <c r="GF1190" s="4">
        <v>491</v>
      </c>
      <c r="GG1190" s="4">
        <v>431</v>
      </c>
      <c r="GH1190" s="4">
        <v>383</v>
      </c>
      <c r="GI1190" s="4">
        <v>596</v>
      </c>
      <c r="GJ1190" s="4">
        <v>572</v>
      </c>
      <c r="GK1190" s="4">
        <v>560</v>
      </c>
      <c r="GL1190" s="4">
        <v>541</v>
      </c>
      <c r="GM1190" s="4">
        <v>524</v>
      </c>
      <c r="GN1190" s="4">
        <v>507</v>
      </c>
      <c r="GO1190" s="4">
        <v>488</v>
      </c>
      <c r="GP1190" s="4">
        <v>469</v>
      </c>
      <c r="GQ1190" s="4">
        <v>450</v>
      </c>
      <c r="GR1190" s="4">
        <v>436</v>
      </c>
      <c r="GS1190" s="4">
        <v>423</v>
      </c>
      <c r="GT1190" s="4">
        <v>409</v>
      </c>
      <c r="GU1190" s="4">
        <v>396</v>
      </c>
      <c r="GV1190" s="4">
        <v>373</v>
      </c>
      <c r="GW1190" s="4">
        <v>350</v>
      </c>
      <c r="GX1190" s="4">
        <v>327</v>
      </c>
      <c r="GY1190" s="4">
        <v>304</v>
      </c>
      <c r="GZ1190" s="4">
        <v>286</v>
      </c>
      <c r="HA1190" s="4">
        <v>268</v>
      </c>
      <c r="HB1190" s="4">
        <v>251</v>
      </c>
      <c r="HC1190" s="19">
        <v>15.1</v>
      </c>
      <c r="HD1190" s="19">
        <v>13.3</v>
      </c>
      <c r="HE1190" s="19">
        <v>11.3</v>
      </c>
      <c r="HF1190" s="19">
        <v>10.9</v>
      </c>
      <c r="HG1190" s="19">
        <v>13.1</v>
      </c>
      <c r="HH1190" s="19">
        <v>14.7</v>
      </c>
      <c r="HI1190" s="19">
        <v>33.1</v>
      </c>
      <c r="HJ1190" s="19">
        <v>35.8</v>
      </c>
      <c r="HK1190" s="19">
        <v>31.1</v>
      </c>
      <c r="HL1190" s="19">
        <v>30.1</v>
      </c>
      <c r="HM1190" s="19">
        <v>29.1</v>
      </c>
      <c r="HN1190" s="19">
        <v>28.2</v>
      </c>
      <c r="HO1190" s="19">
        <v>30.5</v>
      </c>
      <c r="HP1190" s="19">
        <v>31.3</v>
      </c>
      <c r="HQ1190" s="19">
        <v>32.1</v>
      </c>
      <c r="HR1190" s="19">
        <v>27.3</v>
      </c>
      <c r="HS1190" s="19">
        <v>23.5</v>
      </c>
      <c r="HT1190" s="19">
        <v>20.5</v>
      </c>
      <c r="HU1190" s="19">
        <v>17.2</v>
      </c>
      <c r="HV1190" s="19">
        <v>17</v>
      </c>
      <c r="HW1190" s="19">
        <v>17.5</v>
      </c>
      <c r="HX1190" s="19">
        <v>17.2</v>
      </c>
      <c r="HY1190" s="19">
        <v>16.9</v>
      </c>
      <c r="HZ1190" s="19">
        <v>16.8</v>
      </c>
      <c r="IA1190" s="19">
        <v>15.8</v>
      </c>
      <c r="IB1190" s="19">
        <v>14.8</v>
      </c>
    </row>
    <row r="1191">
      <c r="A1191" s="2" t="s">
        <v>5870</v>
      </c>
      <c r="B1191" s="2" t="s">
        <v>773</v>
      </c>
      <c r="C1191" s="2" t="s">
        <v>280</v>
      </c>
      <c r="D1191" s="2" t="s">
        <v>261</v>
      </c>
      <c r="E1191" s="2" t="s">
        <v>603</v>
      </c>
      <c r="F1191" s="2" t="s">
        <v>5593</v>
      </c>
      <c r="G1191" s="2" t="s">
        <v>5857</v>
      </c>
      <c r="H1191" s="2" t="s">
        <v>5857</v>
      </c>
      <c r="I1191" s="2" t="s">
        <v>5871</v>
      </c>
      <c r="J1191" s="2" t="s">
        <v>265</v>
      </c>
      <c r="K1191" s="2" t="s">
        <v>1525</v>
      </c>
      <c r="L1191" s="3">
        <v>49.68</v>
      </c>
      <c r="M1191" s="3">
        <v>52.16</v>
      </c>
      <c r="N1191" s="3">
        <v>109.99</v>
      </c>
      <c r="O1191" s="2" t="s">
        <v>230</v>
      </c>
      <c r="P1191" s="2" t="s">
        <v>231</v>
      </c>
      <c r="Q1191" s="2" t="s">
        <v>232</v>
      </c>
      <c r="R1191" s="2" t="s">
        <v>233</v>
      </c>
      <c r="S1191" s="2" t="s">
        <v>5872</v>
      </c>
      <c r="T1191" s="2" t="s">
        <v>780</v>
      </c>
      <c r="U1191" s="2" t="s">
        <v>233</v>
      </c>
      <c r="V1191" s="2" t="s">
        <v>1268</v>
      </c>
      <c r="W1191" s="2" t="s">
        <v>288</v>
      </c>
      <c r="X1191" s="2" t="s">
        <v>1214</v>
      </c>
      <c r="Y1191" s="2" t="s">
        <v>238</v>
      </c>
      <c r="Z1191" s="4">
        <v>449</v>
      </c>
      <c r="AA1191" s="4">
        <f>=ROUNDDOWN(49.8888888888889,0)</f>
      </c>
      <c r="AB1191" s="5">
        <v>9</v>
      </c>
      <c r="AC1191" s="2" t="s">
        <v>490</v>
      </c>
      <c r="AD1191" s="4">
        <v>200</v>
      </c>
      <c r="AE1191" s="4">
        <v>350</v>
      </c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233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 t="s">
        <v>233</v>
      </c>
      <c r="BD1191" s="8" t="s">
        <v>233</v>
      </c>
      <c r="BE1191" s="4" t="s">
        <v>233</v>
      </c>
      <c r="BF1191" s="8" t="s">
        <v>233</v>
      </c>
      <c r="BG1191" s="7" t="s">
        <v>233</v>
      </c>
      <c r="BH1191" s="7" t="s">
        <v>233</v>
      </c>
      <c r="BI1191" s="7"/>
      <c r="BJ1191" s="4">
        <v>44</v>
      </c>
      <c r="BK1191" s="8">
        <v>2401.04</v>
      </c>
      <c r="BL1191" s="2" t="s">
        <v>5873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5874</v>
      </c>
      <c r="BV1191" s="2" t="s">
        <v>233</v>
      </c>
      <c r="BW1191" s="2" t="s">
        <v>233</v>
      </c>
      <c r="BX1191" s="2" t="s">
        <v>2938</v>
      </c>
      <c r="BY1191" s="2" t="s">
        <v>242</v>
      </c>
      <c r="BZ1191" s="2" t="s">
        <v>230</v>
      </c>
      <c r="CA1191" s="2" t="s">
        <v>5827</v>
      </c>
      <c r="CB1191" s="2" t="s">
        <v>476</v>
      </c>
      <c r="CC1191" s="2" t="s">
        <v>245</v>
      </c>
      <c r="CD1191" s="2" t="s">
        <v>233</v>
      </c>
      <c r="CE1191" s="4">
        <v>270</v>
      </c>
      <c r="CF1191" s="4"/>
      <c r="CG1191" s="4"/>
      <c r="CH1191" s="4">
        <v>179</v>
      </c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>
        <v>200</v>
      </c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>
        <v>100</v>
      </c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>
        <v>50</v>
      </c>
      <c r="GB1191" s="4"/>
      <c r="GC1191" s="4">
        <v>453</v>
      </c>
      <c r="GD1191" s="4">
        <v>368</v>
      </c>
      <c r="GE1191" s="4">
        <v>339</v>
      </c>
      <c r="GF1191" s="4">
        <v>308</v>
      </c>
      <c r="GG1191" s="4">
        <v>248</v>
      </c>
      <c r="GH1191" s="4">
        <v>201</v>
      </c>
      <c r="GI1191" s="4">
        <v>353</v>
      </c>
      <c r="GJ1191" s="4">
        <v>323</v>
      </c>
      <c r="GK1191" s="4">
        <v>405</v>
      </c>
      <c r="GL1191" s="4">
        <v>385</v>
      </c>
      <c r="GM1191" s="4">
        <v>365</v>
      </c>
      <c r="GN1191" s="4">
        <v>345</v>
      </c>
      <c r="GO1191" s="4">
        <v>325</v>
      </c>
      <c r="GP1191" s="4">
        <v>305</v>
      </c>
      <c r="GQ1191" s="4">
        <v>285</v>
      </c>
      <c r="GR1191" s="4">
        <v>276</v>
      </c>
      <c r="GS1191" s="4">
        <v>267</v>
      </c>
      <c r="GT1191" s="4">
        <v>257</v>
      </c>
      <c r="GU1191" s="4">
        <v>248</v>
      </c>
      <c r="GV1191" s="4">
        <v>239</v>
      </c>
      <c r="GW1191" s="4">
        <v>280</v>
      </c>
      <c r="GX1191" s="4">
        <v>272</v>
      </c>
      <c r="GY1191" s="4">
        <v>264</v>
      </c>
      <c r="GZ1191" s="4">
        <v>257</v>
      </c>
      <c r="HA1191" s="4">
        <v>249</v>
      </c>
      <c r="HB1191" s="4">
        <v>242</v>
      </c>
      <c r="HC1191" s="19">
        <v>8.9</v>
      </c>
      <c r="HD1191" s="19">
        <v>8.8</v>
      </c>
      <c r="HE1191" s="19">
        <v>7.4</v>
      </c>
      <c r="HF1191" s="19">
        <v>6.7</v>
      </c>
      <c r="HG1191" s="19">
        <v>6.9</v>
      </c>
      <c r="HH1191" s="19">
        <v>6.9</v>
      </c>
      <c r="HI1191" s="19">
        <v>16</v>
      </c>
      <c r="HJ1191" s="19">
        <v>16.2</v>
      </c>
      <c r="HK1191" s="19">
        <v>20.3</v>
      </c>
      <c r="HL1191" s="19">
        <v>19.3</v>
      </c>
      <c r="HM1191" s="19">
        <v>18.3</v>
      </c>
      <c r="HN1191" s="19">
        <v>20.3</v>
      </c>
      <c r="HO1191" s="19">
        <v>23.2</v>
      </c>
      <c r="HP1191" s="19">
        <v>25.4</v>
      </c>
      <c r="HQ1191" s="19">
        <v>31.7</v>
      </c>
      <c r="HR1191" s="19">
        <v>30.7</v>
      </c>
      <c r="HS1191" s="19">
        <v>29.7</v>
      </c>
      <c r="HT1191" s="19">
        <v>28.6</v>
      </c>
      <c r="HU1191" s="19">
        <v>31</v>
      </c>
      <c r="HV1191" s="19">
        <v>29.9</v>
      </c>
      <c r="HW1191" s="19">
        <v>35</v>
      </c>
      <c r="HX1191" s="19">
        <v>34</v>
      </c>
      <c r="HY1191" s="19">
        <v>37.7</v>
      </c>
      <c r="HZ1191" s="19">
        <v>36.7</v>
      </c>
      <c r="IA1191" s="19">
        <v>35.6</v>
      </c>
      <c r="IB1191" s="19">
        <v>34.6</v>
      </c>
    </row>
    <row r="1192">
      <c r="A1192" s="2" t="s">
        <v>5875</v>
      </c>
      <c r="B1192" s="2" t="s">
        <v>773</v>
      </c>
      <c r="C1192" s="2" t="s">
        <v>616</v>
      </c>
      <c r="D1192" s="2" t="s">
        <v>985</v>
      </c>
      <c r="E1192" s="2" t="s">
        <v>986</v>
      </c>
      <c r="F1192" s="2" t="s">
        <v>5593</v>
      </c>
      <c r="G1192" s="2" t="s">
        <v>5857</v>
      </c>
      <c r="H1192" s="2" t="s">
        <v>5857</v>
      </c>
      <c r="I1192" s="2" t="s">
        <v>5876</v>
      </c>
      <c r="J1192" s="2" t="s">
        <v>5877</v>
      </c>
      <c r="K1192" s="2" t="s">
        <v>2283</v>
      </c>
      <c r="L1192" s="3">
        <v>36.8</v>
      </c>
      <c r="M1192" s="3">
        <v>38.64</v>
      </c>
      <c r="N1192" s="3">
        <v>79.99</v>
      </c>
      <c r="O1192" s="2" t="s">
        <v>230</v>
      </c>
      <c r="P1192" s="2" t="s">
        <v>231</v>
      </c>
      <c r="Q1192" s="2" t="s">
        <v>232</v>
      </c>
      <c r="R1192" s="2" t="s">
        <v>233</v>
      </c>
      <c r="S1192" s="2" t="s">
        <v>5878</v>
      </c>
      <c r="T1192" s="2" t="s">
        <v>780</v>
      </c>
      <c r="U1192" s="2" t="s">
        <v>329</v>
      </c>
      <c r="V1192" s="2" t="s">
        <v>236</v>
      </c>
      <c r="W1192" s="2" t="s">
        <v>288</v>
      </c>
      <c r="X1192" s="2" t="s">
        <v>712</v>
      </c>
      <c r="Y1192" s="2" t="s">
        <v>2468</v>
      </c>
      <c r="Z1192" s="4">
        <v>1240</v>
      </c>
      <c r="AA1192" s="4">
        <f>=ROUNDDOWN(103.333333333333,0)</f>
      </c>
      <c r="AB1192" s="5">
        <v>12</v>
      </c>
      <c r="AC1192" s="2" t="s">
        <v>153</v>
      </c>
      <c r="AD1192" s="4">
        <v>210</v>
      </c>
      <c r="AE1192" s="4">
        <v>350</v>
      </c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233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 t="s">
        <v>233</v>
      </c>
      <c r="BD1192" s="8" t="s">
        <v>233</v>
      </c>
      <c r="BE1192" s="4" t="s">
        <v>233</v>
      </c>
      <c r="BF1192" s="8" t="s">
        <v>233</v>
      </c>
      <c r="BG1192" s="7" t="s">
        <v>233</v>
      </c>
      <c r="BH1192" s="7" t="s">
        <v>233</v>
      </c>
      <c r="BI1192" s="7"/>
      <c r="BJ1192" s="4">
        <v>57</v>
      </c>
      <c r="BK1192" s="8">
        <v>2159.65</v>
      </c>
      <c r="BL1192" s="2" t="s">
        <v>2238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5879</v>
      </c>
      <c r="BV1192" s="2" t="s">
        <v>233</v>
      </c>
      <c r="BW1192" s="2" t="s">
        <v>233</v>
      </c>
      <c r="BX1192" s="2" t="s">
        <v>241</v>
      </c>
      <c r="BY1192" s="2" t="s">
        <v>242</v>
      </c>
      <c r="BZ1192" s="2" t="s">
        <v>230</v>
      </c>
      <c r="CA1192" s="2" t="s">
        <v>443</v>
      </c>
      <c r="CB1192" s="2" t="s">
        <v>2260</v>
      </c>
      <c r="CC1192" s="2" t="s">
        <v>245</v>
      </c>
      <c r="CD1192" s="2" t="s">
        <v>233</v>
      </c>
      <c r="CE1192" s="4">
        <v>369</v>
      </c>
      <c r="CF1192" s="4">
        <v>871</v>
      </c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>
        <v>210</v>
      </c>
      <c r="DP1192" s="4"/>
      <c r="DQ1192" s="4"/>
      <c r="DR1192" s="4">
        <v>140</v>
      </c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>
        <v>377</v>
      </c>
      <c r="GD1192" s="4">
        <v>344</v>
      </c>
      <c r="GE1192" s="4">
        <v>311</v>
      </c>
      <c r="GF1192" s="4">
        <v>272</v>
      </c>
      <c r="GG1192" s="4">
        <v>365</v>
      </c>
      <c r="GH1192" s="4">
        <v>392</v>
      </c>
      <c r="GI1192" s="4">
        <v>253</v>
      </c>
      <c r="GJ1192" s="4">
        <v>190</v>
      </c>
      <c r="GK1192" s="4">
        <v>173</v>
      </c>
      <c r="GL1192" s="4">
        <v>152</v>
      </c>
      <c r="GM1192" s="4">
        <v>141</v>
      </c>
      <c r="GN1192" s="4">
        <v>116</v>
      </c>
      <c r="GO1192" s="4">
        <v>99</v>
      </c>
      <c r="GP1192" s="4">
        <v>82</v>
      </c>
      <c r="GQ1192" s="4">
        <v>72</v>
      </c>
      <c r="GR1192" s="4">
        <v>60</v>
      </c>
      <c r="GS1192" s="4">
        <v>53</v>
      </c>
      <c r="GT1192" s="4">
        <v>46</v>
      </c>
      <c r="GU1192" s="4">
        <v>39</v>
      </c>
      <c r="GV1192" s="4">
        <v>35</v>
      </c>
      <c r="GW1192" s="4">
        <v>27</v>
      </c>
      <c r="GX1192" s="4">
        <v>22</v>
      </c>
      <c r="GY1192" s="4">
        <v>18</v>
      </c>
      <c r="GZ1192" s="4">
        <v>14</v>
      </c>
      <c r="HA1192" s="4">
        <v>11</v>
      </c>
      <c r="HB1192" s="4">
        <v>18</v>
      </c>
      <c r="HC1192" s="19">
        <v>6.7</v>
      </c>
      <c r="HD1192" s="19">
        <v>4.5</v>
      </c>
      <c r="HE1192" s="19">
        <v>3</v>
      </c>
      <c r="HF1192" s="19">
        <v>2.5</v>
      </c>
      <c r="HG1192" s="19">
        <v>4.4</v>
      </c>
      <c r="HH1192" s="19">
        <v>6.5</v>
      </c>
      <c r="HI1192" s="19">
        <v>9</v>
      </c>
      <c r="HJ1192" s="19">
        <v>10.6</v>
      </c>
      <c r="HK1192" s="19">
        <v>9.6</v>
      </c>
      <c r="HL1192" s="19">
        <v>8.4</v>
      </c>
      <c r="HM1192" s="19">
        <v>8.3</v>
      </c>
      <c r="HN1192" s="19">
        <v>8.3</v>
      </c>
      <c r="HO1192" s="19">
        <v>8.3</v>
      </c>
      <c r="HP1192" s="19">
        <v>9.1</v>
      </c>
      <c r="HQ1192" s="19">
        <v>9</v>
      </c>
      <c r="HR1192" s="19">
        <v>10</v>
      </c>
      <c r="HS1192" s="19">
        <v>8.8</v>
      </c>
      <c r="HT1192" s="19">
        <v>7.7</v>
      </c>
      <c r="HU1192" s="19">
        <v>7.8</v>
      </c>
      <c r="HV1192" s="19">
        <v>7</v>
      </c>
      <c r="HW1192" s="19">
        <v>6.8</v>
      </c>
      <c r="HX1192" s="19">
        <v>7.3</v>
      </c>
      <c r="HY1192" s="19">
        <v>6</v>
      </c>
      <c r="HZ1192" s="19">
        <v>4.7</v>
      </c>
      <c r="IA1192" s="19">
        <v>3.7</v>
      </c>
      <c r="IB1192" s="19">
        <v>6</v>
      </c>
    </row>
    <row r="1193">
      <c r="A1193" s="2" t="s">
        <v>5880</v>
      </c>
      <c r="B1193" s="2" t="s">
        <v>773</v>
      </c>
      <c r="C1193" s="2" t="s">
        <v>280</v>
      </c>
      <c r="D1193" s="2" t="s">
        <v>1172</v>
      </c>
      <c r="E1193" s="2" t="s">
        <v>2729</v>
      </c>
      <c r="F1193" s="2" t="s">
        <v>5593</v>
      </c>
      <c r="G1193" s="2" t="s">
        <v>5857</v>
      </c>
      <c r="H1193" s="2" t="s">
        <v>5857</v>
      </c>
      <c r="I1193" s="2" t="s">
        <v>2730</v>
      </c>
      <c r="J1193" s="2" t="s">
        <v>1564</v>
      </c>
      <c r="K1193" s="2" t="s">
        <v>300</v>
      </c>
      <c r="L1193" s="3">
        <v>14.83</v>
      </c>
      <c r="M1193" s="3">
        <v>15.57</v>
      </c>
      <c r="N1193" s="3">
        <v>31.99</v>
      </c>
      <c r="O1193" s="2" t="s">
        <v>230</v>
      </c>
      <c r="P1193" s="2" t="s">
        <v>586</v>
      </c>
      <c r="Q1193" s="2" t="s">
        <v>232</v>
      </c>
      <c r="R1193" s="2" t="s">
        <v>233</v>
      </c>
      <c r="S1193" s="2" t="s">
        <v>5881</v>
      </c>
      <c r="T1193" s="2" t="s">
        <v>780</v>
      </c>
      <c r="U1193" s="2" t="s">
        <v>233</v>
      </c>
      <c r="V1193" s="2" t="s">
        <v>1268</v>
      </c>
      <c r="W1193" s="2" t="s">
        <v>288</v>
      </c>
      <c r="X1193" s="2" t="s">
        <v>233</v>
      </c>
      <c r="Y1193" s="2" t="s">
        <v>487</v>
      </c>
      <c r="Z1193" s="4">
        <v>1024</v>
      </c>
      <c r="AA1193" s="4">
        <f>=ROUNDDOWN(31.030303030303,0)</f>
      </c>
      <c r="AB1193" s="5">
        <v>33</v>
      </c>
      <c r="AC1193" s="2" t="s">
        <v>149</v>
      </c>
      <c r="AD1193" s="4">
        <v>300</v>
      </c>
      <c r="AE1193" s="4">
        <v>900</v>
      </c>
      <c r="AF1193" s="6">
        <v>64</v>
      </c>
      <c r="AG1193" s="6"/>
      <c r="AH1193" s="7">
        <v>1</v>
      </c>
      <c r="AI1193" s="4"/>
      <c r="AJ1193" s="4">
        <f>=ROUNDDOWN({0},0)</f>
      </c>
      <c r="AK1193" s="5"/>
      <c r="AL1193" s="2" t="s">
        <v>233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 t="s">
        <v>233</v>
      </c>
      <c r="BD1193" s="8" t="s">
        <v>233</v>
      </c>
      <c r="BE1193" s="4" t="s">
        <v>233</v>
      </c>
      <c r="BF1193" s="8" t="s">
        <v>233</v>
      </c>
      <c r="BG1193" s="7" t="s">
        <v>233</v>
      </c>
      <c r="BH1193" s="7" t="s">
        <v>233</v>
      </c>
      <c r="BI1193" s="7"/>
      <c r="BJ1193" s="4">
        <v>235</v>
      </c>
      <c r="BK1193" s="8">
        <v>3303.96</v>
      </c>
      <c r="BL1193" s="2" t="s">
        <v>5882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5868</v>
      </c>
      <c r="BV1193" s="2" t="s">
        <v>233</v>
      </c>
      <c r="BW1193" s="2" t="s">
        <v>233</v>
      </c>
      <c r="BX1193" s="2" t="s">
        <v>241</v>
      </c>
      <c r="BY1193" s="2" t="s">
        <v>242</v>
      </c>
      <c r="BZ1193" s="2" t="s">
        <v>230</v>
      </c>
      <c r="CA1193" s="2" t="s">
        <v>243</v>
      </c>
      <c r="CB1193" s="2" t="s">
        <v>272</v>
      </c>
      <c r="CC1193" s="2" t="s">
        <v>245</v>
      </c>
      <c r="CD1193" s="2" t="s">
        <v>233</v>
      </c>
      <c r="CE1193" s="4">
        <v>940</v>
      </c>
      <c r="CF1193" s="4">
        <v>84</v>
      </c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>
        <v>300</v>
      </c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>
        <v>600</v>
      </c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>
        <v>1080</v>
      </c>
      <c r="GD1193" s="4">
        <v>959</v>
      </c>
      <c r="GE1193" s="4">
        <v>887</v>
      </c>
      <c r="GF1193" s="4">
        <v>819</v>
      </c>
      <c r="GG1193" s="4">
        <v>985</v>
      </c>
      <c r="GH1193" s="4">
        <v>875</v>
      </c>
      <c r="GI1193" s="4">
        <v>767</v>
      </c>
      <c r="GJ1193" s="4">
        <v>705</v>
      </c>
      <c r="GK1193" s="4">
        <v>672</v>
      </c>
      <c r="GL1193" s="4">
        <v>625</v>
      </c>
      <c r="GM1193" s="4">
        <v>581</v>
      </c>
      <c r="GN1193" s="4">
        <v>538</v>
      </c>
      <c r="GO1193" s="4">
        <v>482</v>
      </c>
      <c r="GP1193" s="4">
        <v>426</v>
      </c>
      <c r="GQ1193" s="4">
        <v>970</v>
      </c>
      <c r="GR1193" s="4">
        <v>924</v>
      </c>
      <c r="GS1193" s="4">
        <v>884</v>
      </c>
      <c r="GT1193" s="4">
        <v>842</v>
      </c>
      <c r="GU1193" s="4">
        <v>802</v>
      </c>
      <c r="GV1193" s="4">
        <v>742</v>
      </c>
      <c r="GW1193" s="4">
        <v>682</v>
      </c>
      <c r="GX1193" s="4">
        <v>622</v>
      </c>
      <c r="GY1193" s="4">
        <v>562</v>
      </c>
      <c r="GZ1193" s="4">
        <v>512</v>
      </c>
      <c r="HA1193" s="4">
        <v>460</v>
      </c>
      <c r="HB1193" s="4">
        <v>417</v>
      </c>
      <c r="HC1193" s="19">
        <v>10.9</v>
      </c>
      <c r="HD1193" s="19">
        <v>10</v>
      </c>
      <c r="HE1193" s="19">
        <v>8.4</v>
      </c>
      <c r="HF1193" s="19">
        <v>7.9</v>
      </c>
      <c r="HG1193" s="19">
        <v>12.6</v>
      </c>
      <c r="HH1193" s="19">
        <v>14.1</v>
      </c>
      <c r="HI1193" s="19">
        <v>16.7</v>
      </c>
      <c r="HJ1193" s="19">
        <v>16.8</v>
      </c>
      <c r="HK1193" s="19">
        <v>14</v>
      </c>
      <c r="HL1193" s="19">
        <v>12.5</v>
      </c>
      <c r="HM1193" s="19">
        <v>11</v>
      </c>
      <c r="HN1193" s="19">
        <v>10</v>
      </c>
      <c r="HO1193" s="19">
        <v>9.6</v>
      </c>
      <c r="HP1193" s="19">
        <v>9.3</v>
      </c>
      <c r="HQ1193" s="19">
        <v>23.1</v>
      </c>
      <c r="HR1193" s="19">
        <v>20.1</v>
      </c>
      <c r="HS1193" s="19">
        <v>17.7</v>
      </c>
      <c r="HT1193" s="19">
        <v>15.3</v>
      </c>
      <c r="HU1193" s="19">
        <v>13.4</v>
      </c>
      <c r="HV1193" s="19">
        <v>12.8</v>
      </c>
      <c r="HW1193" s="19">
        <v>12.2</v>
      </c>
      <c r="HX1193" s="19">
        <v>12.2</v>
      </c>
      <c r="HY1193" s="19">
        <v>12</v>
      </c>
      <c r="HZ1193" s="19">
        <v>11.4</v>
      </c>
      <c r="IA1193" s="19">
        <v>10.7</v>
      </c>
      <c r="IB1193" s="19">
        <v>9.7</v>
      </c>
    </row>
    <row r="1194">
      <c r="A1194" s="2" t="s">
        <v>5883</v>
      </c>
      <c r="B1194" s="2" t="s">
        <v>773</v>
      </c>
      <c r="C1194" s="2" t="s">
        <v>280</v>
      </c>
      <c r="D1194" s="2" t="s">
        <v>1172</v>
      </c>
      <c r="E1194" s="2" t="s">
        <v>2729</v>
      </c>
      <c r="F1194" s="2" t="s">
        <v>5593</v>
      </c>
      <c r="G1194" s="2" t="s">
        <v>5857</v>
      </c>
      <c r="H1194" s="2" t="s">
        <v>5857</v>
      </c>
      <c r="I1194" s="2" t="s">
        <v>2730</v>
      </c>
      <c r="J1194" s="2" t="s">
        <v>1564</v>
      </c>
      <c r="K1194" s="2" t="s">
        <v>5884</v>
      </c>
      <c r="L1194" s="3">
        <v>14.83</v>
      </c>
      <c r="M1194" s="3">
        <v>15.57</v>
      </c>
      <c r="N1194" s="3">
        <v>31.99</v>
      </c>
      <c r="O1194" s="2" t="s">
        <v>230</v>
      </c>
      <c r="P1194" s="2" t="s">
        <v>231</v>
      </c>
      <c r="Q1194" s="2" t="s">
        <v>232</v>
      </c>
      <c r="R1194" s="2" t="s">
        <v>233</v>
      </c>
      <c r="S1194" s="2" t="s">
        <v>5885</v>
      </c>
      <c r="T1194" s="2" t="s">
        <v>780</v>
      </c>
      <c r="U1194" s="2" t="s">
        <v>329</v>
      </c>
      <c r="V1194" s="2" t="s">
        <v>1268</v>
      </c>
      <c r="W1194" s="2" t="s">
        <v>288</v>
      </c>
      <c r="X1194" s="2" t="s">
        <v>233</v>
      </c>
      <c r="Y1194" s="2" t="s">
        <v>5886</v>
      </c>
      <c r="Z1194" s="4">
        <v>365</v>
      </c>
      <c r="AA1194" s="4">
        <f>=ROUNDDOWN(33.1818181818182,0)</f>
      </c>
      <c r="AB1194" s="5">
        <v>11</v>
      </c>
      <c r="AC1194" s="2" t="s">
        <v>149</v>
      </c>
      <c r="AD1194" s="4">
        <v>100</v>
      </c>
      <c r="AE1194" s="4">
        <v>350</v>
      </c>
      <c r="AF1194" s="6">
        <v>64</v>
      </c>
      <c r="AG1194" s="6"/>
      <c r="AH1194" s="7">
        <v>1</v>
      </c>
      <c r="AI1194" s="4"/>
      <c r="AJ1194" s="4">
        <f>=ROUNDDOWN({0},0)</f>
      </c>
      <c r="AK1194" s="5"/>
      <c r="AL1194" s="2" t="s">
        <v>233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 t="s">
        <v>233</v>
      </c>
      <c r="BD1194" s="8" t="s">
        <v>233</v>
      </c>
      <c r="BE1194" s="4" t="s">
        <v>233</v>
      </c>
      <c r="BF1194" s="8" t="s">
        <v>233</v>
      </c>
      <c r="BG1194" s="7" t="s">
        <v>233</v>
      </c>
      <c r="BH1194" s="7" t="s">
        <v>233</v>
      </c>
      <c r="BI1194" s="7"/>
      <c r="BJ1194" s="4">
        <v>82</v>
      </c>
      <c r="BK1194" s="8">
        <v>1197.01</v>
      </c>
      <c r="BL1194" s="2" t="s">
        <v>5887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5868</v>
      </c>
      <c r="BV1194" s="2" t="s">
        <v>233</v>
      </c>
      <c r="BW1194" s="2" t="s">
        <v>233</v>
      </c>
      <c r="BX1194" s="2" t="s">
        <v>241</v>
      </c>
      <c r="BY1194" s="2" t="s">
        <v>242</v>
      </c>
      <c r="BZ1194" s="2" t="s">
        <v>230</v>
      </c>
      <c r="CA1194" s="2" t="s">
        <v>2896</v>
      </c>
      <c r="CB1194" s="2" t="s">
        <v>5196</v>
      </c>
      <c r="CC1194" s="2" t="s">
        <v>245</v>
      </c>
      <c r="CD1194" s="2" t="s">
        <v>233</v>
      </c>
      <c r="CE1194" s="4">
        <v>365</v>
      </c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>
        <v>100</v>
      </c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>
        <v>150</v>
      </c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>
        <v>100</v>
      </c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>
        <v>408</v>
      </c>
      <c r="GD1194" s="4">
        <v>352</v>
      </c>
      <c r="GE1194" s="4">
        <v>326</v>
      </c>
      <c r="GF1194" s="4">
        <v>301</v>
      </c>
      <c r="GG1194" s="4">
        <v>347</v>
      </c>
      <c r="GH1194" s="4">
        <v>303</v>
      </c>
      <c r="GI1194" s="4">
        <v>410</v>
      </c>
      <c r="GJ1194" s="4">
        <v>388</v>
      </c>
      <c r="GK1194" s="4">
        <v>377</v>
      </c>
      <c r="GL1194" s="4">
        <v>360</v>
      </c>
      <c r="GM1194" s="4">
        <v>344</v>
      </c>
      <c r="GN1194" s="4">
        <v>328</v>
      </c>
      <c r="GO1194" s="4">
        <v>310</v>
      </c>
      <c r="GP1194" s="4">
        <v>292</v>
      </c>
      <c r="GQ1194" s="4">
        <v>374</v>
      </c>
      <c r="GR1194" s="4">
        <v>361</v>
      </c>
      <c r="GS1194" s="4">
        <v>349</v>
      </c>
      <c r="GT1194" s="4">
        <v>336</v>
      </c>
      <c r="GU1194" s="4">
        <v>324</v>
      </c>
      <c r="GV1194" s="4">
        <v>303</v>
      </c>
      <c r="GW1194" s="4">
        <v>282</v>
      </c>
      <c r="GX1194" s="4">
        <v>261</v>
      </c>
      <c r="GY1194" s="4">
        <v>240</v>
      </c>
      <c r="GZ1194" s="4">
        <v>223</v>
      </c>
      <c r="HA1194" s="4">
        <v>206</v>
      </c>
      <c r="HB1194" s="4">
        <v>190</v>
      </c>
      <c r="HC1194" s="19">
        <v>10.2</v>
      </c>
      <c r="HD1194" s="19">
        <v>9.5</v>
      </c>
      <c r="HE1194" s="19">
        <v>7.8</v>
      </c>
      <c r="HF1194" s="19">
        <v>7.3</v>
      </c>
      <c r="HG1194" s="19">
        <v>11.6</v>
      </c>
      <c r="HH1194" s="19">
        <v>13.2</v>
      </c>
      <c r="HI1194" s="19">
        <v>25.6</v>
      </c>
      <c r="HJ1194" s="19">
        <v>25.9</v>
      </c>
      <c r="HK1194" s="19">
        <v>22.2</v>
      </c>
      <c r="HL1194" s="19">
        <v>21.2</v>
      </c>
      <c r="HM1194" s="19">
        <v>19.1</v>
      </c>
      <c r="HN1194" s="19">
        <v>19.3</v>
      </c>
      <c r="HO1194" s="19">
        <v>20.7</v>
      </c>
      <c r="HP1194" s="19">
        <v>20.9</v>
      </c>
      <c r="HQ1194" s="19">
        <v>31.2</v>
      </c>
      <c r="HR1194" s="19">
        <v>25.8</v>
      </c>
      <c r="HS1194" s="19">
        <v>20.5</v>
      </c>
      <c r="HT1194" s="19">
        <v>17.7</v>
      </c>
      <c r="HU1194" s="19">
        <v>15.4</v>
      </c>
      <c r="HV1194" s="19">
        <v>15.2</v>
      </c>
      <c r="HW1194" s="19">
        <v>14.8</v>
      </c>
      <c r="HX1194" s="19">
        <v>14.5</v>
      </c>
      <c r="HY1194" s="19">
        <v>15</v>
      </c>
      <c r="HZ1194" s="19">
        <v>13.9</v>
      </c>
      <c r="IA1194" s="19">
        <v>12.9</v>
      </c>
      <c r="IB1194" s="19">
        <v>11.9</v>
      </c>
    </row>
    <row r="1195">
      <c r="A1195" s="2" t="s">
        <v>5888</v>
      </c>
      <c r="B1195" s="2" t="s">
        <v>773</v>
      </c>
      <c r="C1195" s="2" t="s">
        <v>280</v>
      </c>
      <c r="D1195" s="2" t="s">
        <v>261</v>
      </c>
      <c r="E1195" s="2" t="s">
        <v>603</v>
      </c>
      <c r="F1195" s="2" t="s">
        <v>5593</v>
      </c>
      <c r="G1195" s="2" t="s">
        <v>5857</v>
      </c>
      <c r="H1195" s="2" t="s">
        <v>5857</v>
      </c>
      <c r="I1195" s="2" t="s">
        <v>5871</v>
      </c>
      <c r="J1195" s="2" t="s">
        <v>265</v>
      </c>
      <c r="K1195" s="2" t="s">
        <v>3930</v>
      </c>
      <c r="L1195" s="3">
        <v>49.68</v>
      </c>
      <c r="M1195" s="3">
        <v>52.16</v>
      </c>
      <c r="N1195" s="3">
        <v>109.99</v>
      </c>
      <c r="O1195" s="2" t="s">
        <v>230</v>
      </c>
      <c r="P1195" s="2" t="s">
        <v>231</v>
      </c>
      <c r="Q1195" s="2" t="s">
        <v>232</v>
      </c>
      <c r="R1195" s="2" t="s">
        <v>233</v>
      </c>
      <c r="S1195" s="2" t="s">
        <v>5889</v>
      </c>
      <c r="T1195" s="2" t="s">
        <v>780</v>
      </c>
      <c r="U1195" s="2" t="s">
        <v>233</v>
      </c>
      <c r="V1195" s="2" t="s">
        <v>1268</v>
      </c>
      <c r="W1195" s="2" t="s">
        <v>288</v>
      </c>
      <c r="X1195" s="2" t="s">
        <v>1214</v>
      </c>
      <c r="Y1195" s="2" t="s">
        <v>1114</v>
      </c>
      <c r="Z1195" s="4">
        <v>480</v>
      </c>
      <c r="AA1195" s="4">
        <f>=ROUNDDOWN(68.5714285714286,0)</f>
      </c>
      <c r="AB1195" s="5">
        <v>7</v>
      </c>
      <c r="AC1195" s="2" t="s">
        <v>746</v>
      </c>
      <c r="AD1195" s="4">
        <v>100</v>
      </c>
      <c r="AE1195" s="4">
        <v>250</v>
      </c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233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233</v>
      </c>
      <c r="AW1195" s="8" t="s">
        <v>233</v>
      </c>
      <c r="AX1195" s="4" t="s">
        <v>233</v>
      </c>
      <c r="AY1195" s="8" t="s">
        <v>233</v>
      </c>
      <c r="AZ1195" s="7" t="s">
        <v>233</v>
      </c>
      <c r="BA1195" s="7" t="s">
        <v>233</v>
      </c>
      <c r="BB1195" s="7"/>
      <c r="BC1195" s="4" t="s">
        <v>233</v>
      </c>
      <c r="BD1195" s="8" t="s">
        <v>233</v>
      </c>
      <c r="BE1195" s="4" t="s">
        <v>233</v>
      </c>
      <c r="BF1195" s="8" t="s">
        <v>233</v>
      </c>
      <c r="BG1195" s="7" t="s">
        <v>233</v>
      </c>
      <c r="BH1195" s="7" t="s">
        <v>233</v>
      </c>
      <c r="BI1195" s="7"/>
      <c r="BJ1195" s="4">
        <v>45</v>
      </c>
      <c r="BK1195" s="8">
        <v>2270.93</v>
      </c>
      <c r="BL1195" s="2" t="s">
        <v>5890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5874</v>
      </c>
      <c r="BV1195" s="2" t="s">
        <v>233</v>
      </c>
      <c r="BW1195" s="2" t="s">
        <v>233</v>
      </c>
      <c r="BX1195" s="2" t="s">
        <v>2938</v>
      </c>
      <c r="BY1195" s="2" t="s">
        <v>242</v>
      </c>
      <c r="BZ1195" s="2" t="s">
        <v>230</v>
      </c>
      <c r="CA1195" s="2" t="s">
        <v>1114</v>
      </c>
      <c r="CB1195" s="2" t="s">
        <v>2534</v>
      </c>
      <c r="CC1195" s="2" t="s">
        <v>245</v>
      </c>
      <c r="CD1195" s="2" t="s">
        <v>233</v>
      </c>
      <c r="CE1195" s="4">
        <v>330</v>
      </c>
      <c r="CF1195" s="4"/>
      <c r="CG1195" s="4"/>
      <c r="CH1195" s="4"/>
      <c r="CI1195" s="4"/>
      <c r="CJ1195" s="4"/>
      <c r="CK1195" s="4"/>
      <c r="CL1195" s="4"/>
      <c r="CM1195" s="4"/>
      <c r="CN1195" s="4"/>
      <c r="CO1195" s="4">
        <v>150</v>
      </c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>
        <v>100</v>
      </c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>
        <v>150</v>
      </c>
      <c r="FX1195" s="4"/>
      <c r="FY1195" s="4"/>
      <c r="FZ1195" s="4"/>
      <c r="GA1195" s="4"/>
      <c r="GB1195" s="4"/>
      <c r="GC1195" s="4">
        <v>483</v>
      </c>
      <c r="GD1195" s="4">
        <v>432</v>
      </c>
      <c r="GE1195" s="4">
        <v>409</v>
      </c>
      <c r="GF1195" s="4">
        <v>384</v>
      </c>
      <c r="GG1195" s="4">
        <v>334</v>
      </c>
      <c r="GH1195" s="4">
        <v>395</v>
      </c>
      <c r="GI1195" s="4">
        <v>355</v>
      </c>
      <c r="GJ1195" s="4">
        <v>330</v>
      </c>
      <c r="GK1195" s="4">
        <v>315</v>
      </c>
      <c r="GL1195" s="4">
        <v>298</v>
      </c>
      <c r="GM1195" s="4">
        <v>281</v>
      </c>
      <c r="GN1195" s="4">
        <v>264</v>
      </c>
      <c r="GO1195" s="4">
        <v>247</v>
      </c>
      <c r="GP1195" s="4">
        <v>230</v>
      </c>
      <c r="GQ1195" s="4">
        <v>213</v>
      </c>
      <c r="GR1195" s="4">
        <v>206</v>
      </c>
      <c r="GS1195" s="4">
        <v>199</v>
      </c>
      <c r="GT1195" s="4">
        <v>191</v>
      </c>
      <c r="GU1195" s="4">
        <v>334</v>
      </c>
      <c r="GV1195" s="4">
        <v>327</v>
      </c>
      <c r="GW1195" s="4">
        <v>320</v>
      </c>
      <c r="GX1195" s="4">
        <v>313</v>
      </c>
      <c r="GY1195" s="4">
        <v>306</v>
      </c>
      <c r="GZ1195" s="4">
        <v>300</v>
      </c>
      <c r="HA1195" s="4">
        <v>294</v>
      </c>
      <c r="HB1195" s="4">
        <v>288</v>
      </c>
      <c r="HC1195" s="19">
        <v>13.1</v>
      </c>
      <c r="HD1195" s="19">
        <v>12.7</v>
      </c>
      <c r="HE1195" s="19">
        <v>10.8</v>
      </c>
      <c r="HF1195" s="19">
        <v>10.1</v>
      </c>
      <c r="HG1195" s="19">
        <v>11.1</v>
      </c>
      <c r="HH1195" s="19">
        <v>16.5</v>
      </c>
      <c r="HI1195" s="19">
        <v>19.7</v>
      </c>
      <c r="HJ1195" s="19">
        <v>20.6</v>
      </c>
      <c r="HK1195" s="19">
        <v>18.5</v>
      </c>
      <c r="HL1195" s="19">
        <v>17.5</v>
      </c>
      <c r="HM1195" s="19">
        <v>16.5</v>
      </c>
      <c r="HN1195" s="19">
        <v>18.9</v>
      </c>
      <c r="HO1195" s="19">
        <v>20.6</v>
      </c>
      <c r="HP1195" s="19">
        <v>23</v>
      </c>
      <c r="HQ1195" s="19">
        <v>30.4</v>
      </c>
      <c r="HR1195" s="19">
        <v>29.4</v>
      </c>
      <c r="HS1195" s="19">
        <v>28.4</v>
      </c>
      <c r="HT1195" s="19">
        <v>27.3</v>
      </c>
      <c r="HU1195" s="19">
        <v>47.7</v>
      </c>
      <c r="HV1195" s="19">
        <v>46.7</v>
      </c>
      <c r="HW1195" s="19">
        <v>53.3</v>
      </c>
      <c r="HX1195" s="19">
        <v>52.2</v>
      </c>
      <c r="HY1195" s="19">
        <v>51</v>
      </c>
      <c r="HZ1195" s="19">
        <v>50</v>
      </c>
      <c r="IA1195" s="19">
        <v>49</v>
      </c>
      <c r="IB1195" s="19">
        <v>48</v>
      </c>
    </row>
    <row r="1196">
      <c r="A1196" s="2" t="s">
        <v>5891</v>
      </c>
      <c r="B1196" s="2" t="s">
        <v>773</v>
      </c>
      <c r="C1196" s="2" t="s">
        <v>280</v>
      </c>
      <c r="D1196" s="2" t="s">
        <v>1172</v>
      </c>
      <c r="E1196" s="2" t="s">
        <v>2729</v>
      </c>
      <c r="F1196" s="2" t="s">
        <v>5593</v>
      </c>
      <c r="G1196" s="2" t="s">
        <v>5857</v>
      </c>
      <c r="H1196" s="2" t="s">
        <v>5857</v>
      </c>
      <c r="I1196" s="2" t="s">
        <v>2730</v>
      </c>
      <c r="J1196" s="2" t="s">
        <v>1564</v>
      </c>
      <c r="K1196" s="2" t="s">
        <v>3930</v>
      </c>
      <c r="L1196" s="3">
        <v>14.83</v>
      </c>
      <c r="M1196" s="3">
        <v>15.57</v>
      </c>
      <c r="N1196" s="3">
        <v>31.99</v>
      </c>
      <c r="O1196" s="2" t="s">
        <v>230</v>
      </c>
      <c r="P1196" s="2" t="s">
        <v>231</v>
      </c>
      <c r="Q1196" s="2" t="s">
        <v>232</v>
      </c>
      <c r="R1196" s="2" t="s">
        <v>233</v>
      </c>
      <c r="S1196" s="2" t="s">
        <v>5889</v>
      </c>
      <c r="T1196" s="2" t="s">
        <v>780</v>
      </c>
      <c r="U1196" s="2" t="s">
        <v>233</v>
      </c>
      <c r="V1196" s="2" t="s">
        <v>1268</v>
      </c>
      <c r="W1196" s="2" t="s">
        <v>288</v>
      </c>
      <c r="X1196" s="2" t="s">
        <v>233</v>
      </c>
      <c r="Y1196" s="2" t="s">
        <v>5892</v>
      </c>
      <c r="Z1196" s="4">
        <v>678</v>
      </c>
      <c r="AA1196" s="4">
        <f>=ROUNDDOWN(42.375,0)</f>
      </c>
      <c r="AB1196" s="5">
        <v>16</v>
      </c>
      <c r="AC1196" s="2" t="s">
        <v>147</v>
      </c>
      <c r="AD1196" s="4">
        <v>100</v>
      </c>
      <c r="AE1196" s="4">
        <v>200</v>
      </c>
      <c r="AF1196" s="6">
        <v>64</v>
      </c>
      <c r="AG1196" s="6"/>
      <c r="AH1196" s="7">
        <v>1</v>
      </c>
      <c r="AI1196" s="4"/>
      <c r="AJ1196" s="4">
        <f>=ROUNDDOWN({0},0)</f>
      </c>
      <c r="AK1196" s="5"/>
      <c r="AL1196" s="2" t="s">
        <v>233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233</v>
      </c>
      <c r="AW1196" s="8" t="s">
        <v>233</v>
      </c>
      <c r="AX1196" s="4" t="s">
        <v>233</v>
      </c>
      <c r="AY1196" s="8" t="s">
        <v>233</v>
      </c>
      <c r="AZ1196" s="7" t="s">
        <v>233</v>
      </c>
      <c r="BA1196" s="7" t="s">
        <v>233</v>
      </c>
      <c r="BB1196" s="7"/>
      <c r="BC1196" s="4" t="s">
        <v>233</v>
      </c>
      <c r="BD1196" s="8" t="s">
        <v>233</v>
      </c>
      <c r="BE1196" s="4" t="s">
        <v>233</v>
      </c>
      <c r="BF1196" s="8" t="s">
        <v>233</v>
      </c>
      <c r="BG1196" s="7" t="s">
        <v>233</v>
      </c>
      <c r="BH1196" s="7" t="s">
        <v>233</v>
      </c>
      <c r="BI1196" s="7"/>
      <c r="BJ1196" s="4">
        <v>141</v>
      </c>
      <c r="BK1196" s="8">
        <v>2116.16</v>
      </c>
      <c r="BL1196" s="2" t="s">
        <v>5893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5868</v>
      </c>
      <c r="BV1196" s="2" t="s">
        <v>233</v>
      </c>
      <c r="BW1196" s="2" t="s">
        <v>233</v>
      </c>
      <c r="BX1196" s="2" t="s">
        <v>241</v>
      </c>
      <c r="BY1196" s="2" t="s">
        <v>242</v>
      </c>
      <c r="BZ1196" s="2" t="s">
        <v>230</v>
      </c>
      <c r="CA1196" s="2" t="s">
        <v>5894</v>
      </c>
      <c r="CB1196" s="2" t="s">
        <v>5895</v>
      </c>
      <c r="CC1196" s="2" t="s">
        <v>245</v>
      </c>
      <c r="CD1196" s="2" t="s">
        <v>233</v>
      </c>
      <c r="CE1196" s="4">
        <v>678</v>
      </c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>
        <v>100</v>
      </c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>
        <v>100</v>
      </c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>
        <v>696</v>
      </c>
      <c r="GD1196" s="4">
        <v>580</v>
      </c>
      <c r="GE1196" s="4">
        <v>542</v>
      </c>
      <c r="GF1196" s="4">
        <v>506</v>
      </c>
      <c r="GG1196" s="4">
        <v>527</v>
      </c>
      <c r="GH1196" s="4">
        <v>463</v>
      </c>
      <c r="GI1196" s="4">
        <v>501</v>
      </c>
      <c r="GJ1196" s="4">
        <v>469</v>
      </c>
      <c r="GK1196" s="4">
        <v>453</v>
      </c>
      <c r="GL1196" s="4">
        <v>428</v>
      </c>
      <c r="GM1196" s="4">
        <v>405</v>
      </c>
      <c r="GN1196" s="4">
        <v>382</v>
      </c>
      <c r="GO1196" s="4">
        <v>356</v>
      </c>
      <c r="GP1196" s="4">
        <v>330</v>
      </c>
      <c r="GQ1196" s="4">
        <v>304</v>
      </c>
      <c r="GR1196" s="4">
        <v>285</v>
      </c>
      <c r="GS1196" s="4">
        <v>267</v>
      </c>
      <c r="GT1196" s="4">
        <v>248</v>
      </c>
      <c r="GU1196" s="4">
        <v>230</v>
      </c>
      <c r="GV1196" s="4">
        <v>199</v>
      </c>
      <c r="GW1196" s="4">
        <v>168</v>
      </c>
      <c r="GX1196" s="4">
        <v>137</v>
      </c>
      <c r="GY1196" s="4">
        <v>106</v>
      </c>
      <c r="GZ1196" s="4">
        <v>81</v>
      </c>
      <c r="HA1196" s="4">
        <v>56</v>
      </c>
      <c r="HB1196" s="4">
        <v>33</v>
      </c>
      <c r="HC1196" s="19">
        <v>10.4</v>
      </c>
      <c r="HD1196" s="19">
        <v>10.7</v>
      </c>
      <c r="HE1196" s="19">
        <v>9</v>
      </c>
      <c r="HF1196" s="19">
        <v>8.6</v>
      </c>
      <c r="HG1196" s="19">
        <v>12</v>
      </c>
      <c r="HH1196" s="19">
        <v>13.6</v>
      </c>
      <c r="HI1196" s="19">
        <v>20.9</v>
      </c>
      <c r="HJ1196" s="19">
        <v>21.3</v>
      </c>
      <c r="HK1196" s="19">
        <v>18.9</v>
      </c>
      <c r="HL1196" s="19">
        <v>17.8</v>
      </c>
      <c r="HM1196" s="19">
        <v>16.2</v>
      </c>
      <c r="HN1196" s="19">
        <v>15.9</v>
      </c>
      <c r="HO1196" s="19">
        <v>16.2</v>
      </c>
      <c r="HP1196" s="19">
        <v>16.5</v>
      </c>
      <c r="HQ1196" s="19">
        <v>16.9</v>
      </c>
      <c r="HR1196" s="19">
        <v>13</v>
      </c>
      <c r="HS1196" s="19">
        <v>10.7</v>
      </c>
      <c r="HT1196" s="19">
        <v>8.9</v>
      </c>
      <c r="HU1196" s="19">
        <v>7.4</v>
      </c>
      <c r="HV1196" s="19">
        <v>6.6</v>
      </c>
      <c r="HW1196" s="19">
        <v>6</v>
      </c>
      <c r="HX1196" s="19">
        <v>5.3</v>
      </c>
      <c r="HY1196" s="19">
        <v>4.4</v>
      </c>
      <c r="HZ1196" s="19">
        <v>3.4</v>
      </c>
      <c r="IA1196" s="19">
        <v>2.4</v>
      </c>
      <c r="IB1196" s="19">
        <v>1.4</v>
      </c>
    </row>
    <row r="1197">
      <c r="A1197" s="2" t="s">
        <v>5896</v>
      </c>
      <c r="B1197" s="2" t="s">
        <v>773</v>
      </c>
      <c r="C1197" s="2" t="s">
        <v>280</v>
      </c>
      <c r="D1197" s="2" t="s">
        <v>1442</v>
      </c>
      <c r="E1197" s="2" t="s">
        <v>1443</v>
      </c>
      <c r="F1197" s="2" t="s">
        <v>5593</v>
      </c>
      <c r="G1197" s="2" t="s">
        <v>5857</v>
      </c>
      <c r="H1197" s="2" t="s">
        <v>5857</v>
      </c>
      <c r="I1197" s="2" t="s">
        <v>5222</v>
      </c>
      <c r="J1197" s="2" t="s">
        <v>989</v>
      </c>
      <c r="K1197" s="2" t="s">
        <v>3930</v>
      </c>
      <c r="L1197" s="3">
        <v>15.91</v>
      </c>
      <c r="M1197" s="3">
        <v>16.71</v>
      </c>
      <c r="N1197" s="3">
        <v>36.99</v>
      </c>
      <c r="O1197" s="2" t="s">
        <v>230</v>
      </c>
      <c r="P1197" s="2" t="s">
        <v>231</v>
      </c>
      <c r="Q1197" s="2" t="s">
        <v>232</v>
      </c>
      <c r="R1197" s="2" t="s">
        <v>233</v>
      </c>
      <c r="S1197" s="2" t="s">
        <v>5889</v>
      </c>
      <c r="T1197" s="2" t="s">
        <v>780</v>
      </c>
      <c r="U1197" s="2" t="s">
        <v>233</v>
      </c>
      <c r="V1197" s="2" t="s">
        <v>1268</v>
      </c>
      <c r="W1197" s="2" t="s">
        <v>288</v>
      </c>
      <c r="X1197" s="2" t="s">
        <v>233</v>
      </c>
      <c r="Y1197" s="2" t="s">
        <v>5892</v>
      </c>
      <c r="Z1197" s="4">
        <v>2179</v>
      </c>
      <c r="AA1197" s="4">
        <f>=ROUNDDOWN(116.524064171123,0)</f>
      </c>
      <c r="AB1197" s="5">
        <v>18.7</v>
      </c>
      <c r="AC1197" s="2" t="s">
        <v>147</v>
      </c>
      <c r="AD1197" s="4">
        <v>600</v>
      </c>
      <c r="AE1197" s="4">
        <v>800</v>
      </c>
      <c r="AF1197" s="6">
        <v>64</v>
      </c>
      <c r="AG1197" s="6"/>
      <c r="AH1197" s="7">
        <v>1</v>
      </c>
      <c r="AI1197" s="4"/>
      <c r="AJ1197" s="4">
        <f>=ROUNDDOWN({0},0)</f>
      </c>
      <c r="AK1197" s="5"/>
      <c r="AL1197" s="2" t="s">
        <v>233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233</v>
      </c>
      <c r="AW1197" s="8" t="s">
        <v>233</v>
      </c>
      <c r="AX1197" s="4" t="s">
        <v>233</v>
      </c>
      <c r="AY1197" s="8" t="s">
        <v>233</v>
      </c>
      <c r="AZ1197" s="7" t="s">
        <v>233</v>
      </c>
      <c r="BA1197" s="7" t="s">
        <v>233</v>
      </c>
      <c r="BB1197" s="7"/>
      <c r="BC1197" s="4" t="s">
        <v>233</v>
      </c>
      <c r="BD1197" s="8" t="s">
        <v>233</v>
      </c>
      <c r="BE1197" s="4" t="s">
        <v>233</v>
      </c>
      <c r="BF1197" s="8" t="s">
        <v>233</v>
      </c>
      <c r="BG1197" s="7" t="s">
        <v>233</v>
      </c>
      <c r="BH1197" s="7" t="s">
        <v>233</v>
      </c>
      <c r="BI1197" s="7"/>
      <c r="BJ1197" s="4">
        <v>214</v>
      </c>
      <c r="BK1197" s="8">
        <v>3487.94</v>
      </c>
      <c r="BL1197" s="2" t="s">
        <v>5897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5860</v>
      </c>
      <c r="BV1197" s="2" t="s">
        <v>233</v>
      </c>
      <c r="BW1197" s="2" t="s">
        <v>233</v>
      </c>
      <c r="BX1197" s="2" t="s">
        <v>241</v>
      </c>
      <c r="BY1197" s="2" t="s">
        <v>242</v>
      </c>
      <c r="BZ1197" s="2" t="s">
        <v>230</v>
      </c>
      <c r="CA1197" s="2" t="s">
        <v>5894</v>
      </c>
      <c r="CB1197" s="2" t="s">
        <v>5898</v>
      </c>
      <c r="CC1197" s="2" t="s">
        <v>245</v>
      </c>
      <c r="CD1197" s="2" t="s">
        <v>233</v>
      </c>
      <c r="CE1197" s="4">
        <v>2179</v>
      </c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>
        <v>600</v>
      </c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>
        <v>200</v>
      </c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>
        <v>2203</v>
      </c>
      <c r="GD1197" s="4">
        <v>2106</v>
      </c>
      <c r="GE1197" s="4">
        <v>1905</v>
      </c>
      <c r="GF1197" s="4">
        <v>1677</v>
      </c>
      <c r="GG1197" s="4">
        <v>1743</v>
      </c>
      <c r="GH1197" s="4">
        <v>1588</v>
      </c>
      <c r="GI1197" s="4">
        <v>1572</v>
      </c>
      <c r="GJ1197" s="4">
        <v>1417</v>
      </c>
      <c r="GK1197" s="4">
        <v>1388</v>
      </c>
      <c r="GL1197" s="4">
        <v>1352</v>
      </c>
      <c r="GM1197" s="4">
        <v>1319</v>
      </c>
      <c r="GN1197" s="4">
        <v>1286</v>
      </c>
      <c r="GO1197" s="4">
        <v>1253</v>
      </c>
      <c r="GP1197" s="4">
        <v>1220</v>
      </c>
      <c r="GQ1197" s="4">
        <v>1187</v>
      </c>
      <c r="GR1197" s="4">
        <v>1168</v>
      </c>
      <c r="GS1197" s="4">
        <v>1149</v>
      </c>
      <c r="GT1197" s="4">
        <v>1129</v>
      </c>
      <c r="GU1197" s="4">
        <v>1110</v>
      </c>
      <c r="GV1197" s="4">
        <v>1091</v>
      </c>
      <c r="GW1197" s="4">
        <v>1072</v>
      </c>
      <c r="GX1197" s="4">
        <v>1053</v>
      </c>
      <c r="GY1197" s="4">
        <v>1034</v>
      </c>
      <c r="GZ1197" s="4">
        <v>1015</v>
      </c>
      <c r="HA1197" s="4">
        <v>996</v>
      </c>
      <c r="HB1197" s="4">
        <v>977</v>
      </c>
      <c r="HC1197" s="19">
        <v>8.3</v>
      </c>
      <c r="HD1197" s="19">
        <v>7.5</v>
      </c>
      <c r="HE1197" s="19">
        <v>6.7</v>
      </c>
      <c r="HF1197" s="19">
        <v>6.3</v>
      </c>
      <c r="HG1197" s="19">
        <v>12.5</v>
      </c>
      <c r="HH1197" s="19">
        <v>14.6</v>
      </c>
      <c r="HI1197" s="19">
        <v>25</v>
      </c>
      <c r="HJ1197" s="19">
        <v>42.9</v>
      </c>
      <c r="HK1197" s="19">
        <v>40.8</v>
      </c>
      <c r="HL1197" s="19">
        <v>41</v>
      </c>
      <c r="HM1197" s="19">
        <v>40</v>
      </c>
      <c r="HN1197" s="19">
        <v>42.9</v>
      </c>
      <c r="HO1197" s="19">
        <v>48.2</v>
      </c>
      <c r="HP1197" s="19">
        <v>53</v>
      </c>
      <c r="HQ1197" s="19">
        <v>62.5</v>
      </c>
      <c r="HR1197" s="19">
        <v>61.5</v>
      </c>
      <c r="HS1197" s="19">
        <v>60.5</v>
      </c>
      <c r="HT1197" s="19">
        <v>59.4</v>
      </c>
      <c r="HU1197" s="19">
        <v>58.4</v>
      </c>
      <c r="HV1197" s="19">
        <v>57.4</v>
      </c>
      <c r="HW1197" s="19">
        <v>56.4</v>
      </c>
      <c r="HX1197" s="19">
        <v>55.4</v>
      </c>
      <c r="HY1197" s="19">
        <v>54.4</v>
      </c>
      <c r="HZ1197" s="19">
        <v>53.4</v>
      </c>
      <c r="IA1197" s="19">
        <v>52.4</v>
      </c>
      <c r="IB1197" s="19">
        <v>51.4</v>
      </c>
    </row>
    <row r="1198">
      <c r="A1198" s="2" t="s">
        <v>5899</v>
      </c>
      <c r="B1198" s="2" t="s">
        <v>773</v>
      </c>
      <c r="C1198" s="2" t="s">
        <v>280</v>
      </c>
      <c r="D1198" s="2" t="s">
        <v>1172</v>
      </c>
      <c r="E1198" s="2" t="s">
        <v>2729</v>
      </c>
      <c r="F1198" s="2" t="s">
        <v>5593</v>
      </c>
      <c r="G1198" s="2" t="s">
        <v>5857</v>
      </c>
      <c r="H1198" s="2" t="s">
        <v>5857</v>
      </c>
      <c r="I1198" s="2" t="s">
        <v>2730</v>
      </c>
      <c r="J1198" s="2" t="s">
        <v>1564</v>
      </c>
      <c r="K1198" s="2" t="s">
        <v>5900</v>
      </c>
      <c r="L1198" s="3">
        <v>14.83</v>
      </c>
      <c r="M1198" s="3">
        <v>15.57</v>
      </c>
      <c r="N1198" s="3">
        <v>31.99</v>
      </c>
      <c r="O1198" s="2" t="s">
        <v>230</v>
      </c>
      <c r="P1198" s="2" t="s">
        <v>231</v>
      </c>
      <c r="Q1198" s="2" t="s">
        <v>232</v>
      </c>
      <c r="R1198" s="2" t="s">
        <v>233</v>
      </c>
      <c r="S1198" s="2" t="s">
        <v>5901</v>
      </c>
      <c r="T1198" s="2" t="s">
        <v>780</v>
      </c>
      <c r="U1198" s="2" t="s">
        <v>329</v>
      </c>
      <c r="V1198" s="2" t="s">
        <v>1268</v>
      </c>
      <c r="W1198" s="2" t="s">
        <v>288</v>
      </c>
      <c r="X1198" s="2" t="s">
        <v>233</v>
      </c>
      <c r="Y1198" s="2" t="s">
        <v>1697</v>
      </c>
      <c r="Z1198" s="4">
        <v>531</v>
      </c>
      <c r="AA1198" s="4">
        <f>=ROUNDDOWN(31.2352941176471,0)</f>
      </c>
      <c r="AB1198" s="5">
        <v>17</v>
      </c>
      <c r="AC1198" s="2" t="s">
        <v>135</v>
      </c>
      <c r="AD1198" s="4">
        <v>400</v>
      </c>
      <c r="AE1198" s="4">
        <v>400</v>
      </c>
      <c r="AF1198" s="6">
        <v>64</v>
      </c>
      <c r="AG1198" s="6"/>
      <c r="AH1198" s="7">
        <v>1</v>
      </c>
      <c r="AI1198" s="4"/>
      <c r="AJ1198" s="4">
        <f>=ROUNDDOWN({0},0)</f>
      </c>
      <c r="AK1198" s="5"/>
      <c r="AL1198" s="2" t="s">
        <v>233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 t="s">
        <v>233</v>
      </c>
      <c r="BD1198" s="8" t="s">
        <v>233</v>
      </c>
      <c r="BE1198" s="4" t="s">
        <v>233</v>
      </c>
      <c r="BF1198" s="8" t="s">
        <v>233</v>
      </c>
      <c r="BG1198" s="7" t="s">
        <v>233</v>
      </c>
      <c r="BH1198" s="7" t="s">
        <v>233</v>
      </c>
      <c r="BI1198" s="7"/>
      <c r="BJ1198" s="4">
        <v>60</v>
      </c>
      <c r="BK1198" s="8">
        <v>907.16</v>
      </c>
      <c r="BL1198" s="2" t="s">
        <v>5902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5868</v>
      </c>
      <c r="BV1198" s="2" t="s">
        <v>233</v>
      </c>
      <c r="BW1198" s="2" t="s">
        <v>233</v>
      </c>
      <c r="BX1198" s="2" t="s">
        <v>241</v>
      </c>
      <c r="BY1198" s="2" t="s">
        <v>242</v>
      </c>
      <c r="BZ1198" s="2" t="s">
        <v>230</v>
      </c>
      <c r="CA1198" s="2" t="s">
        <v>2896</v>
      </c>
      <c r="CB1198" s="2" t="s">
        <v>5903</v>
      </c>
      <c r="CC1198" s="2" t="s">
        <v>245</v>
      </c>
      <c r="CD1198" s="2" t="s">
        <v>233</v>
      </c>
      <c r="CE1198" s="4">
        <v>453</v>
      </c>
      <c r="CF1198" s="4">
        <v>78</v>
      </c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>
        <v>400</v>
      </c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>
        <v>550</v>
      </c>
      <c r="GD1198" s="4">
        <v>838</v>
      </c>
      <c r="GE1198" s="4">
        <v>798</v>
      </c>
      <c r="GF1198" s="4">
        <v>759</v>
      </c>
      <c r="GG1198" s="4">
        <v>674</v>
      </c>
      <c r="GH1198" s="4">
        <v>606</v>
      </c>
      <c r="GI1198" s="4">
        <v>539</v>
      </c>
      <c r="GJ1198" s="4">
        <v>505</v>
      </c>
      <c r="GK1198" s="4">
        <v>488</v>
      </c>
      <c r="GL1198" s="4">
        <v>461</v>
      </c>
      <c r="GM1198" s="4">
        <v>437</v>
      </c>
      <c r="GN1198" s="4">
        <v>413</v>
      </c>
      <c r="GO1198" s="4">
        <v>386</v>
      </c>
      <c r="GP1198" s="4">
        <v>359</v>
      </c>
      <c r="GQ1198" s="4">
        <v>332</v>
      </c>
      <c r="GR1198" s="4">
        <v>312</v>
      </c>
      <c r="GS1198" s="4">
        <v>293</v>
      </c>
      <c r="GT1198" s="4">
        <v>273</v>
      </c>
      <c r="GU1198" s="4">
        <v>254</v>
      </c>
      <c r="GV1198" s="4">
        <v>221</v>
      </c>
      <c r="GW1198" s="4">
        <v>188</v>
      </c>
      <c r="GX1198" s="4">
        <v>155</v>
      </c>
      <c r="GY1198" s="4">
        <v>122</v>
      </c>
      <c r="GZ1198" s="4">
        <v>96</v>
      </c>
      <c r="HA1198" s="4">
        <v>70</v>
      </c>
      <c r="HB1198" s="4">
        <v>46</v>
      </c>
      <c r="HC1198" s="19">
        <v>8</v>
      </c>
      <c r="HD1198" s="19">
        <v>14.4</v>
      </c>
      <c r="HE1198" s="19">
        <v>12.3</v>
      </c>
      <c r="HF1198" s="19">
        <v>11.9</v>
      </c>
      <c r="HG1198" s="19">
        <v>14.7</v>
      </c>
      <c r="HH1198" s="19">
        <v>16.8</v>
      </c>
      <c r="HI1198" s="19">
        <v>20.7</v>
      </c>
      <c r="HJ1198" s="19">
        <v>22</v>
      </c>
      <c r="HK1198" s="19">
        <v>18.8</v>
      </c>
      <c r="HL1198" s="19">
        <v>17.7</v>
      </c>
      <c r="HM1198" s="19">
        <v>16.8</v>
      </c>
      <c r="HN1198" s="19">
        <v>16.5</v>
      </c>
      <c r="HO1198" s="19">
        <v>16.8</v>
      </c>
      <c r="HP1198" s="19">
        <v>16.3</v>
      </c>
      <c r="HQ1198" s="19">
        <v>16.6</v>
      </c>
      <c r="HR1198" s="19">
        <v>13.6</v>
      </c>
      <c r="HS1198" s="19">
        <v>11.3</v>
      </c>
      <c r="HT1198" s="19">
        <v>9.1</v>
      </c>
      <c r="HU1198" s="19">
        <v>7.7</v>
      </c>
      <c r="HV1198" s="19">
        <v>7.1</v>
      </c>
      <c r="HW1198" s="19">
        <v>6.3</v>
      </c>
      <c r="HX1198" s="19">
        <v>5.7</v>
      </c>
      <c r="HY1198" s="19">
        <v>4.9</v>
      </c>
      <c r="HZ1198" s="19">
        <v>4</v>
      </c>
      <c r="IA1198" s="19">
        <v>2.9</v>
      </c>
      <c r="IB1198" s="19">
        <v>1.9</v>
      </c>
    </row>
    <row r="1199">
      <c r="A1199" s="2" t="s">
        <v>5904</v>
      </c>
      <c r="B1199" s="2" t="s">
        <v>773</v>
      </c>
      <c r="C1199" s="2" t="s">
        <v>280</v>
      </c>
      <c r="D1199" s="2" t="s">
        <v>261</v>
      </c>
      <c r="E1199" s="2" t="s">
        <v>603</v>
      </c>
      <c r="F1199" s="2" t="s">
        <v>5593</v>
      </c>
      <c r="G1199" s="2" t="s">
        <v>5857</v>
      </c>
      <c r="H1199" s="2" t="s">
        <v>5857</v>
      </c>
      <c r="I1199" s="2" t="s">
        <v>5871</v>
      </c>
      <c r="J1199" s="2" t="s">
        <v>265</v>
      </c>
      <c r="K1199" s="2" t="s">
        <v>1014</v>
      </c>
      <c r="L1199" s="3">
        <v>49.68</v>
      </c>
      <c r="M1199" s="3">
        <v>52.16</v>
      </c>
      <c r="N1199" s="3">
        <v>109.99</v>
      </c>
      <c r="O1199" s="2" t="s">
        <v>230</v>
      </c>
      <c r="P1199" s="2" t="s">
        <v>231</v>
      </c>
      <c r="Q1199" s="2" t="s">
        <v>232</v>
      </c>
      <c r="R1199" s="2" t="s">
        <v>233</v>
      </c>
      <c r="S1199" s="2" t="s">
        <v>5905</v>
      </c>
      <c r="T1199" s="2" t="s">
        <v>780</v>
      </c>
      <c r="U1199" s="2" t="s">
        <v>233</v>
      </c>
      <c r="V1199" s="2" t="s">
        <v>1268</v>
      </c>
      <c r="W1199" s="2" t="s">
        <v>288</v>
      </c>
      <c r="X1199" s="2" t="s">
        <v>1214</v>
      </c>
      <c r="Y1199" s="2" t="s">
        <v>238</v>
      </c>
      <c r="Z1199" s="4">
        <v>356</v>
      </c>
      <c r="AA1199" s="4">
        <f>=ROUNDDOWN(89,0)</f>
      </c>
      <c r="AB1199" s="5">
        <v>4</v>
      </c>
      <c r="AC1199" s="2" t="s">
        <v>233</v>
      </c>
      <c r="AD1199" s="4"/>
      <c r="AE1199" s="4"/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233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233</v>
      </c>
      <c r="AW1199" s="8" t="s">
        <v>233</v>
      </c>
      <c r="AX1199" s="4" t="s">
        <v>233</v>
      </c>
      <c r="AY1199" s="8" t="s">
        <v>233</v>
      </c>
      <c r="AZ1199" s="7" t="s">
        <v>233</v>
      </c>
      <c r="BA1199" s="7" t="s">
        <v>233</v>
      </c>
      <c r="BB1199" s="7"/>
      <c r="BC1199" s="4" t="s">
        <v>233</v>
      </c>
      <c r="BD1199" s="8" t="s">
        <v>233</v>
      </c>
      <c r="BE1199" s="4" t="s">
        <v>233</v>
      </c>
      <c r="BF1199" s="8" t="s">
        <v>233</v>
      </c>
      <c r="BG1199" s="7" t="s">
        <v>233</v>
      </c>
      <c r="BH1199" s="7" t="s">
        <v>233</v>
      </c>
      <c r="BI1199" s="7"/>
      <c r="BJ1199" s="4">
        <v>29</v>
      </c>
      <c r="BK1199" s="8">
        <v>1536.91</v>
      </c>
      <c r="BL1199" s="2" t="s">
        <v>5906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5874</v>
      </c>
      <c r="BV1199" s="2" t="s">
        <v>233</v>
      </c>
      <c r="BW1199" s="2" t="s">
        <v>233</v>
      </c>
      <c r="BX1199" s="2" t="s">
        <v>2938</v>
      </c>
      <c r="BY1199" s="2" t="s">
        <v>242</v>
      </c>
      <c r="BZ1199" s="2" t="s">
        <v>230</v>
      </c>
      <c r="CA1199" s="2" t="s">
        <v>5827</v>
      </c>
      <c r="CB1199" s="2" t="s">
        <v>2221</v>
      </c>
      <c r="CC1199" s="2" t="s">
        <v>245</v>
      </c>
      <c r="CD1199" s="2" t="s">
        <v>233</v>
      </c>
      <c r="CE1199" s="4">
        <v>352</v>
      </c>
      <c r="CF1199" s="4"/>
      <c r="CG1199" s="4"/>
      <c r="CH1199" s="4"/>
      <c r="CI1199" s="4"/>
      <c r="CJ1199" s="4"/>
      <c r="CK1199" s="4">
        <v>4</v>
      </c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>
        <v>367</v>
      </c>
      <c r="GD1199" s="4">
        <v>333</v>
      </c>
      <c r="GE1199" s="4">
        <v>320</v>
      </c>
      <c r="GF1199" s="4">
        <v>306</v>
      </c>
      <c r="GG1199" s="4">
        <v>279</v>
      </c>
      <c r="GH1199" s="4">
        <v>258</v>
      </c>
      <c r="GI1199" s="4">
        <v>236</v>
      </c>
      <c r="GJ1199" s="4">
        <v>222</v>
      </c>
      <c r="GK1199" s="4">
        <v>214</v>
      </c>
      <c r="GL1199" s="4">
        <v>205</v>
      </c>
      <c r="GM1199" s="4">
        <v>196</v>
      </c>
      <c r="GN1199" s="4">
        <v>187</v>
      </c>
      <c r="GO1199" s="4">
        <v>178</v>
      </c>
      <c r="GP1199" s="4">
        <v>169</v>
      </c>
      <c r="GQ1199" s="4">
        <v>160</v>
      </c>
      <c r="GR1199" s="4">
        <v>156</v>
      </c>
      <c r="GS1199" s="4">
        <v>152</v>
      </c>
      <c r="GT1199" s="4">
        <v>148</v>
      </c>
      <c r="GU1199" s="4">
        <v>144</v>
      </c>
      <c r="GV1199" s="4">
        <v>140</v>
      </c>
      <c r="GW1199" s="4">
        <v>136</v>
      </c>
      <c r="GX1199" s="4">
        <v>132</v>
      </c>
      <c r="GY1199" s="4">
        <v>128</v>
      </c>
      <c r="GZ1199" s="4">
        <v>124</v>
      </c>
      <c r="HA1199" s="4">
        <v>120</v>
      </c>
      <c r="HB1199" s="4">
        <v>116</v>
      </c>
      <c r="HC1199" s="19">
        <v>16.7</v>
      </c>
      <c r="HD1199" s="19">
        <v>17.5</v>
      </c>
      <c r="HE1199" s="19">
        <v>15.2</v>
      </c>
      <c r="HF1199" s="19">
        <v>14.6</v>
      </c>
      <c r="HG1199" s="19">
        <v>17.4</v>
      </c>
      <c r="HH1199" s="19">
        <v>19.8</v>
      </c>
      <c r="HI1199" s="19">
        <v>23.6</v>
      </c>
      <c r="HJ1199" s="19">
        <v>24.7</v>
      </c>
      <c r="HK1199" s="19">
        <v>23.8</v>
      </c>
      <c r="HL1199" s="19">
        <v>22.8</v>
      </c>
      <c r="HM1199" s="19">
        <v>21.8</v>
      </c>
      <c r="HN1199" s="19">
        <v>23.4</v>
      </c>
      <c r="HO1199" s="19">
        <v>29.7</v>
      </c>
      <c r="HP1199" s="19">
        <v>33.8</v>
      </c>
      <c r="HQ1199" s="19">
        <v>40</v>
      </c>
      <c r="HR1199" s="19">
        <v>39</v>
      </c>
      <c r="HS1199" s="19">
        <v>38</v>
      </c>
      <c r="HT1199" s="19">
        <v>37</v>
      </c>
      <c r="HU1199" s="19">
        <v>36</v>
      </c>
      <c r="HV1199" s="19">
        <v>35</v>
      </c>
      <c r="HW1199" s="19">
        <v>34</v>
      </c>
      <c r="HX1199" s="19">
        <v>33</v>
      </c>
      <c r="HY1199" s="19">
        <v>32</v>
      </c>
      <c r="HZ1199" s="19">
        <v>31</v>
      </c>
      <c r="IA1199" s="19">
        <v>30</v>
      </c>
      <c r="IB1199" s="19">
        <v>29</v>
      </c>
    </row>
    <row r="1200">
      <c r="A1200" s="2" t="s">
        <v>5907</v>
      </c>
      <c r="B1200" s="2" t="s">
        <v>773</v>
      </c>
      <c r="C1200" s="2" t="s">
        <v>280</v>
      </c>
      <c r="D1200" s="2" t="s">
        <v>261</v>
      </c>
      <c r="E1200" s="2" t="s">
        <v>603</v>
      </c>
      <c r="F1200" s="2" t="s">
        <v>5593</v>
      </c>
      <c r="G1200" s="2" t="s">
        <v>5857</v>
      </c>
      <c r="H1200" s="2" t="s">
        <v>5857</v>
      </c>
      <c r="I1200" s="2" t="s">
        <v>5871</v>
      </c>
      <c r="J1200" s="2" t="s">
        <v>256</v>
      </c>
      <c r="K1200" s="2" t="s">
        <v>1014</v>
      </c>
      <c r="L1200" s="3">
        <v>57.13</v>
      </c>
      <c r="M1200" s="3">
        <v>59.99</v>
      </c>
      <c r="N1200" s="3">
        <v>124.99</v>
      </c>
      <c r="O1200" s="2" t="s">
        <v>230</v>
      </c>
      <c r="P1200" s="2" t="s">
        <v>231</v>
      </c>
      <c r="Q1200" s="2" t="s">
        <v>232</v>
      </c>
      <c r="R1200" s="2" t="s">
        <v>233</v>
      </c>
      <c r="S1200" s="2" t="s">
        <v>5905</v>
      </c>
      <c r="T1200" s="2" t="s">
        <v>780</v>
      </c>
      <c r="U1200" s="2" t="s">
        <v>287</v>
      </c>
      <c r="V1200" s="2" t="s">
        <v>1268</v>
      </c>
      <c r="W1200" s="2" t="s">
        <v>288</v>
      </c>
      <c r="X1200" s="2" t="s">
        <v>1214</v>
      </c>
      <c r="Y1200" s="2" t="s">
        <v>238</v>
      </c>
      <c r="Z1200" s="4">
        <v>495</v>
      </c>
      <c r="AA1200" s="4">
        <f>=ROUNDDOWN(55,0)</f>
      </c>
      <c r="AB1200" s="5">
        <v>9</v>
      </c>
      <c r="AC1200" s="2" t="s">
        <v>746</v>
      </c>
      <c r="AD1200" s="4">
        <v>100</v>
      </c>
      <c r="AE1200" s="4">
        <v>100</v>
      </c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233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233</v>
      </c>
      <c r="AW1200" s="8" t="s">
        <v>233</v>
      </c>
      <c r="AX1200" s="4" t="s">
        <v>233</v>
      </c>
      <c r="AY1200" s="8" t="s">
        <v>233</v>
      </c>
      <c r="AZ1200" s="7" t="s">
        <v>233</v>
      </c>
      <c r="BA1200" s="7" t="s">
        <v>233</v>
      </c>
      <c r="BB1200" s="7"/>
      <c r="BC1200" s="4" t="s">
        <v>233</v>
      </c>
      <c r="BD1200" s="8" t="s">
        <v>233</v>
      </c>
      <c r="BE1200" s="4" t="s">
        <v>233</v>
      </c>
      <c r="BF1200" s="8" t="s">
        <v>233</v>
      </c>
      <c r="BG1200" s="7" t="s">
        <v>233</v>
      </c>
      <c r="BH1200" s="7" t="s">
        <v>233</v>
      </c>
      <c r="BI1200" s="7"/>
      <c r="BJ1200" s="4">
        <v>78</v>
      </c>
      <c r="BK1200" s="8">
        <v>4639.81</v>
      </c>
      <c r="BL1200" s="2" t="s">
        <v>5908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5874</v>
      </c>
      <c r="BV1200" s="2" t="s">
        <v>233</v>
      </c>
      <c r="BW1200" s="2" t="s">
        <v>233</v>
      </c>
      <c r="BX1200" s="2" t="s">
        <v>2938</v>
      </c>
      <c r="BY1200" s="2" t="s">
        <v>242</v>
      </c>
      <c r="BZ1200" s="2" t="s">
        <v>230</v>
      </c>
      <c r="CA1200" s="2" t="s">
        <v>5827</v>
      </c>
      <c r="CB1200" s="2" t="s">
        <v>993</v>
      </c>
      <c r="CC1200" s="2" t="s">
        <v>245</v>
      </c>
      <c r="CD1200" s="2" t="s">
        <v>233</v>
      </c>
      <c r="CE1200" s="4">
        <v>495</v>
      </c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>
        <v>100</v>
      </c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>
        <v>523</v>
      </c>
      <c r="GD1200" s="4">
        <v>452</v>
      </c>
      <c r="GE1200" s="4">
        <v>425</v>
      </c>
      <c r="GF1200" s="4">
        <v>395</v>
      </c>
      <c r="GG1200" s="4">
        <v>337</v>
      </c>
      <c r="GH1200" s="4">
        <v>389</v>
      </c>
      <c r="GI1200" s="4">
        <v>340</v>
      </c>
      <c r="GJ1200" s="4">
        <v>309</v>
      </c>
      <c r="GK1200" s="4">
        <v>291</v>
      </c>
      <c r="GL1200" s="4">
        <v>271</v>
      </c>
      <c r="GM1200" s="4">
        <v>251</v>
      </c>
      <c r="GN1200" s="4">
        <v>231</v>
      </c>
      <c r="GO1200" s="4">
        <v>211</v>
      </c>
      <c r="GP1200" s="4">
        <v>191</v>
      </c>
      <c r="GQ1200" s="4">
        <v>171</v>
      </c>
      <c r="GR1200" s="4">
        <v>162</v>
      </c>
      <c r="GS1200" s="4">
        <v>153</v>
      </c>
      <c r="GT1200" s="4">
        <v>143</v>
      </c>
      <c r="GU1200" s="4">
        <v>134</v>
      </c>
      <c r="GV1200" s="4">
        <v>125</v>
      </c>
      <c r="GW1200" s="4">
        <v>116</v>
      </c>
      <c r="GX1200" s="4">
        <v>108</v>
      </c>
      <c r="GY1200" s="4">
        <v>100</v>
      </c>
      <c r="GZ1200" s="4">
        <v>93</v>
      </c>
      <c r="HA1200" s="4">
        <v>85</v>
      </c>
      <c r="HB1200" s="4">
        <v>78</v>
      </c>
      <c r="HC1200" s="19">
        <v>11.4</v>
      </c>
      <c r="HD1200" s="19">
        <v>11</v>
      </c>
      <c r="HE1200" s="19">
        <v>9.2</v>
      </c>
      <c r="HF1200" s="19">
        <v>8.6</v>
      </c>
      <c r="HG1200" s="19">
        <v>9.4</v>
      </c>
      <c r="HH1200" s="19">
        <v>13</v>
      </c>
      <c r="HI1200" s="19">
        <v>15.5</v>
      </c>
      <c r="HJ1200" s="19">
        <v>15.5</v>
      </c>
      <c r="HK1200" s="19">
        <v>14.6</v>
      </c>
      <c r="HL1200" s="19">
        <v>13.6</v>
      </c>
      <c r="HM1200" s="19">
        <v>12.6</v>
      </c>
      <c r="HN1200" s="19">
        <v>13.6</v>
      </c>
      <c r="HO1200" s="19">
        <v>15.1</v>
      </c>
      <c r="HP1200" s="19">
        <v>15.9</v>
      </c>
      <c r="HQ1200" s="19">
        <v>19</v>
      </c>
      <c r="HR1200" s="19">
        <v>18</v>
      </c>
      <c r="HS1200" s="19">
        <v>17</v>
      </c>
      <c r="HT1200" s="19">
        <v>15.9</v>
      </c>
      <c r="HU1200" s="19">
        <v>16.8</v>
      </c>
      <c r="HV1200" s="19">
        <v>15.6</v>
      </c>
      <c r="HW1200" s="19">
        <v>14.5</v>
      </c>
      <c r="HX1200" s="19">
        <v>13.5</v>
      </c>
      <c r="HY1200" s="19">
        <v>14.3</v>
      </c>
      <c r="HZ1200" s="19">
        <v>13.3</v>
      </c>
      <c r="IA1200" s="19">
        <v>12.1</v>
      </c>
      <c r="IB1200" s="19">
        <v>11.1</v>
      </c>
    </row>
    <row r="1201">
      <c r="A1201" s="18" t="s">
        <v>5909</v>
      </c>
      <c r="B1201" s="10" t="s">
        <v>233</v>
      </c>
      <c r="C1201" s="10" t="s">
        <v>233</v>
      </c>
      <c r="D1201" s="10" t="s">
        <v>233</v>
      </c>
      <c r="E1201" s="10" t="s">
        <v>233</v>
      </c>
      <c r="F1201" s="10" t="s">
        <v>233</v>
      </c>
      <c r="G1201" s="10" t="s">
        <v>233</v>
      </c>
      <c r="H1201" s="10" t="s">
        <v>233</v>
      </c>
      <c r="I1201" s="10" t="s">
        <v>233</v>
      </c>
      <c r="J1201" s="10" t="s">
        <v>233</v>
      </c>
      <c r="K1201" s="10" t="s">
        <v>233</v>
      </c>
      <c r="L1201" s="11"/>
      <c r="M1201" s="11"/>
      <c r="N1201" s="11"/>
      <c r="O1201" s="10" t="s">
        <v>233</v>
      </c>
      <c r="P1201" s="10" t="s">
        <v>233</v>
      </c>
      <c r="Q1201" s="10" t="s">
        <v>233</v>
      </c>
      <c r="R1201" s="10" t="s">
        <v>233</v>
      </c>
      <c r="S1201" s="10" t="s">
        <v>233</v>
      </c>
      <c r="T1201" s="10" t="s">
        <v>233</v>
      </c>
      <c r="U1201" s="10" t="s">
        <v>233</v>
      </c>
      <c r="V1201" s="10" t="s">
        <v>233</v>
      </c>
      <c r="W1201" s="10" t="s">
        <v>233</v>
      </c>
      <c r="X1201" s="10" t="s">
        <v>233</v>
      </c>
      <c r="Y1201" s="10" t="s">
        <v>233</v>
      </c>
      <c r="Z1201" s="12">
        <v>397204</v>
      </c>
      <c r="AA1201" s="12">
        <f>=ROUNDDOWN({0},0)</f>
      </c>
      <c r="AB1201" s="13">
        <v>13125</v>
      </c>
      <c r="AC1201" s="10" t="s">
        <v>233</v>
      </c>
      <c r="AD1201" s="12"/>
      <c r="AE1201" s="12">
        <v>277727</v>
      </c>
      <c r="AF1201" s="14"/>
      <c r="AG1201" s="14"/>
      <c r="AH1201" s="15"/>
      <c r="AI1201" s="12"/>
      <c r="AJ1201" s="12">
        <f>=ROUNDDOWN({0},0)</f>
      </c>
      <c r="AK1201" s="13"/>
      <c r="AL1201" s="10" t="s">
        <v>233</v>
      </c>
      <c r="AM1201" s="12"/>
      <c r="AN1201" s="12"/>
      <c r="AO1201" s="15"/>
      <c r="AP1201" s="12"/>
      <c r="AQ1201" s="16"/>
      <c r="AR1201" s="12"/>
      <c r="AS1201" s="16"/>
      <c r="AT1201" s="15"/>
      <c r="AU1201" s="15"/>
      <c r="AV1201" s="12"/>
      <c r="AW1201" s="16"/>
      <c r="AX1201" s="12"/>
      <c r="AY1201" s="16"/>
      <c r="AZ1201" s="15"/>
      <c r="BA1201" s="15"/>
      <c r="BB1201" s="15"/>
      <c r="BC1201" s="12"/>
      <c r="BD1201" s="16"/>
      <c r="BE1201" s="12"/>
      <c r="BF1201" s="16"/>
      <c r="BG1201" s="15"/>
      <c r="BH1201" s="15"/>
      <c r="BI1201" s="15"/>
      <c r="BJ1201" s="12"/>
      <c r="BK1201" s="16"/>
      <c r="BL1201" s="10" t="s">
        <v>233</v>
      </c>
      <c r="BM1201" s="15"/>
      <c r="BN1201" s="15"/>
      <c r="BO1201" s="12"/>
      <c r="BP1201" s="16"/>
      <c r="BQ1201" s="12"/>
      <c r="BR1201" s="16"/>
      <c r="BS1201" s="15"/>
      <c r="BT1201" s="15"/>
      <c r="BU1201" s="10" t="s">
        <v>233</v>
      </c>
      <c r="BV1201" s="10" t="s">
        <v>233</v>
      </c>
      <c r="BW1201" s="10" t="s">
        <v>233</v>
      </c>
      <c r="BX1201" s="10" t="s">
        <v>233</v>
      </c>
      <c r="BY1201" s="10" t="s">
        <v>233</v>
      </c>
      <c r="BZ1201" s="10" t="s">
        <v>233</v>
      </c>
      <c r="CA1201" s="10" t="s">
        <v>233</v>
      </c>
      <c r="CB1201" s="10" t="s">
        <v>233</v>
      </c>
      <c r="CC1201" s="10" t="s">
        <v>233</v>
      </c>
      <c r="CD1201" s="10" t="s">
        <v>233</v>
      </c>
      <c r="CE1201" s="12">
        <v>278301</v>
      </c>
      <c r="CF1201" s="12">
        <v>70367</v>
      </c>
      <c r="CG1201" s="12"/>
      <c r="CH1201" s="12">
        <v>39720</v>
      </c>
      <c r="CI1201" s="12"/>
      <c r="CJ1201" s="12"/>
      <c r="CK1201" s="12">
        <v>2488</v>
      </c>
      <c r="CL1201" s="12">
        <v>3831</v>
      </c>
      <c r="CM1201" s="12"/>
      <c r="CN1201" s="12"/>
      <c r="CO1201" s="12">
        <v>2497</v>
      </c>
      <c r="CP1201" s="12"/>
      <c r="CQ1201" s="12"/>
      <c r="CR1201" s="12"/>
      <c r="CS1201" s="12">
        <v>11088</v>
      </c>
      <c r="CT1201" s="12">
        <v>1174</v>
      </c>
      <c r="CU1201" s="12">
        <v>7615</v>
      </c>
      <c r="CV1201" s="12">
        <v>1366</v>
      </c>
      <c r="CW1201" s="12">
        <v>8953</v>
      </c>
      <c r="CX1201" s="12">
        <v>24409</v>
      </c>
      <c r="CY1201" s="12">
        <v>480</v>
      </c>
      <c r="CZ1201" s="12">
        <v>1894</v>
      </c>
      <c r="DA1201" s="12">
        <v>7525</v>
      </c>
      <c r="DB1201" s="12">
        <v>28373</v>
      </c>
      <c r="DC1201" s="12">
        <v>3140</v>
      </c>
      <c r="DD1201" s="12">
        <v>1900</v>
      </c>
      <c r="DE1201" s="12">
        <v>578</v>
      </c>
      <c r="DF1201" s="12">
        <v>524</v>
      </c>
      <c r="DG1201" s="12">
        <v>9087</v>
      </c>
      <c r="DH1201" s="12">
        <v>3762</v>
      </c>
      <c r="DI1201" s="12">
        <v>4032</v>
      </c>
      <c r="DJ1201" s="12">
        <v>884</v>
      </c>
      <c r="DK1201" s="12">
        <v>3043</v>
      </c>
      <c r="DL1201" s="12">
        <v>929</v>
      </c>
      <c r="DM1201" s="12">
        <v>1078</v>
      </c>
      <c r="DN1201" s="12">
        <v>2455</v>
      </c>
      <c r="DO1201" s="12">
        <v>11203</v>
      </c>
      <c r="DP1201" s="12">
        <v>11378</v>
      </c>
      <c r="DQ1201" s="12">
        <v>299</v>
      </c>
      <c r="DR1201" s="12">
        <v>9696</v>
      </c>
      <c r="DS1201" s="12">
        <v>3929</v>
      </c>
      <c r="DT1201" s="12">
        <v>1915</v>
      </c>
      <c r="DU1201" s="12">
        <v>2925</v>
      </c>
      <c r="DV1201" s="12">
        <v>7401</v>
      </c>
      <c r="DW1201" s="12">
        <v>3734</v>
      </c>
      <c r="DX1201" s="12">
        <v>160</v>
      </c>
      <c r="DY1201" s="12">
        <v>13572</v>
      </c>
      <c r="DZ1201" s="12">
        <v>800</v>
      </c>
      <c r="EA1201" s="12">
        <v>350</v>
      </c>
      <c r="EB1201" s="12">
        <v>2020</v>
      </c>
      <c r="EC1201" s="12">
        <v>580</v>
      </c>
      <c r="ED1201" s="12">
        <v>3413</v>
      </c>
      <c r="EE1201" s="12">
        <v>218</v>
      </c>
      <c r="EF1201" s="12">
        <v>417</v>
      </c>
      <c r="EG1201" s="12">
        <v>715</v>
      </c>
      <c r="EH1201" s="12">
        <v>1654</v>
      </c>
      <c r="EI1201" s="12">
        <v>1776</v>
      </c>
      <c r="EJ1201" s="12">
        <v>2029</v>
      </c>
      <c r="EK1201" s="12">
        <v>200</v>
      </c>
      <c r="EL1201" s="12">
        <v>3481</v>
      </c>
      <c r="EM1201" s="12">
        <v>2593</v>
      </c>
      <c r="EN1201" s="12">
        <v>580</v>
      </c>
      <c r="EO1201" s="12">
        <v>252</v>
      </c>
      <c r="EP1201" s="12">
        <v>270</v>
      </c>
      <c r="EQ1201" s="12">
        <v>1795</v>
      </c>
      <c r="ER1201" s="12">
        <v>320</v>
      </c>
      <c r="ES1201" s="12">
        <v>30</v>
      </c>
      <c r="ET1201" s="12">
        <v>1300</v>
      </c>
      <c r="EU1201" s="12">
        <v>1410</v>
      </c>
      <c r="EV1201" s="12">
        <v>2850</v>
      </c>
      <c r="EW1201" s="12">
        <v>590</v>
      </c>
      <c r="EX1201" s="12">
        <v>794</v>
      </c>
      <c r="EY1201" s="12">
        <v>200</v>
      </c>
      <c r="EZ1201" s="12">
        <v>1724</v>
      </c>
      <c r="FA1201" s="12">
        <v>2690</v>
      </c>
      <c r="FB1201" s="12">
        <v>50</v>
      </c>
      <c r="FC1201" s="12">
        <v>110</v>
      </c>
      <c r="FD1201" s="12">
        <v>6983</v>
      </c>
      <c r="FE1201" s="12">
        <v>385</v>
      </c>
      <c r="FF1201" s="12">
        <v>8</v>
      </c>
      <c r="FG1201" s="12">
        <v>3088</v>
      </c>
      <c r="FH1201" s="12">
        <v>550</v>
      </c>
      <c r="FI1201" s="12">
        <v>560</v>
      </c>
      <c r="FJ1201" s="12">
        <v>7774</v>
      </c>
      <c r="FK1201" s="12">
        <v>190</v>
      </c>
      <c r="FL1201" s="12">
        <v>840</v>
      </c>
      <c r="FM1201" s="12">
        <v>183</v>
      </c>
      <c r="FN1201" s="12">
        <v>8475</v>
      </c>
      <c r="FO1201" s="12">
        <v>87</v>
      </c>
      <c r="FP1201" s="12">
        <v>694</v>
      </c>
      <c r="FQ1201" s="12">
        <v>6545</v>
      </c>
      <c r="FR1201" s="12">
        <v>170</v>
      </c>
      <c r="FS1201" s="12">
        <v>556</v>
      </c>
      <c r="FT1201" s="12">
        <v>1820</v>
      </c>
      <c r="FU1201" s="12">
        <v>2472</v>
      </c>
      <c r="FV1201" s="12">
        <v>180</v>
      </c>
      <c r="FW1201" s="12">
        <v>3422</v>
      </c>
      <c r="FX1201" s="12">
        <v>160</v>
      </c>
      <c r="FY1201" s="12">
        <v>1648</v>
      </c>
      <c r="FZ1201" s="12">
        <v>50</v>
      </c>
      <c r="GA1201" s="12">
        <v>4561</v>
      </c>
      <c r="GB1201" s="12">
        <v>614</v>
      </c>
      <c r="GC1201" s="12">
        <v>408085</v>
      </c>
      <c r="GD1201" s="12">
        <v>379247</v>
      </c>
      <c r="GE1201" s="12">
        <v>393992</v>
      </c>
      <c r="GF1201" s="12">
        <v>389029</v>
      </c>
      <c r="GG1201" s="12">
        <v>373582</v>
      </c>
      <c r="GH1201" s="12">
        <v>383464</v>
      </c>
      <c r="GI1201" s="12">
        <v>372154</v>
      </c>
      <c r="GJ1201" s="12">
        <v>360429</v>
      </c>
      <c r="GK1201" s="12">
        <v>358438</v>
      </c>
      <c r="GL1201" s="12">
        <v>347347</v>
      </c>
      <c r="GM1201" s="12">
        <v>340865</v>
      </c>
      <c r="GN1201" s="12">
        <v>334390</v>
      </c>
      <c r="GO1201" s="12">
        <v>330024</v>
      </c>
      <c r="GP1201" s="12">
        <v>322365</v>
      </c>
      <c r="GQ1201" s="12">
        <v>320245</v>
      </c>
      <c r="GR1201" s="12">
        <v>318666</v>
      </c>
      <c r="GS1201" s="12">
        <v>315514</v>
      </c>
      <c r="GT1201" s="12">
        <v>310168</v>
      </c>
      <c r="GU1201" s="12">
        <v>305040</v>
      </c>
      <c r="GV1201" s="12">
        <v>313377</v>
      </c>
      <c r="GW1201" s="12">
        <v>308801</v>
      </c>
      <c r="GX1201" s="12">
        <v>299377</v>
      </c>
      <c r="GY1201" s="12">
        <v>288818</v>
      </c>
      <c r="GZ1201" s="12">
        <v>282041</v>
      </c>
      <c r="HA1201" s="12">
        <v>274227</v>
      </c>
      <c r="HB1201" s="12">
        <v>271011</v>
      </c>
      <c r="HC1201" s="17"/>
      <c r="HD1201" s="17"/>
      <c r="HE1201" s="17"/>
      <c r="HF1201" s="17"/>
      <c r="HG1201" s="17"/>
      <c r="HH1201" s="17"/>
      <c r="HI1201" s="17"/>
      <c r="HJ1201" s="17"/>
      <c r="HK1201" s="17"/>
      <c r="HL1201" s="17"/>
      <c r="HM1201" s="17"/>
      <c r="HN1201" s="17"/>
      <c r="HO1201" s="17"/>
      <c r="HP1201" s="17"/>
      <c r="HQ1201" s="17"/>
      <c r="HR1201" s="17"/>
      <c r="HS1201" s="17"/>
      <c r="HT1201" s="17"/>
      <c r="HU1201" s="17"/>
      <c r="HV1201" s="17"/>
      <c r="HW1201" s="17"/>
      <c r="HX1201" s="17"/>
      <c r="HY1201" s="17"/>
      <c r="HZ1201" s="17"/>
      <c r="IA1201" s="17"/>
      <c r="IB1201" s="17"/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R4"/>
    <mergeCell ref="CS3:GB4"/>
    <mergeCell ref="GC3:IB3"/>
    <mergeCell ref="BC6:BC9"/>
    <mergeCell ref="BD6:BD9"/>
    <mergeCell ref="BE6:BE9"/>
    <mergeCell ref="BF6:BF9"/>
    <mergeCell ref="BG6:BG9"/>
    <mergeCell ref="BH6:BH9"/>
    <mergeCell ref="BC10:BC11"/>
    <mergeCell ref="BD10:BD11"/>
    <mergeCell ref="BE10:BE11"/>
    <mergeCell ref="BF10:BF11"/>
    <mergeCell ref="BG10:BG11"/>
    <mergeCell ref="BH10:BH11"/>
    <mergeCell ref="BC12:BC16"/>
    <mergeCell ref="BD12:BD16"/>
    <mergeCell ref="BE12:BE16"/>
    <mergeCell ref="BF12:BF16"/>
    <mergeCell ref="BG12:BG16"/>
    <mergeCell ref="BH12:BH16"/>
    <mergeCell ref="BC17:BC21"/>
    <mergeCell ref="BD17:BD21"/>
    <mergeCell ref="BE17:BE21"/>
    <mergeCell ref="BF17:BF21"/>
    <mergeCell ref="BG17:BG21"/>
    <mergeCell ref="BH17:BH21"/>
    <mergeCell ref="BC22:BC29"/>
    <mergeCell ref="BD22:BD29"/>
    <mergeCell ref="BE22:BE29"/>
    <mergeCell ref="BF22:BF29"/>
    <mergeCell ref="BG22:BG29"/>
    <mergeCell ref="BH22:BH29"/>
    <mergeCell ref="BC30:BC34"/>
    <mergeCell ref="BD30:BD34"/>
    <mergeCell ref="BE30:BE34"/>
    <mergeCell ref="BF30:BF34"/>
    <mergeCell ref="BG30:BG34"/>
    <mergeCell ref="BH30:BH34"/>
    <mergeCell ref="BC35:BC38"/>
    <mergeCell ref="BD35:BD38"/>
    <mergeCell ref="BE35:BE38"/>
    <mergeCell ref="BF35:BF38"/>
    <mergeCell ref="BG35:BG38"/>
    <mergeCell ref="BH35:BH38"/>
    <mergeCell ref="BC39:BC43"/>
    <mergeCell ref="BD39:BD43"/>
    <mergeCell ref="BE39:BE43"/>
    <mergeCell ref="BF39:BF43"/>
    <mergeCell ref="BG39:BG43"/>
    <mergeCell ref="BH39:BH43"/>
    <mergeCell ref="BC44:BC51"/>
    <mergeCell ref="BD44:BD51"/>
    <mergeCell ref="BE44:BE51"/>
    <mergeCell ref="BF44:BF51"/>
    <mergeCell ref="BG44:BG51"/>
    <mergeCell ref="BH44:BH51"/>
    <mergeCell ref="BC52:BC84"/>
    <mergeCell ref="BD52:BD84"/>
    <mergeCell ref="BE52:BE84"/>
    <mergeCell ref="BF52:BF84"/>
    <mergeCell ref="BG52:BG84"/>
    <mergeCell ref="BH52:BH84"/>
    <mergeCell ref="BC85:BC87"/>
    <mergeCell ref="BD85:BD87"/>
    <mergeCell ref="BE85:BE87"/>
    <mergeCell ref="BF85:BF87"/>
    <mergeCell ref="BG85:BG87"/>
    <mergeCell ref="BH85:BH87"/>
    <mergeCell ref="BC88:BC92"/>
    <mergeCell ref="BD88:BD92"/>
    <mergeCell ref="BE88:BE92"/>
    <mergeCell ref="BF88:BF92"/>
    <mergeCell ref="BG88:BG92"/>
    <mergeCell ref="BH88:BH92"/>
    <mergeCell ref="BC94:BC100"/>
    <mergeCell ref="BD94:BD100"/>
    <mergeCell ref="BE94:BE100"/>
    <mergeCell ref="BF94:BF100"/>
    <mergeCell ref="BG94:BG100"/>
    <mergeCell ref="BH94:BH100"/>
    <mergeCell ref="BC101:BC109"/>
    <mergeCell ref="BD101:BD109"/>
    <mergeCell ref="BE101:BE109"/>
    <mergeCell ref="BF101:BF109"/>
    <mergeCell ref="BG101:BG109"/>
    <mergeCell ref="BH101:BH109"/>
    <mergeCell ref="BC110:BC112"/>
    <mergeCell ref="BD110:BD112"/>
    <mergeCell ref="BE110:BE112"/>
    <mergeCell ref="BF110:BF112"/>
    <mergeCell ref="BG110:BG112"/>
    <mergeCell ref="BH110:BH112"/>
    <mergeCell ref="BC117:BC120"/>
    <mergeCell ref="BD117:BD120"/>
    <mergeCell ref="BE117:BE120"/>
    <mergeCell ref="BF117:BF120"/>
    <mergeCell ref="BG117:BG120"/>
    <mergeCell ref="BH117:BH120"/>
    <mergeCell ref="BC122:BC123"/>
    <mergeCell ref="BD122:BD123"/>
    <mergeCell ref="BE122:BE123"/>
    <mergeCell ref="BF122:BF123"/>
    <mergeCell ref="BG122:BG123"/>
    <mergeCell ref="BH122:BH123"/>
    <mergeCell ref="BC124:BC128"/>
    <mergeCell ref="BD124:BD128"/>
    <mergeCell ref="BE124:BE128"/>
    <mergeCell ref="BF124:BF128"/>
    <mergeCell ref="BG124:BG128"/>
    <mergeCell ref="BH124:BH128"/>
    <mergeCell ref="BC129:BC133"/>
    <mergeCell ref="BD129:BD133"/>
    <mergeCell ref="BE129:BE133"/>
    <mergeCell ref="BF129:BF133"/>
    <mergeCell ref="BG129:BG133"/>
    <mergeCell ref="BH129:BH133"/>
    <mergeCell ref="BC135:BC139"/>
    <mergeCell ref="BD135:BD139"/>
    <mergeCell ref="BE135:BE139"/>
    <mergeCell ref="BF135:BF139"/>
    <mergeCell ref="BG135:BG139"/>
    <mergeCell ref="BH135:BH139"/>
    <mergeCell ref="BC142:BC146"/>
    <mergeCell ref="BD142:BD146"/>
    <mergeCell ref="BE142:BE146"/>
    <mergeCell ref="BF142:BF146"/>
    <mergeCell ref="BG142:BG146"/>
    <mergeCell ref="BH142:BH146"/>
    <mergeCell ref="BC150:BC153"/>
    <mergeCell ref="BD150:BD153"/>
    <mergeCell ref="BE150:BE153"/>
    <mergeCell ref="BF150:BF153"/>
    <mergeCell ref="BG150:BG153"/>
    <mergeCell ref="BH150:BH153"/>
    <mergeCell ref="BC156:BC160"/>
    <mergeCell ref="BD156:BD160"/>
    <mergeCell ref="BE156:BE160"/>
    <mergeCell ref="BF156:BF160"/>
    <mergeCell ref="BG156:BG160"/>
    <mergeCell ref="BH156:BH160"/>
    <mergeCell ref="BC161:BC163"/>
    <mergeCell ref="BD161:BD163"/>
    <mergeCell ref="BE161:BE163"/>
    <mergeCell ref="BF161:BF163"/>
    <mergeCell ref="BG161:BG163"/>
    <mergeCell ref="BH161:BH163"/>
    <mergeCell ref="BC164:BC165"/>
    <mergeCell ref="BD164:BD165"/>
    <mergeCell ref="BE164:BE165"/>
    <mergeCell ref="BF164:BF165"/>
    <mergeCell ref="BG164:BG165"/>
    <mergeCell ref="BH164:BH165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6:BC177"/>
    <mergeCell ref="BD176:BD177"/>
    <mergeCell ref="BE176:BE177"/>
    <mergeCell ref="BF176:BF177"/>
    <mergeCell ref="BG176:BG177"/>
    <mergeCell ref="BH176:BH177"/>
    <mergeCell ref="BC178:BC179"/>
    <mergeCell ref="BD178:BD179"/>
    <mergeCell ref="BE178:BE179"/>
    <mergeCell ref="BF178:BF179"/>
    <mergeCell ref="BG178:BG179"/>
    <mergeCell ref="BH178:BH179"/>
    <mergeCell ref="BC183:BC185"/>
    <mergeCell ref="BD183:BD185"/>
    <mergeCell ref="BE183:BE185"/>
    <mergeCell ref="BF183:BF185"/>
    <mergeCell ref="BG183:BG185"/>
    <mergeCell ref="BH183:BH185"/>
    <mergeCell ref="BC186:BC188"/>
    <mergeCell ref="BD186:BD188"/>
    <mergeCell ref="BE186:BE188"/>
    <mergeCell ref="BF186:BF188"/>
    <mergeCell ref="BG186:BG188"/>
    <mergeCell ref="BH186:BH188"/>
    <mergeCell ref="BC191:BC193"/>
    <mergeCell ref="BD191:BD193"/>
    <mergeCell ref="BE191:BE193"/>
    <mergeCell ref="BF191:BF193"/>
    <mergeCell ref="BG191:BG193"/>
    <mergeCell ref="BH191:BH193"/>
    <mergeCell ref="BC194:BC196"/>
    <mergeCell ref="BD194:BD196"/>
    <mergeCell ref="BE194:BE196"/>
    <mergeCell ref="BF194:BF196"/>
    <mergeCell ref="BG194:BG196"/>
    <mergeCell ref="BH194:BH196"/>
    <mergeCell ref="BC197:BC198"/>
    <mergeCell ref="BD197:BD198"/>
    <mergeCell ref="BE197:BE198"/>
    <mergeCell ref="BF197:BF198"/>
    <mergeCell ref="BG197:BG198"/>
    <mergeCell ref="BH197:BH198"/>
    <mergeCell ref="BC199:BC200"/>
    <mergeCell ref="BD199:BD200"/>
    <mergeCell ref="BE199:BE200"/>
    <mergeCell ref="BF199:BF200"/>
    <mergeCell ref="BG199:BG200"/>
    <mergeCell ref="BH199:BH200"/>
    <mergeCell ref="BC203:BC204"/>
    <mergeCell ref="BD203:BD204"/>
    <mergeCell ref="BE203:BE204"/>
    <mergeCell ref="BF203:BF204"/>
    <mergeCell ref="BG203:BG204"/>
    <mergeCell ref="BH203:BH204"/>
    <mergeCell ref="BC207:BC210"/>
    <mergeCell ref="BD207:BD210"/>
    <mergeCell ref="BE207:BE210"/>
    <mergeCell ref="BF207:BF210"/>
    <mergeCell ref="BG207:BG210"/>
    <mergeCell ref="BH207:BH210"/>
    <mergeCell ref="BC213:BC225"/>
    <mergeCell ref="BD213:BD225"/>
    <mergeCell ref="BE213:BE225"/>
    <mergeCell ref="BF213:BF225"/>
    <mergeCell ref="BG213:BG225"/>
    <mergeCell ref="BH213:BH225"/>
    <mergeCell ref="BC228:BC252"/>
    <mergeCell ref="BD228:BD252"/>
    <mergeCell ref="BE228:BE252"/>
    <mergeCell ref="BF228:BF252"/>
    <mergeCell ref="BG228:BG252"/>
    <mergeCell ref="BH228:BH252"/>
    <mergeCell ref="BC253:BC260"/>
    <mergeCell ref="BD253:BD260"/>
    <mergeCell ref="BE253:BE260"/>
    <mergeCell ref="BF253:BF260"/>
    <mergeCell ref="BG253:BG260"/>
    <mergeCell ref="BH253:BH260"/>
    <mergeCell ref="BC264:BC271"/>
    <mergeCell ref="BD264:BD271"/>
    <mergeCell ref="BE264:BE271"/>
    <mergeCell ref="BF264:BF271"/>
    <mergeCell ref="BG264:BG271"/>
    <mergeCell ref="BH264:BH271"/>
    <mergeCell ref="BC276:BC288"/>
    <mergeCell ref="BD276:BD288"/>
    <mergeCell ref="BE276:BE288"/>
    <mergeCell ref="BF276:BF288"/>
    <mergeCell ref="BG276:BG288"/>
    <mergeCell ref="BH276:BH288"/>
    <mergeCell ref="BC290:BC296"/>
    <mergeCell ref="BD290:BD296"/>
    <mergeCell ref="BE290:BE296"/>
    <mergeCell ref="BF290:BF296"/>
    <mergeCell ref="BG290:BG296"/>
    <mergeCell ref="BH290:BH296"/>
    <mergeCell ref="BC298:BC301"/>
    <mergeCell ref="BD298:BD301"/>
    <mergeCell ref="BE298:BE301"/>
    <mergeCell ref="BF298:BF301"/>
    <mergeCell ref="BG298:BG301"/>
    <mergeCell ref="BH298:BH301"/>
    <mergeCell ref="BC305:BC306"/>
    <mergeCell ref="BD305:BD306"/>
    <mergeCell ref="BE305:BE306"/>
    <mergeCell ref="BF305:BF306"/>
    <mergeCell ref="BG305:BG306"/>
    <mergeCell ref="BH305:BH306"/>
    <mergeCell ref="BC308:BC311"/>
    <mergeCell ref="BD308:BD311"/>
    <mergeCell ref="BE308:BE311"/>
    <mergeCell ref="BF308:BF311"/>
    <mergeCell ref="BG308:BG311"/>
    <mergeCell ref="BH308:BH311"/>
    <mergeCell ref="BC312:BC313"/>
    <mergeCell ref="BD312:BD313"/>
    <mergeCell ref="BE312:BE313"/>
    <mergeCell ref="BF312:BF313"/>
    <mergeCell ref="BG312:BG313"/>
    <mergeCell ref="BH312:BH313"/>
    <mergeCell ref="BC316:BC318"/>
    <mergeCell ref="BD316:BD318"/>
    <mergeCell ref="BE316:BE318"/>
    <mergeCell ref="BF316:BF318"/>
    <mergeCell ref="BG316:BG318"/>
    <mergeCell ref="BH316:BH318"/>
    <mergeCell ref="BC319:BC320"/>
    <mergeCell ref="BD319:BD320"/>
    <mergeCell ref="BE319:BE320"/>
    <mergeCell ref="BF319:BF320"/>
    <mergeCell ref="BG319:BG320"/>
    <mergeCell ref="BH319:BH320"/>
    <mergeCell ref="BC323:BC324"/>
    <mergeCell ref="BD323:BD324"/>
    <mergeCell ref="BE323:BE324"/>
    <mergeCell ref="BF323:BF324"/>
    <mergeCell ref="BG323:BG324"/>
    <mergeCell ref="BH323:BH324"/>
    <mergeCell ref="BC327:BC328"/>
    <mergeCell ref="BD327:BD328"/>
    <mergeCell ref="BE327:BE328"/>
    <mergeCell ref="BF327:BF328"/>
    <mergeCell ref="BG327:BG328"/>
    <mergeCell ref="BH327:BH328"/>
    <mergeCell ref="BC329:BC335"/>
    <mergeCell ref="BD329:BD335"/>
    <mergeCell ref="BE329:BE335"/>
    <mergeCell ref="BF329:BF335"/>
    <mergeCell ref="BG329:BG335"/>
    <mergeCell ref="BH329:BH335"/>
    <mergeCell ref="BC336:BC341"/>
    <mergeCell ref="BD336:BD341"/>
    <mergeCell ref="BE336:BE341"/>
    <mergeCell ref="BF336:BF341"/>
    <mergeCell ref="BG336:BG341"/>
    <mergeCell ref="BH336:BH341"/>
    <mergeCell ref="BC344:BC347"/>
    <mergeCell ref="BD344:BD347"/>
    <mergeCell ref="BE344:BE347"/>
    <mergeCell ref="BF344:BF347"/>
    <mergeCell ref="BG344:BG347"/>
    <mergeCell ref="BH344:BH347"/>
    <mergeCell ref="BC348:BC353"/>
    <mergeCell ref="BD348:BD353"/>
    <mergeCell ref="BE348:BE353"/>
    <mergeCell ref="BF348:BF353"/>
    <mergeCell ref="BG348:BG353"/>
    <mergeCell ref="BH348:BH353"/>
    <mergeCell ref="BC356:BC361"/>
    <mergeCell ref="BD356:BD361"/>
    <mergeCell ref="BE356:BE361"/>
    <mergeCell ref="BF356:BF361"/>
    <mergeCell ref="BG356:BG361"/>
    <mergeCell ref="BH356:BH361"/>
    <mergeCell ref="BC362:BC379"/>
    <mergeCell ref="BD362:BD379"/>
    <mergeCell ref="BE362:BE379"/>
    <mergeCell ref="BF362:BF379"/>
    <mergeCell ref="BG362:BG379"/>
    <mergeCell ref="BH362:BH379"/>
    <mergeCell ref="BC380:BC434"/>
    <mergeCell ref="BD380:BD434"/>
    <mergeCell ref="BE380:BE434"/>
    <mergeCell ref="BF380:BF434"/>
    <mergeCell ref="BG380:BG434"/>
    <mergeCell ref="BH380:BH434"/>
    <mergeCell ref="BC435:BC437"/>
    <mergeCell ref="BD435:BD437"/>
    <mergeCell ref="BE435:BE437"/>
    <mergeCell ref="BF435:BF437"/>
    <mergeCell ref="BG435:BG437"/>
    <mergeCell ref="BH435:BH437"/>
    <mergeCell ref="BC438:BC439"/>
    <mergeCell ref="BD438:BD439"/>
    <mergeCell ref="BE438:BE439"/>
    <mergeCell ref="BF438:BF439"/>
    <mergeCell ref="BG438:BG439"/>
    <mergeCell ref="BH438:BH439"/>
    <mergeCell ref="BC441:BC443"/>
    <mergeCell ref="BD441:BD443"/>
    <mergeCell ref="BE441:BE443"/>
    <mergeCell ref="BF441:BF443"/>
    <mergeCell ref="BG441:BG443"/>
    <mergeCell ref="BH441:BH443"/>
    <mergeCell ref="BC448:BC449"/>
    <mergeCell ref="BD448:BD449"/>
    <mergeCell ref="BE448:BE449"/>
    <mergeCell ref="BF448:BF449"/>
    <mergeCell ref="BG448:BG449"/>
    <mergeCell ref="BH448:BH449"/>
    <mergeCell ref="BC450:BC457"/>
    <mergeCell ref="BD450:BD457"/>
    <mergeCell ref="BE450:BE457"/>
    <mergeCell ref="BF450:BF457"/>
    <mergeCell ref="BG450:BG457"/>
    <mergeCell ref="BH450:BH457"/>
    <mergeCell ref="BC459:BC461"/>
    <mergeCell ref="BD459:BD461"/>
    <mergeCell ref="BE459:BE461"/>
    <mergeCell ref="BF459:BF461"/>
    <mergeCell ref="BG459:BG461"/>
    <mergeCell ref="BH459:BH461"/>
    <mergeCell ref="BC463:BC464"/>
    <mergeCell ref="BD463:BD464"/>
    <mergeCell ref="BE463:BE464"/>
    <mergeCell ref="BF463:BF464"/>
    <mergeCell ref="BG463:BG464"/>
    <mergeCell ref="BH463:BH464"/>
    <mergeCell ref="BC466:BC469"/>
    <mergeCell ref="BD466:BD469"/>
    <mergeCell ref="BE466:BE469"/>
    <mergeCell ref="BF466:BF469"/>
    <mergeCell ref="BG466:BG469"/>
    <mergeCell ref="BH466:BH469"/>
    <mergeCell ref="BC470:BC479"/>
    <mergeCell ref="BD470:BD479"/>
    <mergeCell ref="BE470:BE479"/>
    <mergeCell ref="BF470:BF479"/>
    <mergeCell ref="BG470:BG479"/>
    <mergeCell ref="BH470:BH479"/>
    <mergeCell ref="BC480:BC481"/>
    <mergeCell ref="BD480:BD481"/>
    <mergeCell ref="BE480:BE481"/>
    <mergeCell ref="BF480:BF481"/>
    <mergeCell ref="BG480:BG481"/>
    <mergeCell ref="BH480:BH481"/>
    <mergeCell ref="BC482:BC484"/>
    <mergeCell ref="BD482:BD484"/>
    <mergeCell ref="BE482:BE484"/>
    <mergeCell ref="BF482:BF484"/>
    <mergeCell ref="BG482:BG484"/>
    <mergeCell ref="BH482:BH484"/>
    <mergeCell ref="BC485:BC498"/>
    <mergeCell ref="BD485:BD498"/>
    <mergeCell ref="BE485:BE498"/>
    <mergeCell ref="BF485:BF498"/>
    <mergeCell ref="BG485:BG498"/>
    <mergeCell ref="BH485:BH498"/>
    <mergeCell ref="BC499:BC511"/>
    <mergeCell ref="BD499:BD511"/>
    <mergeCell ref="BE499:BE511"/>
    <mergeCell ref="BF499:BF511"/>
    <mergeCell ref="BG499:BG511"/>
    <mergeCell ref="BH499:BH511"/>
    <mergeCell ref="BC518:BC520"/>
    <mergeCell ref="BD518:BD520"/>
    <mergeCell ref="BE518:BE520"/>
    <mergeCell ref="BF518:BF520"/>
    <mergeCell ref="BG518:BG520"/>
    <mergeCell ref="BH518:BH520"/>
    <mergeCell ref="BC521:BC524"/>
    <mergeCell ref="BD521:BD524"/>
    <mergeCell ref="BE521:BE524"/>
    <mergeCell ref="BF521:BF524"/>
    <mergeCell ref="BG521:BG524"/>
    <mergeCell ref="BH521:BH524"/>
    <mergeCell ref="BC525:BC527"/>
    <mergeCell ref="BD525:BD527"/>
    <mergeCell ref="BE525:BE527"/>
    <mergeCell ref="BF525:BF527"/>
    <mergeCell ref="BG525:BG527"/>
    <mergeCell ref="BH525:BH527"/>
    <mergeCell ref="BC529:BC531"/>
    <mergeCell ref="BD529:BD531"/>
    <mergeCell ref="BE529:BE531"/>
    <mergeCell ref="BF529:BF531"/>
    <mergeCell ref="BG529:BG531"/>
    <mergeCell ref="BH529:BH531"/>
    <mergeCell ref="BC535:BC536"/>
    <mergeCell ref="BD535:BD536"/>
    <mergeCell ref="BE535:BE536"/>
    <mergeCell ref="BF535:BF536"/>
    <mergeCell ref="BG535:BG536"/>
    <mergeCell ref="BH535:BH536"/>
    <mergeCell ref="BC539:BC540"/>
    <mergeCell ref="BD539:BD540"/>
    <mergeCell ref="BE539:BE540"/>
    <mergeCell ref="BF539:BF540"/>
    <mergeCell ref="BG539:BG540"/>
    <mergeCell ref="BH539:BH540"/>
    <mergeCell ref="BC543:BC547"/>
    <mergeCell ref="BD543:BD547"/>
    <mergeCell ref="BE543:BE547"/>
    <mergeCell ref="BF543:BF547"/>
    <mergeCell ref="BG543:BG547"/>
    <mergeCell ref="BH543:BH547"/>
    <mergeCell ref="BC548:BC554"/>
    <mergeCell ref="BD548:BD554"/>
    <mergeCell ref="BE548:BE554"/>
    <mergeCell ref="BF548:BF554"/>
    <mergeCell ref="BG548:BG554"/>
    <mergeCell ref="BH548:BH554"/>
    <mergeCell ref="BC555:BC561"/>
    <mergeCell ref="BD555:BD561"/>
    <mergeCell ref="BE555:BE561"/>
    <mergeCell ref="BF555:BF561"/>
    <mergeCell ref="BG555:BG561"/>
    <mergeCell ref="BH555:BH561"/>
    <mergeCell ref="BC562:BC578"/>
    <mergeCell ref="BD562:BD578"/>
    <mergeCell ref="BE562:BE578"/>
    <mergeCell ref="BF562:BF578"/>
    <mergeCell ref="BG562:BG578"/>
    <mergeCell ref="BH562:BH578"/>
    <mergeCell ref="BC579:BC582"/>
    <mergeCell ref="BD579:BD582"/>
    <mergeCell ref="BE579:BE582"/>
    <mergeCell ref="BF579:BF582"/>
    <mergeCell ref="BG579:BG582"/>
    <mergeCell ref="BH579:BH582"/>
    <mergeCell ref="BC583:BC584"/>
    <mergeCell ref="BD583:BD584"/>
    <mergeCell ref="BE583:BE584"/>
    <mergeCell ref="BF583:BF584"/>
    <mergeCell ref="BG583:BG584"/>
    <mergeCell ref="BH583:BH584"/>
    <mergeCell ref="BC585:BC587"/>
    <mergeCell ref="BD585:BD587"/>
    <mergeCell ref="BE585:BE587"/>
    <mergeCell ref="BF585:BF587"/>
    <mergeCell ref="BG585:BG587"/>
    <mergeCell ref="BH585:BH587"/>
    <mergeCell ref="BC590:BC592"/>
    <mergeCell ref="BD590:BD592"/>
    <mergeCell ref="BE590:BE592"/>
    <mergeCell ref="BF590:BF592"/>
    <mergeCell ref="BG590:BG592"/>
    <mergeCell ref="BH590:BH592"/>
    <mergeCell ref="BC593:BC594"/>
    <mergeCell ref="BD593:BD594"/>
    <mergeCell ref="BE593:BE594"/>
    <mergeCell ref="BF593:BF594"/>
    <mergeCell ref="BG593:BG594"/>
    <mergeCell ref="BH593:BH594"/>
    <mergeCell ref="BC595:BC601"/>
    <mergeCell ref="BD595:BD601"/>
    <mergeCell ref="BE595:BE601"/>
    <mergeCell ref="BF595:BF601"/>
    <mergeCell ref="BG595:BG601"/>
    <mergeCell ref="BH595:BH601"/>
    <mergeCell ref="BC602:BC605"/>
    <mergeCell ref="BD602:BD605"/>
    <mergeCell ref="BE602:BE605"/>
    <mergeCell ref="BF602:BF605"/>
    <mergeCell ref="BG602:BG605"/>
    <mergeCell ref="BH602:BH605"/>
    <mergeCell ref="BC606:BC616"/>
    <mergeCell ref="BD606:BD616"/>
    <mergeCell ref="BE606:BE616"/>
    <mergeCell ref="BF606:BF616"/>
    <mergeCell ref="BG606:BG616"/>
    <mergeCell ref="BH606:BH616"/>
    <mergeCell ref="BC617:BC633"/>
    <mergeCell ref="BD617:BD633"/>
    <mergeCell ref="BE617:BE633"/>
    <mergeCell ref="BF617:BF633"/>
    <mergeCell ref="BG617:BG633"/>
    <mergeCell ref="BH617:BH633"/>
    <mergeCell ref="BC634:BC641"/>
    <mergeCell ref="BD634:BD641"/>
    <mergeCell ref="BE634:BE641"/>
    <mergeCell ref="BF634:BF641"/>
    <mergeCell ref="BG634:BG641"/>
    <mergeCell ref="BH634:BH641"/>
    <mergeCell ref="BC644:BC645"/>
    <mergeCell ref="BD644:BD645"/>
    <mergeCell ref="BE644:BE645"/>
    <mergeCell ref="BF644:BF645"/>
    <mergeCell ref="BG644:BG645"/>
    <mergeCell ref="BH644:BH645"/>
    <mergeCell ref="BC648:BC649"/>
    <mergeCell ref="BD648:BD649"/>
    <mergeCell ref="BE648:BE649"/>
    <mergeCell ref="BF648:BF649"/>
    <mergeCell ref="BG648:BG649"/>
    <mergeCell ref="BH648:BH649"/>
    <mergeCell ref="BC653:BC654"/>
    <mergeCell ref="BD653:BD654"/>
    <mergeCell ref="BE653:BE654"/>
    <mergeCell ref="BF653:BF654"/>
    <mergeCell ref="BG653:BG654"/>
    <mergeCell ref="BH653:BH654"/>
    <mergeCell ref="BC656:BC660"/>
    <mergeCell ref="BD656:BD660"/>
    <mergeCell ref="BE656:BE660"/>
    <mergeCell ref="BF656:BF660"/>
    <mergeCell ref="BG656:BG660"/>
    <mergeCell ref="BH656:BH660"/>
    <mergeCell ref="BC662:BC667"/>
    <mergeCell ref="BD662:BD667"/>
    <mergeCell ref="BE662:BE667"/>
    <mergeCell ref="BF662:BF667"/>
    <mergeCell ref="BG662:BG667"/>
    <mergeCell ref="BH662:BH667"/>
    <mergeCell ref="BC673:BC680"/>
    <mergeCell ref="BD673:BD680"/>
    <mergeCell ref="BE673:BE680"/>
    <mergeCell ref="BF673:BF680"/>
    <mergeCell ref="BG673:BG680"/>
    <mergeCell ref="BH673:BH680"/>
    <mergeCell ref="BC682:BC687"/>
    <mergeCell ref="BD682:BD687"/>
    <mergeCell ref="BE682:BE687"/>
    <mergeCell ref="BF682:BF687"/>
    <mergeCell ref="BG682:BG687"/>
    <mergeCell ref="BH682:BH687"/>
    <mergeCell ref="BC690:BC691"/>
    <mergeCell ref="BD690:BD691"/>
    <mergeCell ref="BE690:BE691"/>
    <mergeCell ref="BF690:BF691"/>
    <mergeCell ref="BG690:BG691"/>
    <mergeCell ref="BH690:BH691"/>
    <mergeCell ref="BC693:BC694"/>
    <mergeCell ref="BD693:BD694"/>
    <mergeCell ref="BE693:BE694"/>
    <mergeCell ref="BF693:BF694"/>
    <mergeCell ref="BG693:BG694"/>
    <mergeCell ref="BH693:BH694"/>
    <mergeCell ref="BC695:BC702"/>
    <mergeCell ref="BD695:BD702"/>
    <mergeCell ref="BE695:BE702"/>
    <mergeCell ref="BF695:BF702"/>
    <mergeCell ref="BG695:BG702"/>
    <mergeCell ref="BH695:BH702"/>
    <mergeCell ref="BC705:BC708"/>
    <mergeCell ref="BD705:BD708"/>
    <mergeCell ref="BE705:BE708"/>
    <mergeCell ref="BF705:BF708"/>
    <mergeCell ref="BG705:BG708"/>
    <mergeCell ref="BH705:BH708"/>
    <mergeCell ref="BC709:BC714"/>
    <mergeCell ref="BD709:BD714"/>
    <mergeCell ref="BE709:BE714"/>
    <mergeCell ref="BF709:BF714"/>
    <mergeCell ref="BG709:BG714"/>
    <mergeCell ref="BH709:BH714"/>
    <mergeCell ref="BC717:BC718"/>
    <mergeCell ref="BD717:BD718"/>
    <mergeCell ref="BE717:BE718"/>
    <mergeCell ref="BF717:BF718"/>
    <mergeCell ref="BG717:BG718"/>
    <mergeCell ref="BH717:BH718"/>
    <mergeCell ref="BC720:BC726"/>
    <mergeCell ref="BD720:BD726"/>
    <mergeCell ref="BE720:BE726"/>
    <mergeCell ref="BF720:BF726"/>
    <mergeCell ref="BG720:BG726"/>
    <mergeCell ref="BH720:BH726"/>
    <mergeCell ref="BC730:BC734"/>
    <mergeCell ref="BD730:BD734"/>
    <mergeCell ref="BE730:BE734"/>
    <mergeCell ref="BF730:BF734"/>
    <mergeCell ref="BG730:BG734"/>
    <mergeCell ref="BH730:BH734"/>
    <mergeCell ref="BC735:BC737"/>
    <mergeCell ref="BD735:BD737"/>
    <mergeCell ref="BE735:BE737"/>
    <mergeCell ref="BF735:BF737"/>
    <mergeCell ref="BG735:BG737"/>
    <mergeCell ref="BH735:BH737"/>
    <mergeCell ref="BC738:BC739"/>
    <mergeCell ref="BD738:BD739"/>
    <mergeCell ref="BE738:BE739"/>
    <mergeCell ref="BF738:BF739"/>
    <mergeCell ref="BG738:BG739"/>
    <mergeCell ref="BH738:BH739"/>
    <mergeCell ref="BC740:BC741"/>
    <mergeCell ref="BD740:BD741"/>
    <mergeCell ref="BE740:BE741"/>
    <mergeCell ref="BF740:BF741"/>
    <mergeCell ref="BG740:BG741"/>
    <mergeCell ref="BH740:BH741"/>
    <mergeCell ref="BC742:BC743"/>
    <mergeCell ref="BD742:BD743"/>
    <mergeCell ref="BE742:BE743"/>
    <mergeCell ref="BF742:BF743"/>
    <mergeCell ref="BG742:BG743"/>
    <mergeCell ref="BH742:BH743"/>
    <mergeCell ref="BC746:BC748"/>
    <mergeCell ref="BD746:BD748"/>
    <mergeCell ref="BE746:BE748"/>
    <mergeCell ref="BF746:BF748"/>
    <mergeCell ref="BG746:BG748"/>
    <mergeCell ref="BH746:BH748"/>
    <mergeCell ref="BC749:BC750"/>
    <mergeCell ref="BD749:BD750"/>
    <mergeCell ref="BE749:BE750"/>
    <mergeCell ref="BF749:BF750"/>
    <mergeCell ref="BG749:BG750"/>
    <mergeCell ref="BH749:BH750"/>
    <mergeCell ref="BC753:BC754"/>
    <mergeCell ref="BD753:BD754"/>
    <mergeCell ref="BE753:BE754"/>
    <mergeCell ref="BF753:BF754"/>
    <mergeCell ref="BG753:BG754"/>
    <mergeCell ref="BH753:BH754"/>
    <mergeCell ref="BC755:BC756"/>
    <mergeCell ref="BD755:BD756"/>
    <mergeCell ref="BE755:BE756"/>
    <mergeCell ref="BF755:BF756"/>
    <mergeCell ref="BG755:BG756"/>
    <mergeCell ref="BH755:BH756"/>
    <mergeCell ref="BC758:BC790"/>
    <mergeCell ref="BD758:BD790"/>
    <mergeCell ref="BE758:BE790"/>
    <mergeCell ref="BF758:BF790"/>
    <mergeCell ref="BG758:BG790"/>
    <mergeCell ref="BH758:BH790"/>
    <mergeCell ref="BC791:BC845"/>
    <mergeCell ref="BD791:BD845"/>
    <mergeCell ref="BE791:BE845"/>
    <mergeCell ref="BF791:BF845"/>
    <mergeCell ref="BG791:BG845"/>
    <mergeCell ref="BH791:BH845"/>
    <mergeCell ref="BC846:BC847"/>
    <mergeCell ref="BD846:BD847"/>
    <mergeCell ref="BE846:BE847"/>
    <mergeCell ref="BF846:BF847"/>
    <mergeCell ref="BG846:BG847"/>
    <mergeCell ref="BH846:BH847"/>
    <mergeCell ref="BC848:BC850"/>
    <mergeCell ref="BD848:BD850"/>
    <mergeCell ref="BE848:BE850"/>
    <mergeCell ref="BF848:BF850"/>
    <mergeCell ref="BG848:BG850"/>
    <mergeCell ref="BH848:BH850"/>
    <mergeCell ref="BC851:BC857"/>
    <mergeCell ref="BD851:BD857"/>
    <mergeCell ref="BE851:BE857"/>
    <mergeCell ref="BF851:BF857"/>
    <mergeCell ref="BG851:BG857"/>
    <mergeCell ref="BH851:BH857"/>
    <mergeCell ref="BC859:BC862"/>
    <mergeCell ref="BD859:BD862"/>
    <mergeCell ref="BE859:BE862"/>
    <mergeCell ref="BF859:BF862"/>
    <mergeCell ref="BG859:BG862"/>
    <mergeCell ref="BH859:BH862"/>
    <mergeCell ref="BC863:BC864"/>
    <mergeCell ref="BD863:BD864"/>
    <mergeCell ref="BE863:BE864"/>
    <mergeCell ref="BF863:BF864"/>
    <mergeCell ref="BG863:BG864"/>
    <mergeCell ref="BH863:BH864"/>
    <mergeCell ref="BC868:BC869"/>
    <mergeCell ref="BD868:BD869"/>
    <mergeCell ref="BE868:BE869"/>
    <mergeCell ref="BF868:BF869"/>
    <mergeCell ref="BG868:BG869"/>
    <mergeCell ref="BH868:BH869"/>
    <mergeCell ref="BC875:BC876"/>
    <mergeCell ref="BD875:BD876"/>
    <mergeCell ref="BE875:BE876"/>
    <mergeCell ref="BF875:BF876"/>
    <mergeCell ref="BG875:BG876"/>
    <mergeCell ref="BH875:BH876"/>
    <mergeCell ref="BC879:BC883"/>
    <mergeCell ref="BD879:BD883"/>
    <mergeCell ref="BE879:BE883"/>
    <mergeCell ref="BF879:BF883"/>
    <mergeCell ref="BG879:BG883"/>
    <mergeCell ref="BH879:BH883"/>
    <mergeCell ref="BC884:BC891"/>
    <mergeCell ref="BD884:BD891"/>
    <mergeCell ref="BE884:BE891"/>
    <mergeCell ref="BF884:BF891"/>
    <mergeCell ref="BG884:BG891"/>
    <mergeCell ref="BH884:BH891"/>
    <mergeCell ref="BC892:BC894"/>
    <mergeCell ref="BD892:BD894"/>
    <mergeCell ref="BE892:BE894"/>
    <mergeCell ref="BF892:BF894"/>
    <mergeCell ref="BG892:BG894"/>
    <mergeCell ref="BH892:BH894"/>
    <mergeCell ref="BC895:BC898"/>
    <mergeCell ref="BD895:BD898"/>
    <mergeCell ref="BE895:BE898"/>
    <mergeCell ref="BF895:BF898"/>
    <mergeCell ref="BG895:BG898"/>
    <mergeCell ref="BH895:BH898"/>
    <mergeCell ref="BC901:BC903"/>
    <mergeCell ref="BD901:BD903"/>
    <mergeCell ref="BE901:BE903"/>
    <mergeCell ref="BF901:BF903"/>
    <mergeCell ref="BG901:BG903"/>
    <mergeCell ref="BH901:BH903"/>
    <mergeCell ref="BC905:BC907"/>
    <mergeCell ref="BD905:BD907"/>
    <mergeCell ref="BE905:BE907"/>
    <mergeCell ref="BF905:BF907"/>
    <mergeCell ref="BG905:BG907"/>
    <mergeCell ref="BH905:BH907"/>
    <mergeCell ref="BC909:BC913"/>
    <mergeCell ref="BD909:BD913"/>
    <mergeCell ref="BE909:BE913"/>
    <mergeCell ref="BF909:BF913"/>
    <mergeCell ref="BG909:BG913"/>
    <mergeCell ref="BH909:BH913"/>
    <mergeCell ref="BC914:BC917"/>
    <mergeCell ref="BD914:BD917"/>
    <mergeCell ref="BE914:BE917"/>
    <mergeCell ref="BF914:BF917"/>
    <mergeCell ref="BG914:BG917"/>
    <mergeCell ref="BH914:BH917"/>
    <mergeCell ref="BC918:BC920"/>
    <mergeCell ref="BD918:BD920"/>
    <mergeCell ref="BE918:BE920"/>
    <mergeCell ref="BF918:BF920"/>
    <mergeCell ref="BG918:BG920"/>
    <mergeCell ref="BH918:BH920"/>
    <mergeCell ref="BC922:BC923"/>
    <mergeCell ref="BD922:BD923"/>
    <mergeCell ref="BE922:BE923"/>
    <mergeCell ref="BF922:BF923"/>
    <mergeCell ref="BG922:BG923"/>
    <mergeCell ref="BH922:BH923"/>
    <mergeCell ref="BC925:BC929"/>
    <mergeCell ref="BD925:BD929"/>
    <mergeCell ref="BE925:BE929"/>
    <mergeCell ref="BF925:BF929"/>
    <mergeCell ref="BG925:BG929"/>
    <mergeCell ref="BH925:BH929"/>
    <mergeCell ref="BC933:BC952"/>
    <mergeCell ref="BD933:BD952"/>
    <mergeCell ref="BE933:BE952"/>
    <mergeCell ref="BF933:BF952"/>
    <mergeCell ref="BG933:BG952"/>
    <mergeCell ref="BH933:BH952"/>
    <mergeCell ref="BC954:BC955"/>
    <mergeCell ref="BD954:BD955"/>
    <mergeCell ref="BE954:BE955"/>
    <mergeCell ref="BF954:BF955"/>
    <mergeCell ref="BG954:BG955"/>
    <mergeCell ref="BH954:BH955"/>
    <mergeCell ref="BC956:BC962"/>
    <mergeCell ref="BD956:BD962"/>
    <mergeCell ref="BE956:BE962"/>
    <mergeCell ref="BF956:BF962"/>
    <mergeCell ref="BG956:BG962"/>
    <mergeCell ref="BH956:BH962"/>
    <mergeCell ref="BC964:BC967"/>
    <mergeCell ref="BD964:BD967"/>
    <mergeCell ref="BE964:BE967"/>
    <mergeCell ref="BF964:BF967"/>
    <mergeCell ref="BG964:BG967"/>
    <mergeCell ref="BH964:BH967"/>
    <mergeCell ref="BC968:BC971"/>
    <mergeCell ref="BD968:BD971"/>
    <mergeCell ref="BE968:BE971"/>
    <mergeCell ref="BF968:BF971"/>
    <mergeCell ref="BG968:BG971"/>
    <mergeCell ref="BH968:BH971"/>
    <mergeCell ref="BC973:BC976"/>
    <mergeCell ref="BD973:BD976"/>
    <mergeCell ref="BE973:BE976"/>
    <mergeCell ref="BF973:BF976"/>
    <mergeCell ref="BG973:BG976"/>
    <mergeCell ref="BH973:BH976"/>
    <mergeCell ref="BC977:BC980"/>
    <mergeCell ref="BD977:BD980"/>
    <mergeCell ref="BE977:BE980"/>
    <mergeCell ref="BF977:BF980"/>
    <mergeCell ref="BG977:BG980"/>
    <mergeCell ref="BH977:BH980"/>
    <mergeCell ref="BC981:BC986"/>
    <mergeCell ref="BD981:BD986"/>
    <mergeCell ref="BE981:BE986"/>
    <mergeCell ref="BF981:BF986"/>
    <mergeCell ref="BG981:BG986"/>
    <mergeCell ref="BH981:BH986"/>
    <mergeCell ref="BC987:BC989"/>
    <mergeCell ref="BD987:BD989"/>
    <mergeCell ref="BE987:BE989"/>
    <mergeCell ref="BF987:BF989"/>
    <mergeCell ref="BG987:BG989"/>
    <mergeCell ref="BH987:BH989"/>
    <mergeCell ref="BC990:BC995"/>
    <mergeCell ref="BD990:BD995"/>
    <mergeCell ref="BE990:BE995"/>
    <mergeCell ref="BF990:BF995"/>
    <mergeCell ref="BG990:BG995"/>
    <mergeCell ref="BH990:BH995"/>
    <mergeCell ref="BC996:BC1004"/>
    <mergeCell ref="BD996:BD1004"/>
    <mergeCell ref="BE996:BE1004"/>
    <mergeCell ref="BF996:BF1004"/>
    <mergeCell ref="BG996:BG1004"/>
    <mergeCell ref="BH996:BH1004"/>
    <mergeCell ref="BC1005:BC1006"/>
    <mergeCell ref="BD1005:BD1006"/>
    <mergeCell ref="BE1005:BE1006"/>
    <mergeCell ref="BF1005:BF1006"/>
    <mergeCell ref="BG1005:BG1006"/>
    <mergeCell ref="BH1005:BH1006"/>
    <mergeCell ref="BC1008:BC1011"/>
    <mergeCell ref="BD1008:BD1011"/>
    <mergeCell ref="BE1008:BE1011"/>
    <mergeCell ref="BF1008:BF1011"/>
    <mergeCell ref="BG1008:BG1011"/>
    <mergeCell ref="BH1008:BH1011"/>
    <mergeCell ref="BC1014:BC1016"/>
    <mergeCell ref="BD1014:BD1016"/>
    <mergeCell ref="BE1014:BE1016"/>
    <mergeCell ref="BF1014:BF1016"/>
    <mergeCell ref="BG1014:BG1016"/>
    <mergeCell ref="BH1014:BH1016"/>
    <mergeCell ref="BC1019:BC1021"/>
    <mergeCell ref="BD1019:BD1021"/>
    <mergeCell ref="BE1019:BE1021"/>
    <mergeCell ref="BF1019:BF1021"/>
    <mergeCell ref="BG1019:BG1021"/>
    <mergeCell ref="BH1019:BH1021"/>
    <mergeCell ref="BC1022:BC1023"/>
    <mergeCell ref="BD1022:BD1023"/>
    <mergeCell ref="BE1022:BE1023"/>
    <mergeCell ref="BF1022:BF1023"/>
    <mergeCell ref="BG1022:BG1023"/>
    <mergeCell ref="BH1022:BH1023"/>
    <mergeCell ref="BC1026:BC1027"/>
    <mergeCell ref="BD1026:BD1027"/>
    <mergeCell ref="BE1026:BE1027"/>
    <mergeCell ref="BF1026:BF1027"/>
    <mergeCell ref="BG1026:BG1027"/>
    <mergeCell ref="BH1026:BH1027"/>
    <mergeCell ref="BC1028:BC1029"/>
    <mergeCell ref="BD1028:BD1029"/>
    <mergeCell ref="BE1028:BE1029"/>
    <mergeCell ref="BF1028:BF1029"/>
    <mergeCell ref="BG1028:BG1029"/>
    <mergeCell ref="BH1028:BH1029"/>
    <mergeCell ref="BC1030:BC1038"/>
    <mergeCell ref="BD1030:BD1038"/>
    <mergeCell ref="BE1030:BE1038"/>
    <mergeCell ref="BF1030:BF1038"/>
    <mergeCell ref="BG1030:BG1038"/>
    <mergeCell ref="BH1030:BH1038"/>
    <mergeCell ref="BC1039:BC1040"/>
    <mergeCell ref="BD1039:BD1040"/>
    <mergeCell ref="BE1039:BE1040"/>
    <mergeCell ref="BF1039:BF1040"/>
    <mergeCell ref="BG1039:BG1040"/>
    <mergeCell ref="BH1039:BH1040"/>
    <mergeCell ref="BC1044:BC1049"/>
    <mergeCell ref="BD1044:BD1049"/>
    <mergeCell ref="BE1044:BE1049"/>
    <mergeCell ref="BF1044:BF1049"/>
    <mergeCell ref="BG1044:BG1049"/>
    <mergeCell ref="BH1044:BH1049"/>
    <mergeCell ref="BC1050:BC1057"/>
    <mergeCell ref="BD1050:BD1057"/>
    <mergeCell ref="BE1050:BE1057"/>
    <mergeCell ref="BF1050:BF1057"/>
    <mergeCell ref="BG1050:BG1057"/>
    <mergeCell ref="BH1050:BH1057"/>
    <mergeCell ref="BC1059:BC1060"/>
    <mergeCell ref="BD1059:BD1060"/>
    <mergeCell ref="BE1059:BE1060"/>
    <mergeCell ref="BF1059:BF1060"/>
    <mergeCell ref="BG1059:BG1060"/>
    <mergeCell ref="BH1059:BH1060"/>
    <mergeCell ref="BC1063:BC1069"/>
    <mergeCell ref="BD1063:BD1069"/>
    <mergeCell ref="BE1063:BE1069"/>
    <mergeCell ref="BF1063:BF1069"/>
    <mergeCell ref="BG1063:BG1069"/>
    <mergeCell ref="BH1063:BH1069"/>
    <mergeCell ref="BC1070:BC1080"/>
    <mergeCell ref="BD1070:BD1080"/>
    <mergeCell ref="BE1070:BE1080"/>
    <mergeCell ref="BF1070:BF1080"/>
    <mergeCell ref="BG1070:BG1080"/>
    <mergeCell ref="BH1070:BH1080"/>
    <mergeCell ref="BC1081:BC1085"/>
    <mergeCell ref="BD1081:BD1085"/>
    <mergeCell ref="BE1081:BE1085"/>
    <mergeCell ref="BF1081:BF1085"/>
    <mergeCell ref="BG1081:BG1085"/>
    <mergeCell ref="BH1081:BH1085"/>
    <mergeCell ref="BC1086:BC1089"/>
    <mergeCell ref="BD1086:BD1089"/>
    <mergeCell ref="BE1086:BE1089"/>
    <mergeCell ref="BF1086:BF1089"/>
    <mergeCell ref="BG1086:BG1089"/>
    <mergeCell ref="BH1086:BH1089"/>
    <mergeCell ref="BC1091:BC1111"/>
    <mergeCell ref="BD1091:BD1111"/>
    <mergeCell ref="BE1091:BE1111"/>
    <mergeCell ref="BF1091:BF1111"/>
    <mergeCell ref="BG1091:BG1111"/>
    <mergeCell ref="BH1091:BH1111"/>
    <mergeCell ref="BC1112:BC1124"/>
    <mergeCell ref="BD1112:BD1124"/>
    <mergeCell ref="BE1112:BE1124"/>
    <mergeCell ref="BF1112:BF1124"/>
    <mergeCell ref="BG1112:BG1124"/>
    <mergeCell ref="BH1112:BH1124"/>
    <mergeCell ref="BC1125:BC1127"/>
    <mergeCell ref="BD1125:BD1127"/>
    <mergeCell ref="BE1125:BE1127"/>
    <mergeCell ref="BF1125:BF1127"/>
    <mergeCell ref="BG1125:BG1127"/>
    <mergeCell ref="BH1125:BH1127"/>
    <mergeCell ref="BC1128:BC1129"/>
    <mergeCell ref="BD1128:BD1129"/>
    <mergeCell ref="BE1128:BE1129"/>
    <mergeCell ref="BF1128:BF1129"/>
    <mergeCell ref="BG1128:BG1129"/>
    <mergeCell ref="BH1128:BH1129"/>
    <mergeCell ref="BC1130:BC1131"/>
    <mergeCell ref="BD1130:BD1131"/>
    <mergeCell ref="BE1130:BE1131"/>
    <mergeCell ref="BF1130:BF1131"/>
    <mergeCell ref="BG1130:BG1131"/>
    <mergeCell ref="BH1130:BH1131"/>
    <mergeCell ref="BC1133:BC1134"/>
    <mergeCell ref="BD1133:BD1134"/>
    <mergeCell ref="BE1133:BE1134"/>
    <mergeCell ref="BF1133:BF1134"/>
    <mergeCell ref="BG1133:BG1134"/>
    <mergeCell ref="BH1133:BH1134"/>
    <mergeCell ref="BC1135:BC1136"/>
    <mergeCell ref="BD1135:BD1136"/>
    <mergeCell ref="BE1135:BE1136"/>
    <mergeCell ref="BF1135:BF1136"/>
    <mergeCell ref="BG1135:BG1136"/>
    <mergeCell ref="BH1135:BH1136"/>
    <mergeCell ref="BC1142:BC1144"/>
    <mergeCell ref="BD1142:BD1144"/>
    <mergeCell ref="BE1142:BE1144"/>
    <mergeCell ref="BF1142:BF1144"/>
    <mergeCell ref="BG1142:BG1144"/>
    <mergeCell ref="BH1142:BH1144"/>
    <mergeCell ref="BC1147:BC1148"/>
    <mergeCell ref="BD1147:BD1148"/>
    <mergeCell ref="BE1147:BE1148"/>
    <mergeCell ref="BF1147:BF1148"/>
    <mergeCell ref="BG1147:BG1148"/>
    <mergeCell ref="BH1147:BH1148"/>
    <mergeCell ref="BC1150:BC1152"/>
    <mergeCell ref="BD1150:BD1152"/>
    <mergeCell ref="BE1150:BE1152"/>
    <mergeCell ref="BF1150:BF1152"/>
    <mergeCell ref="BG1150:BG1152"/>
    <mergeCell ref="BH1150:BH1152"/>
    <mergeCell ref="BC1154:BC1155"/>
    <mergeCell ref="BD1154:BD1155"/>
    <mergeCell ref="BE1154:BE1155"/>
    <mergeCell ref="BF1154:BF1155"/>
    <mergeCell ref="BG1154:BG1155"/>
    <mergeCell ref="BH1154:BH1155"/>
    <mergeCell ref="BC1156:BC1163"/>
    <mergeCell ref="BD1156:BD1163"/>
    <mergeCell ref="BE1156:BE1163"/>
    <mergeCell ref="BF1156:BF1163"/>
    <mergeCell ref="BG1156:BG1163"/>
    <mergeCell ref="BH1156:BH1163"/>
    <mergeCell ref="BC1164:BC1167"/>
    <mergeCell ref="BD1164:BD1167"/>
    <mergeCell ref="BE1164:BE1167"/>
    <mergeCell ref="BF1164:BF1167"/>
    <mergeCell ref="BG1164:BG1167"/>
    <mergeCell ref="BH1164:BH1167"/>
    <mergeCell ref="BC1169:BC1170"/>
    <mergeCell ref="BD1169:BD1170"/>
    <mergeCell ref="BE1169:BE1170"/>
    <mergeCell ref="BF1169:BF1170"/>
    <mergeCell ref="BG1169:BG1170"/>
    <mergeCell ref="BH1169:BH1170"/>
    <mergeCell ref="BC1171:BC1172"/>
    <mergeCell ref="BD1171:BD1172"/>
    <mergeCell ref="BE1171:BE1172"/>
    <mergeCell ref="BF1171:BF1172"/>
    <mergeCell ref="BG1171:BG1172"/>
    <mergeCell ref="BH1171:BH1172"/>
    <mergeCell ref="BC1173:BC1175"/>
    <mergeCell ref="BD1173:BD1175"/>
    <mergeCell ref="BE1173:BE1175"/>
    <mergeCell ref="BF1173:BF1175"/>
    <mergeCell ref="BG1173:BG1175"/>
    <mergeCell ref="BH1173:BH1175"/>
    <mergeCell ref="BC1178:BC1180"/>
    <mergeCell ref="BD1178:BD1180"/>
    <mergeCell ref="BE1178:BE1180"/>
    <mergeCell ref="BF1178:BF1180"/>
    <mergeCell ref="BG1178:BG1180"/>
    <mergeCell ref="BH1178:BH1180"/>
    <mergeCell ref="BC1184:BC1186"/>
    <mergeCell ref="BD1184:BD1186"/>
    <mergeCell ref="BE1184:BE1186"/>
    <mergeCell ref="BF1184:BF1186"/>
    <mergeCell ref="BG1184:BG1186"/>
    <mergeCell ref="BH1184:BH1186"/>
    <mergeCell ref="BC1189:BC1200"/>
    <mergeCell ref="BD1189:BD1200"/>
    <mergeCell ref="BE1189:BE1200"/>
    <mergeCell ref="BF1189:BF1200"/>
    <mergeCell ref="BG1189:BG1200"/>
    <mergeCell ref="BH1189:BH1200"/>
    <mergeCell ref="AV6:AV9"/>
    <mergeCell ref="AW6:AW9"/>
    <mergeCell ref="AX6:AX9"/>
    <mergeCell ref="AY6:AY9"/>
    <mergeCell ref="AZ6:AZ9"/>
    <mergeCell ref="BA6:BA9"/>
    <mergeCell ref="AV10:AV11"/>
    <mergeCell ref="AW10:AW11"/>
    <mergeCell ref="AX10:AX11"/>
    <mergeCell ref="AY10:AY11"/>
    <mergeCell ref="AZ10:AZ11"/>
    <mergeCell ref="BA10:BA11"/>
    <mergeCell ref="AV13:AV14"/>
    <mergeCell ref="AW13:AW14"/>
    <mergeCell ref="AX13:AX14"/>
    <mergeCell ref="AY13:AY14"/>
    <mergeCell ref="AZ13:AZ14"/>
    <mergeCell ref="BA13:BA14"/>
    <mergeCell ref="AV17:AV21"/>
    <mergeCell ref="AW17:AW21"/>
    <mergeCell ref="AX17:AX21"/>
    <mergeCell ref="AY17:AY21"/>
    <mergeCell ref="AZ17:AZ21"/>
    <mergeCell ref="BA17:BA21"/>
    <mergeCell ref="AV22:AV23"/>
    <mergeCell ref="AW22:AW23"/>
    <mergeCell ref="AX22:AX23"/>
    <mergeCell ref="AY22:AY23"/>
    <mergeCell ref="AZ22:AZ23"/>
    <mergeCell ref="BA22:BA23"/>
    <mergeCell ref="AV24:AV26"/>
    <mergeCell ref="AW24:AW26"/>
    <mergeCell ref="AX24:AX26"/>
    <mergeCell ref="AY24:AY26"/>
    <mergeCell ref="AZ24:AZ26"/>
    <mergeCell ref="BA24:BA26"/>
    <mergeCell ref="AV27:AV29"/>
    <mergeCell ref="AW27:AW29"/>
    <mergeCell ref="AX27:AX29"/>
    <mergeCell ref="AY27:AY29"/>
    <mergeCell ref="AZ27:AZ29"/>
    <mergeCell ref="BA27:BA29"/>
    <mergeCell ref="AV30:AV34"/>
    <mergeCell ref="AW30:AW34"/>
    <mergeCell ref="AX30:AX34"/>
    <mergeCell ref="AY30:AY34"/>
    <mergeCell ref="AZ30:AZ34"/>
    <mergeCell ref="BA30:BA34"/>
    <mergeCell ref="AV35:AV38"/>
    <mergeCell ref="AW35:AW38"/>
    <mergeCell ref="AX35:AX38"/>
    <mergeCell ref="AY35:AY38"/>
    <mergeCell ref="AZ35:AZ38"/>
    <mergeCell ref="BA35:BA38"/>
    <mergeCell ref="AV39:AV43"/>
    <mergeCell ref="AW39:AW43"/>
    <mergeCell ref="AX39:AX43"/>
    <mergeCell ref="AY39:AY43"/>
    <mergeCell ref="AZ39:AZ43"/>
    <mergeCell ref="BA39:BA43"/>
    <mergeCell ref="AV44:AV45"/>
    <mergeCell ref="AW44:AW45"/>
    <mergeCell ref="AX44:AX45"/>
    <mergeCell ref="AY44:AY45"/>
    <mergeCell ref="AZ44:AZ45"/>
    <mergeCell ref="BA44:BA45"/>
    <mergeCell ref="AV46:AV47"/>
    <mergeCell ref="AW46:AW47"/>
    <mergeCell ref="AX46:AX47"/>
    <mergeCell ref="AY46:AY47"/>
    <mergeCell ref="AZ46:AZ47"/>
    <mergeCell ref="BA46:BA47"/>
    <mergeCell ref="AV48:AV49"/>
    <mergeCell ref="AW48:AW49"/>
    <mergeCell ref="AX48:AX49"/>
    <mergeCell ref="AY48:AY49"/>
    <mergeCell ref="AZ48:AZ49"/>
    <mergeCell ref="BA48:BA49"/>
    <mergeCell ref="AV50:AV51"/>
    <mergeCell ref="AW50:AW51"/>
    <mergeCell ref="AX50:AX51"/>
    <mergeCell ref="AY50:AY51"/>
    <mergeCell ref="AZ50:AZ51"/>
    <mergeCell ref="BA50:BA51"/>
    <mergeCell ref="AV52:AV55"/>
    <mergeCell ref="AW52:AW55"/>
    <mergeCell ref="AX52:AX55"/>
    <mergeCell ref="AY52:AY55"/>
    <mergeCell ref="AZ52:AZ55"/>
    <mergeCell ref="BA52:BA55"/>
    <mergeCell ref="AV56:AV60"/>
    <mergeCell ref="AW56:AW60"/>
    <mergeCell ref="AX56:AX60"/>
    <mergeCell ref="AY56:AY60"/>
    <mergeCell ref="AZ56:AZ60"/>
    <mergeCell ref="BA56:BA60"/>
    <mergeCell ref="AV61:AV65"/>
    <mergeCell ref="AW61:AW65"/>
    <mergeCell ref="AX61:AX65"/>
    <mergeCell ref="AY61:AY65"/>
    <mergeCell ref="AZ61:AZ65"/>
    <mergeCell ref="BA61:BA65"/>
    <mergeCell ref="AV66:AV70"/>
    <mergeCell ref="AW66:AW70"/>
    <mergeCell ref="AX66:AX70"/>
    <mergeCell ref="AY66:AY70"/>
    <mergeCell ref="AZ66:AZ70"/>
    <mergeCell ref="BA66:BA70"/>
    <mergeCell ref="AV71:AV74"/>
    <mergeCell ref="AW71:AW74"/>
    <mergeCell ref="AX71:AX74"/>
    <mergeCell ref="AY71:AY74"/>
    <mergeCell ref="AZ71:AZ74"/>
    <mergeCell ref="BA71:BA74"/>
    <mergeCell ref="AV75:AV78"/>
    <mergeCell ref="AW75:AW78"/>
    <mergeCell ref="AX75:AX78"/>
    <mergeCell ref="AY75:AY78"/>
    <mergeCell ref="AZ75:AZ78"/>
    <mergeCell ref="BA75:BA78"/>
    <mergeCell ref="AV79:AV84"/>
    <mergeCell ref="AW79:AW84"/>
    <mergeCell ref="AX79:AX84"/>
    <mergeCell ref="AY79:AY84"/>
    <mergeCell ref="AZ79:AZ84"/>
    <mergeCell ref="BA79:BA84"/>
    <mergeCell ref="AV85:AV87"/>
    <mergeCell ref="AW85:AW87"/>
    <mergeCell ref="AX85:AX87"/>
    <mergeCell ref="AY85:AY87"/>
    <mergeCell ref="AZ85:AZ87"/>
    <mergeCell ref="BA85:BA87"/>
    <mergeCell ref="AV88:AV89"/>
    <mergeCell ref="AW88:AW89"/>
    <mergeCell ref="AX88:AX89"/>
    <mergeCell ref="AY88:AY89"/>
    <mergeCell ref="AZ88:AZ89"/>
    <mergeCell ref="BA88:BA89"/>
    <mergeCell ref="AV91:AV92"/>
    <mergeCell ref="AW91:AW92"/>
    <mergeCell ref="AX91:AX92"/>
    <mergeCell ref="AY91:AY92"/>
    <mergeCell ref="AZ91:AZ92"/>
    <mergeCell ref="BA91:BA92"/>
    <mergeCell ref="AV95:AV96"/>
    <mergeCell ref="AW95:AW96"/>
    <mergeCell ref="AX95:AX96"/>
    <mergeCell ref="AY95:AY96"/>
    <mergeCell ref="AZ95:AZ96"/>
    <mergeCell ref="BA95:BA96"/>
    <mergeCell ref="AV97:AV98"/>
    <mergeCell ref="AW97:AW98"/>
    <mergeCell ref="AX97:AX98"/>
    <mergeCell ref="AY97:AY98"/>
    <mergeCell ref="AZ97:AZ98"/>
    <mergeCell ref="BA97:BA98"/>
    <mergeCell ref="AV102:AV103"/>
    <mergeCell ref="AW102:AW103"/>
    <mergeCell ref="AX102:AX103"/>
    <mergeCell ref="AY102:AY103"/>
    <mergeCell ref="AZ102:AZ103"/>
    <mergeCell ref="BA102:BA103"/>
    <mergeCell ref="AV106:AV107"/>
    <mergeCell ref="AW106:AW107"/>
    <mergeCell ref="AX106:AX107"/>
    <mergeCell ref="AY106:AY107"/>
    <mergeCell ref="AZ106:AZ107"/>
    <mergeCell ref="BA106:BA107"/>
    <mergeCell ref="AV108:AV109"/>
    <mergeCell ref="AW108:AW109"/>
    <mergeCell ref="AX108:AX109"/>
    <mergeCell ref="AY108:AY109"/>
    <mergeCell ref="AZ108:AZ109"/>
    <mergeCell ref="BA108:BA109"/>
    <mergeCell ref="AV122:AV123"/>
    <mergeCell ref="AW122:AW123"/>
    <mergeCell ref="AX122:AX123"/>
    <mergeCell ref="AY122:AY123"/>
    <mergeCell ref="AZ122:AZ123"/>
    <mergeCell ref="BA122:BA123"/>
    <mergeCell ref="AV125:AV127"/>
    <mergeCell ref="AW125:AW127"/>
    <mergeCell ref="AX125:AX127"/>
    <mergeCell ref="AY125:AY127"/>
    <mergeCell ref="AZ125:AZ127"/>
    <mergeCell ref="BA125:BA127"/>
    <mergeCell ref="AV130:AV132"/>
    <mergeCell ref="AW130:AW132"/>
    <mergeCell ref="AX130:AX132"/>
    <mergeCell ref="AY130:AY132"/>
    <mergeCell ref="AZ130:AZ132"/>
    <mergeCell ref="BA130:BA132"/>
    <mergeCell ref="AV138:AV139"/>
    <mergeCell ref="AW138:AW139"/>
    <mergeCell ref="AX138:AX139"/>
    <mergeCell ref="AY138:AY139"/>
    <mergeCell ref="AZ138:AZ139"/>
    <mergeCell ref="BA138:BA139"/>
    <mergeCell ref="AV142:AV143"/>
    <mergeCell ref="AW142:AW143"/>
    <mergeCell ref="AX142:AX143"/>
    <mergeCell ref="AY142:AY143"/>
    <mergeCell ref="AZ142:AZ143"/>
    <mergeCell ref="BA142:BA143"/>
    <mergeCell ref="AV144:AV145"/>
    <mergeCell ref="AW144:AW145"/>
    <mergeCell ref="AX144:AX145"/>
    <mergeCell ref="AY144:AY145"/>
    <mergeCell ref="AZ144:AZ145"/>
    <mergeCell ref="BA144:BA145"/>
    <mergeCell ref="AV150:AV153"/>
    <mergeCell ref="AW150:AW153"/>
    <mergeCell ref="AX150:AX153"/>
    <mergeCell ref="AY150:AY153"/>
    <mergeCell ref="AZ150:AZ153"/>
    <mergeCell ref="BA150:BA153"/>
    <mergeCell ref="AV156:AV157"/>
    <mergeCell ref="AW156:AW157"/>
    <mergeCell ref="AX156:AX157"/>
    <mergeCell ref="AY156:AY157"/>
    <mergeCell ref="AZ156:AZ157"/>
    <mergeCell ref="BA156:BA157"/>
    <mergeCell ref="AV172:AV173"/>
    <mergeCell ref="AW172:AW173"/>
    <mergeCell ref="AX172:AX173"/>
    <mergeCell ref="AY172:AY173"/>
    <mergeCell ref="AZ172:AZ173"/>
    <mergeCell ref="BA172:BA173"/>
    <mergeCell ref="AV178:AV179"/>
    <mergeCell ref="AW178:AW179"/>
    <mergeCell ref="AX178:AX179"/>
    <mergeCell ref="AY178:AY179"/>
    <mergeCell ref="AZ178:AZ179"/>
    <mergeCell ref="BA178:BA179"/>
    <mergeCell ref="AV183:AV185"/>
    <mergeCell ref="AW183:AW185"/>
    <mergeCell ref="AX183:AX185"/>
    <mergeCell ref="AY183:AY185"/>
    <mergeCell ref="AZ183:AZ185"/>
    <mergeCell ref="BA183:BA185"/>
    <mergeCell ref="AV187:AV188"/>
    <mergeCell ref="AW187:AW188"/>
    <mergeCell ref="AX187:AX188"/>
    <mergeCell ref="AY187:AY188"/>
    <mergeCell ref="AZ187:AZ188"/>
    <mergeCell ref="BA187:BA188"/>
    <mergeCell ref="AV192:AV193"/>
    <mergeCell ref="AW192:AW193"/>
    <mergeCell ref="AX192:AX193"/>
    <mergeCell ref="AY192:AY193"/>
    <mergeCell ref="AZ192:AZ193"/>
    <mergeCell ref="BA192:BA193"/>
    <mergeCell ref="AV195:AV196"/>
    <mergeCell ref="AW195:AW196"/>
    <mergeCell ref="AX195:AX196"/>
    <mergeCell ref="AY195:AY196"/>
    <mergeCell ref="AZ195:AZ196"/>
    <mergeCell ref="BA195:BA196"/>
    <mergeCell ref="AV203:AV204"/>
    <mergeCell ref="AW203:AW204"/>
    <mergeCell ref="AX203:AX204"/>
    <mergeCell ref="AY203:AY204"/>
    <mergeCell ref="AZ203:AZ204"/>
    <mergeCell ref="BA203:BA204"/>
    <mergeCell ref="AV209:AV210"/>
    <mergeCell ref="AW209:AW210"/>
    <mergeCell ref="AX209:AX210"/>
    <mergeCell ref="AY209:AY210"/>
    <mergeCell ref="AZ209:AZ210"/>
    <mergeCell ref="BA209:BA210"/>
    <mergeCell ref="AV213:AV214"/>
    <mergeCell ref="AW213:AW214"/>
    <mergeCell ref="AX213:AX214"/>
    <mergeCell ref="AY213:AY214"/>
    <mergeCell ref="AZ213:AZ214"/>
    <mergeCell ref="BA213:BA214"/>
    <mergeCell ref="AV215:AV216"/>
    <mergeCell ref="AW215:AW216"/>
    <mergeCell ref="AX215:AX216"/>
    <mergeCell ref="AY215:AY216"/>
    <mergeCell ref="AZ215:AZ216"/>
    <mergeCell ref="BA215:BA216"/>
    <mergeCell ref="AV217:AV219"/>
    <mergeCell ref="AW217:AW219"/>
    <mergeCell ref="AX217:AX219"/>
    <mergeCell ref="AY217:AY219"/>
    <mergeCell ref="AZ217:AZ219"/>
    <mergeCell ref="BA217:BA219"/>
    <mergeCell ref="AV220:AV221"/>
    <mergeCell ref="AW220:AW221"/>
    <mergeCell ref="AX220:AX221"/>
    <mergeCell ref="AY220:AY221"/>
    <mergeCell ref="AZ220:AZ221"/>
    <mergeCell ref="BA220:BA221"/>
    <mergeCell ref="AV222:AV225"/>
    <mergeCell ref="AW222:AW225"/>
    <mergeCell ref="AX222:AX225"/>
    <mergeCell ref="AY222:AY225"/>
    <mergeCell ref="AZ222:AZ225"/>
    <mergeCell ref="BA222:BA225"/>
    <mergeCell ref="AV228:AV230"/>
    <mergeCell ref="AW228:AW230"/>
    <mergeCell ref="AX228:AX230"/>
    <mergeCell ref="AY228:AY230"/>
    <mergeCell ref="AZ228:AZ230"/>
    <mergeCell ref="BA228:BA230"/>
    <mergeCell ref="AV231:AV233"/>
    <mergeCell ref="AW231:AW233"/>
    <mergeCell ref="AX231:AX233"/>
    <mergeCell ref="AY231:AY233"/>
    <mergeCell ref="AZ231:AZ233"/>
    <mergeCell ref="BA231:BA233"/>
    <mergeCell ref="AV234:AV236"/>
    <mergeCell ref="AW234:AW236"/>
    <mergeCell ref="AX234:AX236"/>
    <mergeCell ref="AY234:AY236"/>
    <mergeCell ref="AZ234:AZ236"/>
    <mergeCell ref="BA234:BA236"/>
    <mergeCell ref="AV238:AV241"/>
    <mergeCell ref="AW238:AW241"/>
    <mergeCell ref="AX238:AX241"/>
    <mergeCell ref="AY238:AY241"/>
    <mergeCell ref="AZ238:AZ241"/>
    <mergeCell ref="BA238:BA241"/>
    <mergeCell ref="AV242:AV245"/>
    <mergeCell ref="AW242:AW245"/>
    <mergeCell ref="AX242:AX245"/>
    <mergeCell ref="AY242:AY245"/>
    <mergeCell ref="AZ242:AZ245"/>
    <mergeCell ref="BA242:BA245"/>
    <mergeCell ref="AV246:AV249"/>
    <mergeCell ref="AW246:AW249"/>
    <mergeCell ref="AX246:AX249"/>
    <mergeCell ref="AY246:AY249"/>
    <mergeCell ref="AZ246:AZ249"/>
    <mergeCell ref="BA246:BA249"/>
    <mergeCell ref="AV250:AV252"/>
    <mergeCell ref="AW250:AW252"/>
    <mergeCell ref="AX250:AX252"/>
    <mergeCell ref="AY250:AY252"/>
    <mergeCell ref="AZ250:AZ252"/>
    <mergeCell ref="BA250:BA252"/>
    <mergeCell ref="AV265:AV268"/>
    <mergeCell ref="AW265:AW268"/>
    <mergeCell ref="AX265:AX268"/>
    <mergeCell ref="AY265:AY268"/>
    <mergeCell ref="AZ265:AZ268"/>
    <mergeCell ref="BA265:BA268"/>
    <mergeCell ref="AV269:AV271"/>
    <mergeCell ref="AW269:AW271"/>
    <mergeCell ref="AX269:AX271"/>
    <mergeCell ref="AY269:AY271"/>
    <mergeCell ref="AZ269:AZ271"/>
    <mergeCell ref="BA269:BA271"/>
    <mergeCell ref="AV276:AV278"/>
    <mergeCell ref="AW276:AW278"/>
    <mergeCell ref="AX276:AX278"/>
    <mergeCell ref="AY276:AY278"/>
    <mergeCell ref="AZ276:AZ278"/>
    <mergeCell ref="BA276:BA278"/>
    <mergeCell ref="AV279:AV281"/>
    <mergeCell ref="AW279:AW281"/>
    <mergeCell ref="AX279:AX281"/>
    <mergeCell ref="AY279:AY281"/>
    <mergeCell ref="AZ279:AZ281"/>
    <mergeCell ref="BA279:BA281"/>
    <mergeCell ref="AV282:AV283"/>
    <mergeCell ref="AW282:AW283"/>
    <mergeCell ref="AX282:AX283"/>
    <mergeCell ref="AY282:AY283"/>
    <mergeCell ref="AZ282:AZ283"/>
    <mergeCell ref="BA282:BA283"/>
    <mergeCell ref="AV284:AV285"/>
    <mergeCell ref="AW284:AW285"/>
    <mergeCell ref="AX284:AX285"/>
    <mergeCell ref="AY284:AY285"/>
    <mergeCell ref="AZ284:AZ285"/>
    <mergeCell ref="BA284:BA285"/>
    <mergeCell ref="AV286:AV288"/>
    <mergeCell ref="AW286:AW288"/>
    <mergeCell ref="AX286:AX288"/>
    <mergeCell ref="AY286:AY288"/>
    <mergeCell ref="AZ286:AZ288"/>
    <mergeCell ref="BA286:BA288"/>
    <mergeCell ref="AV290:AV291"/>
    <mergeCell ref="AW290:AW291"/>
    <mergeCell ref="AX290:AX291"/>
    <mergeCell ref="AY290:AY291"/>
    <mergeCell ref="AZ290:AZ291"/>
    <mergeCell ref="BA290:BA291"/>
    <mergeCell ref="AV292:AV294"/>
    <mergeCell ref="AW292:AW294"/>
    <mergeCell ref="AX292:AX294"/>
    <mergeCell ref="AY292:AY294"/>
    <mergeCell ref="AZ292:AZ294"/>
    <mergeCell ref="BA292:BA294"/>
    <mergeCell ref="AV295:AV296"/>
    <mergeCell ref="AW295:AW296"/>
    <mergeCell ref="AX295:AX296"/>
    <mergeCell ref="AY295:AY296"/>
    <mergeCell ref="AZ295:AZ296"/>
    <mergeCell ref="BA295:BA296"/>
    <mergeCell ref="AV298:AV301"/>
    <mergeCell ref="AW298:AW301"/>
    <mergeCell ref="AX298:AX301"/>
    <mergeCell ref="AY298:AY301"/>
    <mergeCell ref="AZ298:AZ301"/>
    <mergeCell ref="BA298:BA301"/>
    <mergeCell ref="AV305:AV306"/>
    <mergeCell ref="AW305:AW306"/>
    <mergeCell ref="AX305:AX306"/>
    <mergeCell ref="AY305:AY306"/>
    <mergeCell ref="AZ305:AZ306"/>
    <mergeCell ref="BA305:BA306"/>
    <mergeCell ref="AV308:AV311"/>
    <mergeCell ref="AW308:AW311"/>
    <mergeCell ref="AX308:AX311"/>
    <mergeCell ref="AY308:AY311"/>
    <mergeCell ref="AZ308:AZ311"/>
    <mergeCell ref="BA308:BA311"/>
    <mergeCell ref="AV312:AV313"/>
    <mergeCell ref="AW312:AW313"/>
    <mergeCell ref="AX312:AX313"/>
    <mergeCell ref="AY312:AY313"/>
    <mergeCell ref="AZ312:AZ313"/>
    <mergeCell ref="BA312:BA313"/>
    <mergeCell ref="AV316:AV317"/>
    <mergeCell ref="AW316:AW317"/>
    <mergeCell ref="AX316:AX317"/>
    <mergeCell ref="AY316:AY317"/>
    <mergeCell ref="AZ316:AZ317"/>
    <mergeCell ref="BA316:BA317"/>
    <mergeCell ref="AV319:AV320"/>
    <mergeCell ref="AW319:AW320"/>
    <mergeCell ref="AX319:AX320"/>
    <mergeCell ref="AY319:AY320"/>
    <mergeCell ref="AZ319:AZ320"/>
    <mergeCell ref="BA319:BA320"/>
    <mergeCell ref="AV329:AV331"/>
    <mergeCell ref="AW329:AW331"/>
    <mergeCell ref="AX329:AX331"/>
    <mergeCell ref="AY329:AY331"/>
    <mergeCell ref="AZ329:AZ331"/>
    <mergeCell ref="BA329:BA331"/>
    <mergeCell ref="AV332:AV333"/>
    <mergeCell ref="AW332:AW333"/>
    <mergeCell ref="AX332:AX333"/>
    <mergeCell ref="AY332:AY333"/>
    <mergeCell ref="AZ332:AZ333"/>
    <mergeCell ref="BA332:BA333"/>
    <mergeCell ref="AV334:AV335"/>
    <mergeCell ref="AW334:AW335"/>
    <mergeCell ref="AX334:AX335"/>
    <mergeCell ref="AY334:AY335"/>
    <mergeCell ref="AZ334:AZ335"/>
    <mergeCell ref="BA334:BA335"/>
    <mergeCell ref="AV336:AV341"/>
    <mergeCell ref="AW336:AW341"/>
    <mergeCell ref="AX336:AX341"/>
    <mergeCell ref="AY336:AY341"/>
    <mergeCell ref="AZ336:AZ341"/>
    <mergeCell ref="BA336:BA341"/>
    <mergeCell ref="AV344:AV347"/>
    <mergeCell ref="AW344:AW347"/>
    <mergeCell ref="AX344:AX347"/>
    <mergeCell ref="AY344:AY347"/>
    <mergeCell ref="AZ344:AZ347"/>
    <mergeCell ref="BA344:BA347"/>
    <mergeCell ref="AV348:AV349"/>
    <mergeCell ref="AW348:AW349"/>
    <mergeCell ref="AX348:AX349"/>
    <mergeCell ref="AY348:AY349"/>
    <mergeCell ref="AZ348:AZ349"/>
    <mergeCell ref="BA348:BA349"/>
    <mergeCell ref="AV350:AV351"/>
    <mergeCell ref="AW350:AW351"/>
    <mergeCell ref="AX350:AX351"/>
    <mergeCell ref="AY350:AY351"/>
    <mergeCell ref="AZ350:AZ351"/>
    <mergeCell ref="BA350:BA351"/>
    <mergeCell ref="AV352:AV353"/>
    <mergeCell ref="AW352:AW353"/>
    <mergeCell ref="AX352:AX353"/>
    <mergeCell ref="AY352:AY353"/>
    <mergeCell ref="AZ352:AZ353"/>
    <mergeCell ref="BA352:BA353"/>
    <mergeCell ref="AV358:AV359"/>
    <mergeCell ref="AW358:AW359"/>
    <mergeCell ref="AX358:AX359"/>
    <mergeCell ref="AY358:AY359"/>
    <mergeCell ref="AZ358:AZ359"/>
    <mergeCell ref="BA358:BA359"/>
    <mergeCell ref="AV360:AV361"/>
    <mergeCell ref="AW360:AW361"/>
    <mergeCell ref="AX360:AX361"/>
    <mergeCell ref="AY360:AY361"/>
    <mergeCell ref="AZ360:AZ361"/>
    <mergeCell ref="BA360:BA361"/>
    <mergeCell ref="AV362:AV363"/>
    <mergeCell ref="AW362:AW363"/>
    <mergeCell ref="AX362:AX363"/>
    <mergeCell ref="AY362:AY363"/>
    <mergeCell ref="AZ362:AZ363"/>
    <mergeCell ref="BA362:BA363"/>
    <mergeCell ref="AV364:AV365"/>
    <mergeCell ref="AW364:AW365"/>
    <mergeCell ref="AX364:AX365"/>
    <mergeCell ref="AY364:AY365"/>
    <mergeCell ref="AZ364:AZ365"/>
    <mergeCell ref="BA364:BA365"/>
    <mergeCell ref="AV368:AV369"/>
    <mergeCell ref="AW368:AW369"/>
    <mergeCell ref="AX368:AX369"/>
    <mergeCell ref="AY368:AY369"/>
    <mergeCell ref="AZ368:AZ369"/>
    <mergeCell ref="BA368:BA369"/>
    <mergeCell ref="AV372:AV373"/>
    <mergeCell ref="AW372:AW373"/>
    <mergeCell ref="AX372:AX373"/>
    <mergeCell ref="AY372:AY373"/>
    <mergeCell ref="AZ372:AZ373"/>
    <mergeCell ref="BA372:BA373"/>
    <mergeCell ref="AV374:AV378"/>
    <mergeCell ref="AW374:AW378"/>
    <mergeCell ref="AX374:AX378"/>
    <mergeCell ref="AY374:AY378"/>
    <mergeCell ref="AZ374:AZ378"/>
    <mergeCell ref="BA374:BA378"/>
    <mergeCell ref="AV380:AV381"/>
    <mergeCell ref="AW380:AW381"/>
    <mergeCell ref="AX380:AX381"/>
    <mergeCell ref="AY380:AY381"/>
    <mergeCell ref="AZ380:AZ381"/>
    <mergeCell ref="BA380:BA381"/>
    <mergeCell ref="AV382:AV385"/>
    <mergeCell ref="AW382:AW385"/>
    <mergeCell ref="AX382:AX385"/>
    <mergeCell ref="AY382:AY385"/>
    <mergeCell ref="AZ382:AZ385"/>
    <mergeCell ref="BA382:BA385"/>
    <mergeCell ref="AV386:AV387"/>
    <mergeCell ref="AW386:AW387"/>
    <mergeCell ref="AX386:AX387"/>
    <mergeCell ref="AY386:AY387"/>
    <mergeCell ref="AZ386:AZ387"/>
    <mergeCell ref="BA386:BA387"/>
    <mergeCell ref="AV388:AV389"/>
    <mergeCell ref="AW388:AW389"/>
    <mergeCell ref="AX388:AX389"/>
    <mergeCell ref="AY388:AY389"/>
    <mergeCell ref="AZ388:AZ389"/>
    <mergeCell ref="BA388:BA389"/>
    <mergeCell ref="AV390:AV391"/>
    <mergeCell ref="AW390:AW391"/>
    <mergeCell ref="AX390:AX391"/>
    <mergeCell ref="AY390:AY391"/>
    <mergeCell ref="AZ390:AZ391"/>
    <mergeCell ref="BA390:BA391"/>
    <mergeCell ref="AV394:AV398"/>
    <mergeCell ref="AW394:AW398"/>
    <mergeCell ref="AX394:AX398"/>
    <mergeCell ref="AY394:AY398"/>
    <mergeCell ref="AZ394:AZ398"/>
    <mergeCell ref="BA394:BA398"/>
    <mergeCell ref="AV399:AV401"/>
    <mergeCell ref="AW399:AW401"/>
    <mergeCell ref="AX399:AX401"/>
    <mergeCell ref="AY399:AY401"/>
    <mergeCell ref="AZ399:AZ401"/>
    <mergeCell ref="BA399:BA401"/>
    <mergeCell ref="AV402:AV405"/>
    <mergeCell ref="AW402:AW405"/>
    <mergeCell ref="AX402:AX405"/>
    <mergeCell ref="AY402:AY405"/>
    <mergeCell ref="AZ402:AZ405"/>
    <mergeCell ref="BA402:BA405"/>
    <mergeCell ref="AV406:AV407"/>
    <mergeCell ref="AW406:AW407"/>
    <mergeCell ref="AX406:AX407"/>
    <mergeCell ref="AY406:AY407"/>
    <mergeCell ref="AZ406:AZ407"/>
    <mergeCell ref="BA406:BA407"/>
    <mergeCell ref="AV408:AV410"/>
    <mergeCell ref="AW408:AW410"/>
    <mergeCell ref="AX408:AX410"/>
    <mergeCell ref="AY408:AY410"/>
    <mergeCell ref="AZ408:AZ410"/>
    <mergeCell ref="BA408:BA410"/>
    <mergeCell ref="AV411:AV413"/>
    <mergeCell ref="AW411:AW413"/>
    <mergeCell ref="AX411:AX413"/>
    <mergeCell ref="AY411:AY413"/>
    <mergeCell ref="AZ411:AZ413"/>
    <mergeCell ref="BA411:BA413"/>
    <mergeCell ref="AV414:AV416"/>
    <mergeCell ref="AW414:AW416"/>
    <mergeCell ref="AX414:AX416"/>
    <mergeCell ref="AY414:AY416"/>
    <mergeCell ref="AZ414:AZ416"/>
    <mergeCell ref="BA414:BA416"/>
    <mergeCell ref="AV417:AV418"/>
    <mergeCell ref="AW417:AW418"/>
    <mergeCell ref="AX417:AX418"/>
    <mergeCell ref="AY417:AY418"/>
    <mergeCell ref="AZ417:AZ418"/>
    <mergeCell ref="BA417:BA418"/>
    <mergeCell ref="AV421:AV424"/>
    <mergeCell ref="AW421:AW424"/>
    <mergeCell ref="AX421:AX424"/>
    <mergeCell ref="AY421:AY424"/>
    <mergeCell ref="AZ421:AZ424"/>
    <mergeCell ref="BA421:BA424"/>
    <mergeCell ref="AV425:AV426"/>
    <mergeCell ref="AW425:AW426"/>
    <mergeCell ref="AX425:AX426"/>
    <mergeCell ref="AY425:AY426"/>
    <mergeCell ref="AZ425:AZ426"/>
    <mergeCell ref="BA425:BA426"/>
    <mergeCell ref="AV429:AV430"/>
    <mergeCell ref="AW429:AW430"/>
    <mergeCell ref="AX429:AX430"/>
    <mergeCell ref="AY429:AY430"/>
    <mergeCell ref="AZ429:AZ430"/>
    <mergeCell ref="BA429:BA430"/>
    <mergeCell ref="AV431:AV432"/>
    <mergeCell ref="AW431:AW432"/>
    <mergeCell ref="AX431:AX432"/>
    <mergeCell ref="AY431:AY432"/>
    <mergeCell ref="AZ431:AZ432"/>
    <mergeCell ref="BA431:BA432"/>
    <mergeCell ref="AV433:AV434"/>
    <mergeCell ref="AW433:AW434"/>
    <mergeCell ref="AX433:AX434"/>
    <mergeCell ref="AY433:AY434"/>
    <mergeCell ref="AZ433:AZ434"/>
    <mergeCell ref="BA433:BA434"/>
    <mergeCell ref="AV438:AV439"/>
    <mergeCell ref="AW438:AW439"/>
    <mergeCell ref="AX438:AX439"/>
    <mergeCell ref="AY438:AY439"/>
    <mergeCell ref="AZ438:AZ439"/>
    <mergeCell ref="BA438:BA439"/>
    <mergeCell ref="AV441:AV443"/>
    <mergeCell ref="AW441:AW443"/>
    <mergeCell ref="AX441:AX443"/>
    <mergeCell ref="AY441:AY443"/>
    <mergeCell ref="AZ441:AZ443"/>
    <mergeCell ref="BA441:BA443"/>
    <mergeCell ref="AV448:AV449"/>
    <mergeCell ref="AW448:AW449"/>
    <mergeCell ref="AX448:AX449"/>
    <mergeCell ref="AY448:AY449"/>
    <mergeCell ref="AZ448:AZ449"/>
    <mergeCell ref="BA448:BA449"/>
    <mergeCell ref="AV450:AV451"/>
    <mergeCell ref="AW450:AW451"/>
    <mergeCell ref="AX450:AX451"/>
    <mergeCell ref="AY450:AY451"/>
    <mergeCell ref="AZ450:AZ451"/>
    <mergeCell ref="BA450:BA451"/>
    <mergeCell ref="AV453:AV454"/>
    <mergeCell ref="AW453:AW454"/>
    <mergeCell ref="AX453:AX454"/>
    <mergeCell ref="AY453:AY454"/>
    <mergeCell ref="AZ453:AZ454"/>
    <mergeCell ref="BA453:BA454"/>
    <mergeCell ref="AV455:AV457"/>
    <mergeCell ref="AW455:AW457"/>
    <mergeCell ref="AX455:AX457"/>
    <mergeCell ref="AY455:AY457"/>
    <mergeCell ref="AZ455:AZ457"/>
    <mergeCell ref="BA455:BA457"/>
    <mergeCell ref="AV471:AV472"/>
    <mergeCell ref="AW471:AW472"/>
    <mergeCell ref="AX471:AX472"/>
    <mergeCell ref="AY471:AY472"/>
    <mergeCell ref="AZ471:AZ472"/>
    <mergeCell ref="BA471:BA472"/>
    <mergeCell ref="AV475:AV476"/>
    <mergeCell ref="AW475:AW476"/>
    <mergeCell ref="AX475:AX476"/>
    <mergeCell ref="AY475:AY476"/>
    <mergeCell ref="AZ475:AZ476"/>
    <mergeCell ref="BA475:BA476"/>
    <mergeCell ref="AV477:AV479"/>
    <mergeCell ref="AW477:AW479"/>
    <mergeCell ref="AX477:AX479"/>
    <mergeCell ref="AY477:AY479"/>
    <mergeCell ref="AZ477:AZ479"/>
    <mergeCell ref="BA477:BA479"/>
    <mergeCell ref="AV482:AV484"/>
    <mergeCell ref="AW482:AW484"/>
    <mergeCell ref="AX482:AX484"/>
    <mergeCell ref="AY482:AY484"/>
    <mergeCell ref="AZ482:AZ484"/>
    <mergeCell ref="BA482:BA484"/>
    <mergeCell ref="AV485:AV486"/>
    <mergeCell ref="AW485:AW486"/>
    <mergeCell ref="AX485:AX486"/>
    <mergeCell ref="AY485:AY486"/>
    <mergeCell ref="AZ485:AZ486"/>
    <mergeCell ref="BA485:BA486"/>
    <mergeCell ref="AV487:AV488"/>
    <mergeCell ref="AW487:AW488"/>
    <mergeCell ref="AX487:AX488"/>
    <mergeCell ref="AY487:AY488"/>
    <mergeCell ref="AZ487:AZ488"/>
    <mergeCell ref="BA487:BA488"/>
    <mergeCell ref="AV491:AV492"/>
    <mergeCell ref="AW491:AW492"/>
    <mergeCell ref="AX491:AX492"/>
    <mergeCell ref="AY491:AY492"/>
    <mergeCell ref="AZ491:AZ492"/>
    <mergeCell ref="BA491:BA492"/>
    <mergeCell ref="AV493:AV494"/>
    <mergeCell ref="AW493:AW494"/>
    <mergeCell ref="AX493:AX494"/>
    <mergeCell ref="AY493:AY494"/>
    <mergeCell ref="AZ493:AZ494"/>
    <mergeCell ref="BA493:BA494"/>
    <mergeCell ref="AV497:AV498"/>
    <mergeCell ref="AW497:AW498"/>
    <mergeCell ref="AX497:AX498"/>
    <mergeCell ref="AY497:AY498"/>
    <mergeCell ref="AZ497:AZ498"/>
    <mergeCell ref="BA497:BA498"/>
    <mergeCell ref="AV499:AV502"/>
    <mergeCell ref="AW499:AW502"/>
    <mergeCell ref="AX499:AX502"/>
    <mergeCell ref="AY499:AY502"/>
    <mergeCell ref="AZ499:AZ502"/>
    <mergeCell ref="BA499:BA502"/>
    <mergeCell ref="AV503:AV505"/>
    <mergeCell ref="AW503:AW505"/>
    <mergeCell ref="AX503:AX505"/>
    <mergeCell ref="AY503:AY505"/>
    <mergeCell ref="AZ503:AZ505"/>
    <mergeCell ref="BA503:BA505"/>
    <mergeCell ref="AV507:AV508"/>
    <mergeCell ref="AW507:AW508"/>
    <mergeCell ref="AX507:AX508"/>
    <mergeCell ref="AY507:AY508"/>
    <mergeCell ref="AZ507:AZ508"/>
    <mergeCell ref="BA507:BA508"/>
    <mergeCell ref="AV509:AV511"/>
    <mergeCell ref="AW509:AW511"/>
    <mergeCell ref="AX509:AX511"/>
    <mergeCell ref="AY509:AY511"/>
    <mergeCell ref="AZ509:AZ511"/>
    <mergeCell ref="BA509:BA511"/>
    <mergeCell ref="AV518:AV520"/>
    <mergeCell ref="AW518:AW520"/>
    <mergeCell ref="AX518:AX520"/>
    <mergeCell ref="AY518:AY520"/>
    <mergeCell ref="AZ518:AZ520"/>
    <mergeCell ref="BA518:BA520"/>
    <mergeCell ref="AV522:AV524"/>
    <mergeCell ref="AW522:AW524"/>
    <mergeCell ref="AX522:AX524"/>
    <mergeCell ref="AY522:AY524"/>
    <mergeCell ref="AZ522:AZ524"/>
    <mergeCell ref="BA522:BA524"/>
    <mergeCell ref="AV525:AV526"/>
    <mergeCell ref="AW525:AW526"/>
    <mergeCell ref="AX525:AX526"/>
    <mergeCell ref="AY525:AY526"/>
    <mergeCell ref="AZ525:AZ526"/>
    <mergeCell ref="BA525:BA526"/>
    <mergeCell ref="AV530:AV531"/>
    <mergeCell ref="AW530:AW531"/>
    <mergeCell ref="AX530:AX531"/>
    <mergeCell ref="AY530:AY531"/>
    <mergeCell ref="AZ530:AZ531"/>
    <mergeCell ref="BA530:BA531"/>
    <mergeCell ref="AV543:AV545"/>
    <mergeCell ref="AW543:AW545"/>
    <mergeCell ref="AX543:AX545"/>
    <mergeCell ref="AY543:AY545"/>
    <mergeCell ref="AZ543:AZ545"/>
    <mergeCell ref="BA543:BA545"/>
    <mergeCell ref="AV559:AV560"/>
    <mergeCell ref="AW559:AW560"/>
    <mergeCell ref="AX559:AX560"/>
    <mergeCell ref="AY559:AY560"/>
    <mergeCell ref="AZ559:AZ560"/>
    <mergeCell ref="BA559:BA560"/>
    <mergeCell ref="AV562:AV563"/>
    <mergeCell ref="AW562:AW563"/>
    <mergeCell ref="AX562:AX563"/>
    <mergeCell ref="AY562:AY563"/>
    <mergeCell ref="AZ562:AZ563"/>
    <mergeCell ref="BA562:BA563"/>
    <mergeCell ref="AV564:AV566"/>
    <mergeCell ref="AW564:AW566"/>
    <mergeCell ref="AX564:AX566"/>
    <mergeCell ref="AY564:AY566"/>
    <mergeCell ref="AZ564:AZ566"/>
    <mergeCell ref="BA564:BA566"/>
    <mergeCell ref="AV567:AV568"/>
    <mergeCell ref="AW567:AW568"/>
    <mergeCell ref="AX567:AX568"/>
    <mergeCell ref="AY567:AY568"/>
    <mergeCell ref="AZ567:AZ568"/>
    <mergeCell ref="BA567:BA568"/>
    <mergeCell ref="AV569:AV570"/>
    <mergeCell ref="AW569:AW570"/>
    <mergeCell ref="AX569:AX570"/>
    <mergeCell ref="AY569:AY570"/>
    <mergeCell ref="AZ569:AZ570"/>
    <mergeCell ref="BA569:BA570"/>
    <mergeCell ref="AV571:AV572"/>
    <mergeCell ref="AW571:AW572"/>
    <mergeCell ref="AX571:AX572"/>
    <mergeCell ref="AY571:AY572"/>
    <mergeCell ref="AZ571:AZ572"/>
    <mergeCell ref="BA571:BA572"/>
    <mergeCell ref="AV574:AV576"/>
    <mergeCell ref="AW574:AW576"/>
    <mergeCell ref="AX574:AX576"/>
    <mergeCell ref="AY574:AY576"/>
    <mergeCell ref="AZ574:AZ576"/>
    <mergeCell ref="BA574:BA576"/>
    <mergeCell ref="AV577:AV578"/>
    <mergeCell ref="AW577:AW578"/>
    <mergeCell ref="AX577:AX578"/>
    <mergeCell ref="AY577:AY578"/>
    <mergeCell ref="AZ577:AZ578"/>
    <mergeCell ref="BA577:BA578"/>
    <mergeCell ref="AV579:AV581"/>
    <mergeCell ref="AW579:AW581"/>
    <mergeCell ref="AX579:AX581"/>
    <mergeCell ref="AY579:AY581"/>
    <mergeCell ref="AZ579:AZ581"/>
    <mergeCell ref="BA579:BA581"/>
    <mergeCell ref="AV585:AV587"/>
    <mergeCell ref="AW585:AW587"/>
    <mergeCell ref="AX585:AX587"/>
    <mergeCell ref="AY585:AY587"/>
    <mergeCell ref="AZ585:AZ587"/>
    <mergeCell ref="BA585:BA587"/>
    <mergeCell ref="AV590:AV592"/>
    <mergeCell ref="AW590:AW592"/>
    <mergeCell ref="AX590:AX592"/>
    <mergeCell ref="AY590:AY592"/>
    <mergeCell ref="AZ590:AZ592"/>
    <mergeCell ref="BA590:BA592"/>
    <mergeCell ref="AV593:AV594"/>
    <mergeCell ref="AW593:AW594"/>
    <mergeCell ref="AX593:AX594"/>
    <mergeCell ref="AY593:AY594"/>
    <mergeCell ref="AZ593:AZ594"/>
    <mergeCell ref="BA593:BA594"/>
    <mergeCell ref="AV595:AV596"/>
    <mergeCell ref="AW595:AW596"/>
    <mergeCell ref="AX595:AX596"/>
    <mergeCell ref="AY595:AY596"/>
    <mergeCell ref="AZ595:AZ596"/>
    <mergeCell ref="BA595:BA596"/>
    <mergeCell ref="AV598:AV599"/>
    <mergeCell ref="AW598:AW599"/>
    <mergeCell ref="AX598:AX599"/>
    <mergeCell ref="AY598:AY599"/>
    <mergeCell ref="AZ598:AZ599"/>
    <mergeCell ref="BA598:BA599"/>
    <mergeCell ref="AV600:AV601"/>
    <mergeCell ref="AW600:AW601"/>
    <mergeCell ref="AX600:AX601"/>
    <mergeCell ref="AY600:AY601"/>
    <mergeCell ref="AZ600:AZ601"/>
    <mergeCell ref="BA600:BA601"/>
    <mergeCell ref="AV602:AV603"/>
    <mergeCell ref="AW602:AW603"/>
    <mergeCell ref="AX602:AX603"/>
    <mergeCell ref="AY602:AY603"/>
    <mergeCell ref="AZ602:AZ603"/>
    <mergeCell ref="BA602:BA603"/>
    <mergeCell ref="AV604:AV605"/>
    <mergeCell ref="AW604:AW605"/>
    <mergeCell ref="AX604:AX605"/>
    <mergeCell ref="AY604:AY605"/>
    <mergeCell ref="AZ604:AZ605"/>
    <mergeCell ref="BA604:BA605"/>
    <mergeCell ref="AV606:AV610"/>
    <mergeCell ref="AW606:AW610"/>
    <mergeCell ref="AX606:AX610"/>
    <mergeCell ref="AY606:AY610"/>
    <mergeCell ref="AZ606:AZ610"/>
    <mergeCell ref="BA606:BA610"/>
    <mergeCell ref="AV611:AV614"/>
    <mergeCell ref="AW611:AW614"/>
    <mergeCell ref="AX611:AX614"/>
    <mergeCell ref="AY611:AY614"/>
    <mergeCell ref="AZ611:AZ614"/>
    <mergeCell ref="BA611:BA614"/>
    <mergeCell ref="AV615:AV616"/>
    <mergeCell ref="AW615:AW616"/>
    <mergeCell ref="AX615:AX616"/>
    <mergeCell ref="AY615:AY616"/>
    <mergeCell ref="AZ615:AZ616"/>
    <mergeCell ref="BA615:BA616"/>
    <mergeCell ref="AV617:AV619"/>
    <mergeCell ref="AW617:AW619"/>
    <mergeCell ref="AX617:AX619"/>
    <mergeCell ref="AY617:AY619"/>
    <mergeCell ref="AZ617:AZ619"/>
    <mergeCell ref="BA617:BA619"/>
    <mergeCell ref="AV620:AV622"/>
    <mergeCell ref="AW620:AW622"/>
    <mergeCell ref="AX620:AX622"/>
    <mergeCell ref="AY620:AY622"/>
    <mergeCell ref="AZ620:AZ622"/>
    <mergeCell ref="BA620:BA622"/>
    <mergeCell ref="AV623:AV625"/>
    <mergeCell ref="AW623:AW625"/>
    <mergeCell ref="AX623:AX625"/>
    <mergeCell ref="AY623:AY625"/>
    <mergeCell ref="AZ623:AZ625"/>
    <mergeCell ref="BA623:BA625"/>
    <mergeCell ref="AV626:AV628"/>
    <mergeCell ref="AW626:AW628"/>
    <mergeCell ref="AX626:AX628"/>
    <mergeCell ref="AY626:AY628"/>
    <mergeCell ref="AZ626:AZ628"/>
    <mergeCell ref="BA626:BA628"/>
    <mergeCell ref="AV629:AV631"/>
    <mergeCell ref="AW629:AW631"/>
    <mergeCell ref="AX629:AX631"/>
    <mergeCell ref="AY629:AY631"/>
    <mergeCell ref="AZ629:AZ631"/>
    <mergeCell ref="BA629:BA631"/>
    <mergeCell ref="AV632:AV633"/>
    <mergeCell ref="AW632:AW633"/>
    <mergeCell ref="AX632:AX633"/>
    <mergeCell ref="AY632:AY633"/>
    <mergeCell ref="AZ632:AZ633"/>
    <mergeCell ref="BA632:BA633"/>
    <mergeCell ref="AV635:AV636"/>
    <mergeCell ref="AW635:AW636"/>
    <mergeCell ref="AX635:AX636"/>
    <mergeCell ref="AY635:AY636"/>
    <mergeCell ref="AZ635:AZ636"/>
    <mergeCell ref="BA635:BA636"/>
    <mergeCell ref="AV637:AV638"/>
    <mergeCell ref="AW637:AW638"/>
    <mergeCell ref="AX637:AX638"/>
    <mergeCell ref="AY637:AY638"/>
    <mergeCell ref="AZ637:AZ638"/>
    <mergeCell ref="BA637:BA638"/>
    <mergeCell ref="AV639:AV641"/>
    <mergeCell ref="AW639:AW641"/>
    <mergeCell ref="AX639:AX641"/>
    <mergeCell ref="AY639:AY641"/>
    <mergeCell ref="AZ639:AZ641"/>
    <mergeCell ref="BA639:BA641"/>
    <mergeCell ref="AV657:AV660"/>
    <mergeCell ref="AW657:AW660"/>
    <mergeCell ref="AX657:AX660"/>
    <mergeCell ref="AY657:AY660"/>
    <mergeCell ref="AZ657:AZ660"/>
    <mergeCell ref="BA657:BA660"/>
    <mergeCell ref="AV663:AV667"/>
    <mergeCell ref="AW663:AW667"/>
    <mergeCell ref="AX663:AX667"/>
    <mergeCell ref="AY663:AY667"/>
    <mergeCell ref="AZ663:AZ667"/>
    <mergeCell ref="BA663:BA667"/>
    <mergeCell ref="AV673:AV674"/>
    <mergeCell ref="AW673:AW674"/>
    <mergeCell ref="AX673:AX674"/>
    <mergeCell ref="AY673:AY674"/>
    <mergeCell ref="AZ673:AZ674"/>
    <mergeCell ref="BA673:BA674"/>
    <mergeCell ref="AV676:AV677"/>
    <mergeCell ref="AW676:AW677"/>
    <mergeCell ref="AX676:AX677"/>
    <mergeCell ref="AY676:AY677"/>
    <mergeCell ref="AZ676:AZ677"/>
    <mergeCell ref="BA676:BA677"/>
    <mergeCell ref="AV679:AV680"/>
    <mergeCell ref="AW679:AW680"/>
    <mergeCell ref="AX679:AX680"/>
    <mergeCell ref="AY679:AY680"/>
    <mergeCell ref="AZ679:AZ680"/>
    <mergeCell ref="BA679:BA680"/>
    <mergeCell ref="AV684:AV685"/>
    <mergeCell ref="AW684:AW685"/>
    <mergeCell ref="AX684:AX685"/>
    <mergeCell ref="AY684:AY685"/>
    <mergeCell ref="AZ684:AZ685"/>
    <mergeCell ref="BA684:BA685"/>
    <mergeCell ref="AV696:AV698"/>
    <mergeCell ref="AW696:AW698"/>
    <mergeCell ref="AX696:AX698"/>
    <mergeCell ref="AY696:AY698"/>
    <mergeCell ref="AZ696:AZ698"/>
    <mergeCell ref="BA696:BA698"/>
    <mergeCell ref="AV699:AV700"/>
    <mergeCell ref="AW699:AW700"/>
    <mergeCell ref="AX699:AX700"/>
    <mergeCell ref="AY699:AY700"/>
    <mergeCell ref="AZ699:AZ700"/>
    <mergeCell ref="BA699:BA700"/>
    <mergeCell ref="AV701:AV702"/>
    <mergeCell ref="AW701:AW702"/>
    <mergeCell ref="AX701:AX702"/>
    <mergeCell ref="AY701:AY702"/>
    <mergeCell ref="AZ701:AZ702"/>
    <mergeCell ref="BA701:BA702"/>
    <mergeCell ref="AV710:AV711"/>
    <mergeCell ref="AW710:AW711"/>
    <mergeCell ref="AX710:AX711"/>
    <mergeCell ref="AY710:AY711"/>
    <mergeCell ref="AZ710:AZ711"/>
    <mergeCell ref="BA710:BA711"/>
    <mergeCell ref="AV712:AV713"/>
    <mergeCell ref="AW712:AW713"/>
    <mergeCell ref="AX712:AX713"/>
    <mergeCell ref="AY712:AY713"/>
    <mergeCell ref="AZ712:AZ713"/>
    <mergeCell ref="BA712:BA713"/>
    <mergeCell ref="AV720:AV722"/>
    <mergeCell ref="AW720:AW722"/>
    <mergeCell ref="AX720:AX722"/>
    <mergeCell ref="AY720:AY722"/>
    <mergeCell ref="AZ720:AZ722"/>
    <mergeCell ref="BA720:BA722"/>
    <mergeCell ref="AV723:AV724"/>
    <mergeCell ref="AW723:AW724"/>
    <mergeCell ref="AX723:AX724"/>
    <mergeCell ref="AY723:AY724"/>
    <mergeCell ref="AZ723:AZ724"/>
    <mergeCell ref="BA723:BA724"/>
    <mergeCell ref="AV725:AV726"/>
    <mergeCell ref="AW725:AW726"/>
    <mergeCell ref="AX725:AX726"/>
    <mergeCell ref="AY725:AY726"/>
    <mergeCell ref="AZ725:AZ726"/>
    <mergeCell ref="BA725:BA726"/>
    <mergeCell ref="AV730:AV731"/>
    <mergeCell ref="AW730:AW731"/>
    <mergeCell ref="AX730:AX731"/>
    <mergeCell ref="AY730:AY731"/>
    <mergeCell ref="AZ730:AZ731"/>
    <mergeCell ref="BA730:BA731"/>
    <mergeCell ref="AV732:AV734"/>
    <mergeCell ref="AW732:AW734"/>
    <mergeCell ref="AX732:AX734"/>
    <mergeCell ref="AY732:AY734"/>
    <mergeCell ref="AZ732:AZ734"/>
    <mergeCell ref="BA732:BA734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AV746:AV748"/>
    <mergeCell ref="AW746:AW748"/>
    <mergeCell ref="AX746:AX748"/>
    <mergeCell ref="AY746:AY748"/>
    <mergeCell ref="AZ746:AZ748"/>
    <mergeCell ref="BA746:BA748"/>
    <mergeCell ref="AV753:AV754"/>
    <mergeCell ref="AW753:AW754"/>
    <mergeCell ref="AX753:AX754"/>
    <mergeCell ref="AY753:AY754"/>
    <mergeCell ref="AZ753:AZ754"/>
    <mergeCell ref="BA753:BA754"/>
    <mergeCell ref="AV755:AV756"/>
    <mergeCell ref="AW755:AW756"/>
    <mergeCell ref="AX755:AX756"/>
    <mergeCell ref="AY755:AY756"/>
    <mergeCell ref="AZ755:AZ756"/>
    <mergeCell ref="BA755:BA756"/>
    <mergeCell ref="AV758:AV762"/>
    <mergeCell ref="AW758:AW762"/>
    <mergeCell ref="AX758:AX762"/>
    <mergeCell ref="AY758:AY762"/>
    <mergeCell ref="AZ758:AZ762"/>
    <mergeCell ref="BA758:BA762"/>
    <mergeCell ref="AV763:AV764"/>
    <mergeCell ref="AW763:AW764"/>
    <mergeCell ref="AX763:AX764"/>
    <mergeCell ref="AY763:AY764"/>
    <mergeCell ref="AZ763:AZ764"/>
    <mergeCell ref="BA763:BA764"/>
    <mergeCell ref="AV765:AV767"/>
    <mergeCell ref="AW765:AW767"/>
    <mergeCell ref="AX765:AX767"/>
    <mergeCell ref="AY765:AY767"/>
    <mergeCell ref="AZ765:AZ767"/>
    <mergeCell ref="BA765:BA767"/>
    <mergeCell ref="AV768:AV769"/>
    <mergeCell ref="AW768:AW769"/>
    <mergeCell ref="AX768:AX769"/>
    <mergeCell ref="AY768:AY769"/>
    <mergeCell ref="AZ768:AZ769"/>
    <mergeCell ref="BA768:BA769"/>
    <mergeCell ref="AV771:AV775"/>
    <mergeCell ref="AW771:AW775"/>
    <mergeCell ref="AX771:AX775"/>
    <mergeCell ref="AY771:AY775"/>
    <mergeCell ref="AZ771:AZ775"/>
    <mergeCell ref="BA771:BA775"/>
    <mergeCell ref="AV776:AV778"/>
    <mergeCell ref="AW776:AW778"/>
    <mergeCell ref="AX776:AX778"/>
    <mergeCell ref="AY776:AY778"/>
    <mergeCell ref="AZ776:AZ778"/>
    <mergeCell ref="BA776:BA778"/>
    <mergeCell ref="AV781:AV782"/>
    <mergeCell ref="AW781:AW782"/>
    <mergeCell ref="AX781:AX782"/>
    <mergeCell ref="AY781:AY782"/>
    <mergeCell ref="AZ781:AZ782"/>
    <mergeCell ref="BA781:BA782"/>
    <mergeCell ref="AV783:AV785"/>
    <mergeCell ref="AW783:AW785"/>
    <mergeCell ref="AX783:AX785"/>
    <mergeCell ref="AY783:AY785"/>
    <mergeCell ref="AZ783:AZ785"/>
    <mergeCell ref="BA783:BA785"/>
    <mergeCell ref="AV786:AV787"/>
    <mergeCell ref="AW786:AW787"/>
    <mergeCell ref="AX786:AX787"/>
    <mergeCell ref="AY786:AY787"/>
    <mergeCell ref="AZ786:AZ787"/>
    <mergeCell ref="BA786:BA787"/>
    <mergeCell ref="AV788:AV790"/>
    <mergeCell ref="AW788:AW790"/>
    <mergeCell ref="AX788:AX790"/>
    <mergeCell ref="AY788:AY790"/>
    <mergeCell ref="AZ788:AZ790"/>
    <mergeCell ref="BA788:BA790"/>
    <mergeCell ref="AV791:AV795"/>
    <mergeCell ref="AW791:AW795"/>
    <mergeCell ref="AX791:AX795"/>
    <mergeCell ref="AY791:AY795"/>
    <mergeCell ref="AZ791:AZ795"/>
    <mergeCell ref="BA791:BA795"/>
    <mergeCell ref="AV796:AV800"/>
    <mergeCell ref="AW796:AW800"/>
    <mergeCell ref="AX796:AX800"/>
    <mergeCell ref="AY796:AY800"/>
    <mergeCell ref="AZ796:AZ800"/>
    <mergeCell ref="BA796:BA800"/>
    <mergeCell ref="AV801:AV809"/>
    <mergeCell ref="AW801:AW809"/>
    <mergeCell ref="AX801:AX809"/>
    <mergeCell ref="AY801:AY809"/>
    <mergeCell ref="AZ801:AZ809"/>
    <mergeCell ref="BA801:BA809"/>
    <mergeCell ref="AV810:AV818"/>
    <mergeCell ref="AW810:AW818"/>
    <mergeCell ref="AX810:AX818"/>
    <mergeCell ref="AY810:AY818"/>
    <mergeCell ref="AZ810:AZ818"/>
    <mergeCell ref="BA810:BA818"/>
    <mergeCell ref="AV819:AV823"/>
    <mergeCell ref="AW819:AW823"/>
    <mergeCell ref="AX819:AX823"/>
    <mergeCell ref="AY819:AY823"/>
    <mergeCell ref="AZ819:AZ823"/>
    <mergeCell ref="BA819:BA823"/>
    <mergeCell ref="AV824:AV832"/>
    <mergeCell ref="AW824:AW832"/>
    <mergeCell ref="AX824:AX832"/>
    <mergeCell ref="AY824:AY832"/>
    <mergeCell ref="AZ824:AZ832"/>
    <mergeCell ref="BA824:BA832"/>
    <mergeCell ref="AV833:AV836"/>
    <mergeCell ref="AW833:AW836"/>
    <mergeCell ref="AX833:AX836"/>
    <mergeCell ref="AY833:AY836"/>
    <mergeCell ref="AZ833:AZ836"/>
    <mergeCell ref="BA833:BA836"/>
    <mergeCell ref="AV837:AV845"/>
    <mergeCell ref="AW837:AW845"/>
    <mergeCell ref="AX837:AX845"/>
    <mergeCell ref="AY837:AY845"/>
    <mergeCell ref="AZ837:AZ845"/>
    <mergeCell ref="BA837:BA845"/>
    <mergeCell ref="AV846:AV847"/>
    <mergeCell ref="AW846:AW847"/>
    <mergeCell ref="AX846:AX847"/>
    <mergeCell ref="AY846:AY847"/>
    <mergeCell ref="AZ846:AZ847"/>
    <mergeCell ref="BA846:BA847"/>
    <mergeCell ref="AV849:AV850"/>
    <mergeCell ref="AW849:AW850"/>
    <mergeCell ref="AX849:AX850"/>
    <mergeCell ref="AY849:AY850"/>
    <mergeCell ref="AZ849:AZ850"/>
    <mergeCell ref="BA849:BA850"/>
    <mergeCell ref="AV851:AV854"/>
    <mergeCell ref="AW851:AW854"/>
    <mergeCell ref="AX851:AX854"/>
    <mergeCell ref="AY851:AY854"/>
    <mergeCell ref="AZ851:AZ854"/>
    <mergeCell ref="BA851:BA854"/>
    <mergeCell ref="AV855:AV857"/>
    <mergeCell ref="AW855:AW857"/>
    <mergeCell ref="AX855:AX857"/>
    <mergeCell ref="AY855:AY857"/>
    <mergeCell ref="AZ855:AZ857"/>
    <mergeCell ref="BA855:BA857"/>
    <mergeCell ref="AV859:AV860"/>
    <mergeCell ref="AW859:AW860"/>
    <mergeCell ref="AX859:AX860"/>
    <mergeCell ref="AY859:AY860"/>
    <mergeCell ref="AZ859:AZ860"/>
    <mergeCell ref="BA859:BA860"/>
    <mergeCell ref="AV861:AV862"/>
    <mergeCell ref="AW861:AW862"/>
    <mergeCell ref="AX861:AX862"/>
    <mergeCell ref="AY861:AY862"/>
    <mergeCell ref="AZ861:AZ862"/>
    <mergeCell ref="BA861:BA862"/>
    <mergeCell ref="AV863:AV864"/>
    <mergeCell ref="AW863:AW864"/>
    <mergeCell ref="AX863:AX864"/>
    <mergeCell ref="AY863:AY864"/>
    <mergeCell ref="AZ863:AZ864"/>
    <mergeCell ref="BA863:BA864"/>
    <mergeCell ref="AV868:AV869"/>
    <mergeCell ref="AW868:AW869"/>
    <mergeCell ref="AX868:AX869"/>
    <mergeCell ref="AY868:AY869"/>
    <mergeCell ref="AZ868:AZ869"/>
    <mergeCell ref="BA868:BA869"/>
    <mergeCell ref="AV875:AV876"/>
    <mergeCell ref="AW875:AW876"/>
    <mergeCell ref="AX875:AX876"/>
    <mergeCell ref="AY875:AY876"/>
    <mergeCell ref="AZ875:AZ876"/>
    <mergeCell ref="BA875:BA876"/>
    <mergeCell ref="AV879:AV880"/>
    <mergeCell ref="AW879:AW880"/>
    <mergeCell ref="AX879:AX880"/>
    <mergeCell ref="AY879:AY880"/>
    <mergeCell ref="AZ879:AZ880"/>
    <mergeCell ref="BA879:BA880"/>
    <mergeCell ref="AV881:AV883"/>
    <mergeCell ref="AW881:AW883"/>
    <mergeCell ref="AX881:AX883"/>
    <mergeCell ref="AY881:AY883"/>
    <mergeCell ref="AZ881:AZ883"/>
    <mergeCell ref="BA881:BA883"/>
    <mergeCell ref="AV884:AV886"/>
    <mergeCell ref="AW884:AW886"/>
    <mergeCell ref="AX884:AX886"/>
    <mergeCell ref="AY884:AY886"/>
    <mergeCell ref="AZ884:AZ886"/>
    <mergeCell ref="BA884:BA886"/>
    <mergeCell ref="AV887:AV888"/>
    <mergeCell ref="AW887:AW888"/>
    <mergeCell ref="AX887:AX888"/>
    <mergeCell ref="AY887:AY888"/>
    <mergeCell ref="AZ887:AZ888"/>
    <mergeCell ref="BA887:BA888"/>
    <mergeCell ref="AV889:AV891"/>
    <mergeCell ref="AW889:AW891"/>
    <mergeCell ref="AX889:AX891"/>
    <mergeCell ref="AY889:AY891"/>
    <mergeCell ref="AZ889:AZ891"/>
    <mergeCell ref="BA889:BA891"/>
    <mergeCell ref="AV906:AV907"/>
    <mergeCell ref="AW906:AW907"/>
    <mergeCell ref="AX906:AX907"/>
    <mergeCell ref="AY906:AY907"/>
    <mergeCell ref="AZ906:AZ907"/>
    <mergeCell ref="BA906:BA907"/>
    <mergeCell ref="AV916:AV917"/>
    <mergeCell ref="AW916:AW917"/>
    <mergeCell ref="AX916:AX917"/>
    <mergeCell ref="AY916:AY917"/>
    <mergeCell ref="AZ916:AZ917"/>
    <mergeCell ref="BA916:BA917"/>
    <mergeCell ref="AV926:AV928"/>
    <mergeCell ref="AW926:AW928"/>
    <mergeCell ref="AX926:AX928"/>
    <mergeCell ref="AY926:AY928"/>
    <mergeCell ref="AZ926:AZ928"/>
    <mergeCell ref="BA926:BA928"/>
    <mergeCell ref="AV933:AV936"/>
    <mergeCell ref="AW933:AW936"/>
    <mergeCell ref="AX933:AX936"/>
    <mergeCell ref="AY933:AY936"/>
    <mergeCell ref="AZ933:AZ936"/>
    <mergeCell ref="BA933:BA936"/>
    <mergeCell ref="AV937:AV941"/>
    <mergeCell ref="AW937:AW941"/>
    <mergeCell ref="AX937:AX941"/>
    <mergeCell ref="AY937:AY941"/>
    <mergeCell ref="AZ937:AZ941"/>
    <mergeCell ref="BA937:BA941"/>
    <mergeCell ref="AV942:AV943"/>
    <mergeCell ref="AW942:AW943"/>
    <mergeCell ref="AX942:AX943"/>
    <mergeCell ref="AY942:AY943"/>
    <mergeCell ref="AZ942:AZ943"/>
    <mergeCell ref="BA942:BA943"/>
    <mergeCell ref="AV944:AV945"/>
    <mergeCell ref="AW944:AW945"/>
    <mergeCell ref="AX944:AX945"/>
    <mergeCell ref="AY944:AY945"/>
    <mergeCell ref="AZ944:AZ945"/>
    <mergeCell ref="BA944:BA945"/>
    <mergeCell ref="AV946:AV948"/>
    <mergeCell ref="AW946:AW948"/>
    <mergeCell ref="AX946:AX948"/>
    <mergeCell ref="AY946:AY948"/>
    <mergeCell ref="AZ946:AZ948"/>
    <mergeCell ref="BA946:BA948"/>
    <mergeCell ref="AV949:AV952"/>
    <mergeCell ref="AW949:AW952"/>
    <mergeCell ref="AX949:AX952"/>
    <mergeCell ref="AY949:AY952"/>
    <mergeCell ref="AZ949:AZ952"/>
    <mergeCell ref="BA949:BA952"/>
    <mergeCell ref="AV959:AV960"/>
    <mergeCell ref="AW959:AW960"/>
    <mergeCell ref="AX959:AX960"/>
    <mergeCell ref="AY959:AY960"/>
    <mergeCell ref="AZ959:AZ960"/>
    <mergeCell ref="BA959:BA960"/>
    <mergeCell ref="AV961:AV962"/>
    <mergeCell ref="AW961:AW962"/>
    <mergeCell ref="AX961:AX962"/>
    <mergeCell ref="AY961:AY962"/>
    <mergeCell ref="AZ961:AZ962"/>
    <mergeCell ref="BA961:BA962"/>
    <mergeCell ref="AV969:AV970"/>
    <mergeCell ref="AW969:AW970"/>
    <mergeCell ref="AX969:AX970"/>
    <mergeCell ref="AY969:AY970"/>
    <mergeCell ref="AZ969:AZ970"/>
    <mergeCell ref="BA969:BA970"/>
    <mergeCell ref="AV977:AV978"/>
    <mergeCell ref="AW977:AW978"/>
    <mergeCell ref="AX977:AX978"/>
    <mergeCell ref="AY977:AY978"/>
    <mergeCell ref="AZ977:AZ978"/>
    <mergeCell ref="BA977:BA978"/>
    <mergeCell ref="AV979:AV980"/>
    <mergeCell ref="AW979:AW980"/>
    <mergeCell ref="AX979:AX980"/>
    <mergeCell ref="AY979:AY980"/>
    <mergeCell ref="AZ979:AZ980"/>
    <mergeCell ref="BA979:BA980"/>
    <mergeCell ref="AV981:AV983"/>
    <mergeCell ref="AW981:AW983"/>
    <mergeCell ref="AX981:AX983"/>
    <mergeCell ref="AY981:AY983"/>
    <mergeCell ref="AZ981:AZ983"/>
    <mergeCell ref="BA981:BA983"/>
    <mergeCell ref="AV984:AV986"/>
    <mergeCell ref="AW984:AW986"/>
    <mergeCell ref="AX984:AX986"/>
    <mergeCell ref="AY984:AY986"/>
    <mergeCell ref="AZ984:AZ986"/>
    <mergeCell ref="BA984:BA986"/>
    <mergeCell ref="AV988:AV989"/>
    <mergeCell ref="AW988:AW989"/>
    <mergeCell ref="AX988:AX989"/>
    <mergeCell ref="AY988:AY989"/>
    <mergeCell ref="AZ988:AZ989"/>
    <mergeCell ref="BA988:BA989"/>
    <mergeCell ref="AV991:AV992"/>
    <mergeCell ref="AW991:AW992"/>
    <mergeCell ref="AX991:AX992"/>
    <mergeCell ref="AY991:AY992"/>
    <mergeCell ref="AZ991:AZ992"/>
    <mergeCell ref="BA991:BA992"/>
    <mergeCell ref="AV996:AV997"/>
    <mergeCell ref="AW996:AW997"/>
    <mergeCell ref="AX996:AX997"/>
    <mergeCell ref="AY996:AY997"/>
    <mergeCell ref="AZ996:AZ997"/>
    <mergeCell ref="BA996:BA997"/>
    <mergeCell ref="AV999:AV1000"/>
    <mergeCell ref="AW999:AW1000"/>
    <mergeCell ref="AX999:AX1000"/>
    <mergeCell ref="AY999:AY1000"/>
    <mergeCell ref="AZ999:AZ1000"/>
    <mergeCell ref="BA999:BA1000"/>
    <mergeCell ref="AV1001:AV1002"/>
    <mergeCell ref="AW1001:AW1002"/>
    <mergeCell ref="AX1001:AX1002"/>
    <mergeCell ref="AY1001:AY1002"/>
    <mergeCell ref="AZ1001:AZ1002"/>
    <mergeCell ref="BA1001:BA1002"/>
    <mergeCell ref="AV1003:AV1004"/>
    <mergeCell ref="AW1003:AW1004"/>
    <mergeCell ref="AX1003:AX1004"/>
    <mergeCell ref="AY1003:AY1004"/>
    <mergeCell ref="AZ1003:AZ1004"/>
    <mergeCell ref="BA1003:BA1004"/>
    <mergeCell ref="AV1005:AV1006"/>
    <mergeCell ref="AW1005:AW1006"/>
    <mergeCell ref="AX1005:AX1006"/>
    <mergeCell ref="AY1005:AY1006"/>
    <mergeCell ref="AZ1005:AZ1006"/>
    <mergeCell ref="BA1005:BA1006"/>
    <mergeCell ref="AV1008:AV1010"/>
    <mergeCell ref="AW1008:AW1010"/>
    <mergeCell ref="AX1008:AX1010"/>
    <mergeCell ref="AY1008:AY1010"/>
    <mergeCell ref="AZ1008:AZ1010"/>
    <mergeCell ref="BA1008:BA1010"/>
    <mergeCell ref="AV1014:AV1016"/>
    <mergeCell ref="AW1014:AW1016"/>
    <mergeCell ref="AX1014:AX1016"/>
    <mergeCell ref="AY1014:AY1016"/>
    <mergeCell ref="AZ1014:AZ1016"/>
    <mergeCell ref="BA1014:BA1016"/>
    <mergeCell ref="AV1019:AV1020"/>
    <mergeCell ref="AW1019:AW1020"/>
    <mergeCell ref="AX1019:AX1020"/>
    <mergeCell ref="AY1019:AY1020"/>
    <mergeCell ref="AZ1019:AZ1020"/>
    <mergeCell ref="BA1019:BA1020"/>
    <mergeCell ref="AV1030:AV1032"/>
    <mergeCell ref="AW1030:AW1032"/>
    <mergeCell ref="AX1030:AX1032"/>
    <mergeCell ref="AY1030:AY1032"/>
    <mergeCell ref="AZ1030:AZ1032"/>
    <mergeCell ref="BA1030:BA1032"/>
    <mergeCell ref="AV1033:AV1035"/>
    <mergeCell ref="AW1033:AW1035"/>
    <mergeCell ref="AX1033:AX1035"/>
    <mergeCell ref="AY1033:AY1035"/>
    <mergeCell ref="AZ1033:AZ1035"/>
    <mergeCell ref="BA1033:BA1035"/>
    <mergeCell ref="AV1037:AV1038"/>
    <mergeCell ref="AW1037:AW1038"/>
    <mergeCell ref="AX1037:AX1038"/>
    <mergeCell ref="AY1037:AY1038"/>
    <mergeCell ref="AZ1037:AZ1038"/>
    <mergeCell ref="BA1037:BA1038"/>
    <mergeCell ref="AV1039:AV1040"/>
    <mergeCell ref="AW1039:AW1040"/>
    <mergeCell ref="AX1039:AX1040"/>
    <mergeCell ref="AY1039:AY1040"/>
    <mergeCell ref="AZ1039:AZ1040"/>
    <mergeCell ref="BA1039:BA1040"/>
    <mergeCell ref="AV1044:AV1046"/>
    <mergeCell ref="AW1044:AW1046"/>
    <mergeCell ref="AX1044:AX1046"/>
    <mergeCell ref="AY1044:AY1046"/>
    <mergeCell ref="AZ1044:AZ1046"/>
    <mergeCell ref="BA1044:BA1046"/>
    <mergeCell ref="AV1047:AV1049"/>
    <mergeCell ref="AW1047:AW1049"/>
    <mergeCell ref="AX1047:AX1049"/>
    <mergeCell ref="AY1047:AY1049"/>
    <mergeCell ref="AZ1047:AZ1049"/>
    <mergeCell ref="BA1047:BA1049"/>
    <mergeCell ref="AV1051:AV1053"/>
    <mergeCell ref="AW1051:AW1053"/>
    <mergeCell ref="AX1051:AX1053"/>
    <mergeCell ref="AY1051:AY1053"/>
    <mergeCell ref="AZ1051:AZ1053"/>
    <mergeCell ref="BA1051:BA1053"/>
    <mergeCell ref="AV1054:AV1056"/>
    <mergeCell ref="AW1054:AW1056"/>
    <mergeCell ref="AX1054:AX1056"/>
    <mergeCell ref="AY1054:AY1056"/>
    <mergeCell ref="AZ1054:AZ1056"/>
    <mergeCell ref="BA1054:BA1056"/>
    <mergeCell ref="AV1059:AV1060"/>
    <mergeCell ref="AW1059:AW1060"/>
    <mergeCell ref="AX1059:AX1060"/>
    <mergeCell ref="AY1059:AY1060"/>
    <mergeCell ref="AZ1059:AZ1060"/>
    <mergeCell ref="BA1059:BA1060"/>
    <mergeCell ref="AV1063:AV1065"/>
    <mergeCell ref="AW1063:AW1065"/>
    <mergeCell ref="AX1063:AX1065"/>
    <mergeCell ref="AY1063:AY1065"/>
    <mergeCell ref="AZ1063:AZ1065"/>
    <mergeCell ref="BA1063:BA1065"/>
    <mergeCell ref="AV1066:AV1069"/>
    <mergeCell ref="AW1066:AW1069"/>
    <mergeCell ref="AX1066:AX1069"/>
    <mergeCell ref="AY1066:AY1069"/>
    <mergeCell ref="AZ1066:AZ1069"/>
    <mergeCell ref="BA1066:BA1069"/>
    <mergeCell ref="AV1070:AV1071"/>
    <mergeCell ref="AW1070:AW1071"/>
    <mergeCell ref="AX1070:AX1071"/>
    <mergeCell ref="AY1070:AY1071"/>
    <mergeCell ref="AZ1070:AZ1071"/>
    <mergeCell ref="BA1070:BA1071"/>
    <mergeCell ref="AV1072:AV1075"/>
    <mergeCell ref="AW1072:AW1075"/>
    <mergeCell ref="AX1072:AX1075"/>
    <mergeCell ref="AY1072:AY1075"/>
    <mergeCell ref="AZ1072:AZ1075"/>
    <mergeCell ref="BA1072:BA1075"/>
    <mergeCell ref="AV1076:AV1077"/>
    <mergeCell ref="AW1076:AW1077"/>
    <mergeCell ref="AX1076:AX1077"/>
    <mergeCell ref="AY1076:AY1077"/>
    <mergeCell ref="AZ1076:AZ1077"/>
    <mergeCell ref="BA1076:BA1077"/>
    <mergeCell ref="AV1078:AV1080"/>
    <mergeCell ref="AW1078:AW1080"/>
    <mergeCell ref="AX1078:AX1080"/>
    <mergeCell ref="AY1078:AY1080"/>
    <mergeCell ref="AZ1078:AZ1080"/>
    <mergeCell ref="BA1078:BA1080"/>
    <mergeCell ref="AV1081:AV1085"/>
    <mergeCell ref="AW1081:AW1085"/>
    <mergeCell ref="AX1081:AX1085"/>
    <mergeCell ref="AY1081:AY1085"/>
    <mergeCell ref="AZ1081:AZ1085"/>
    <mergeCell ref="BA1081:BA1085"/>
    <mergeCell ref="AV1087:AV1088"/>
    <mergeCell ref="AW1087:AW1088"/>
    <mergeCell ref="AX1087:AX1088"/>
    <mergeCell ref="AY1087:AY1088"/>
    <mergeCell ref="AZ1087:AZ1088"/>
    <mergeCell ref="BA1087:BA1088"/>
    <mergeCell ref="AV1091:AV1094"/>
    <mergeCell ref="AW1091:AW1094"/>
    <mergeCell ref="AX1091:AX1094"/>
    <mergeCell ref="AY1091:AY1094"/>
    <mergeCell ref="AZ1091:AZ1094"/>
    <mergeCell ref="BA1091:BA1094"/>
    <mergeCell ref="AV1095:AV1099"/>
    <mergeCell ref="AW1095:AW1099"/>
    <mergeCell ref="AX1095:AX1099"/>
    <mergeCell ref="AY1095:AY1099"/>
    <mergeCell ref="AZ1095:AZ1099"/>
    <mergeCell ref="BA1095:BA1099"/>
    <mergeCell ref="AV1100:AV1103"/>
    <mergeCell ref="AW1100:AW1103"/>
    <mergeCell ref="AX1100:AX1103"/>
    <mergeCell ref="AY1100:AY1103"/>
    <mergeCell ref="AZ1100:AZ1103"/>
    <mergeCell ref="BA1100:BA1103"/>
    <mergeCell ref="AV1104:AV1107"/>
    <mergeCell ref="AW1104:AW1107"/>
    <mergeCell ref="AX1104:AX1107"/>
    <mergeCell ref="AY1104:AY1107"/>
    <mergeCell ref="AZ1104:AZ1107"/>
    <mergeCell ref="BA1104:BA1107"/>
    <mergeCell ref="AV1108:AV1111"/>
    <mergeCell ref="AW1108:AW1111"/>
    <mergeCell ref="AX1108:AX1111"/>
    <mergeCell ref="AY1108:AY1111"/>
    <mergeCell ref="AZ1108:AZ1111"/>
    <mergeCell ref="BA1108:BA1111"/>
    <mergeCell ref="AV1113:AV1114"/>
    <mergeCell ref="AW1113:AW1114"/>
    <mergeCell ref="AX1113:AX1114"/>
    <mergeCell ref="AY1113:AY1114"/>
    <mergeCell ref="AZ1113:AZ1114"/>
    <mergeCell ref="BA1113:BA1114"/>
    <mergeCell ref="AV1115:AV1116"/>
    <mergeCell ref="AW1115:AW1116"/>
    <mergeCell ref="AX1115:AX1116"/>
    <mergeCell ref="AY1115:AY1116"/>
    <mergeCell ref="AZ1115:AZ1116"/>
    <mergeCell ref="BA1115:BA1116"/>
    <mergeCell ref="AV1117:AV1119"/>
    <mergeCell ref="AW1117:AW1119"/>
    <mergeCell ref="AX1117:AX1119"/>
    <mergeCell ref="AY1117:AY1119"/>
    <mergeCell ref="AZ1117:AZ1119"/>
    <mergeCell ref="BA1117:BA1119"/>
    <mergeCell ref="AV1121:AV1124"/>
    <mergeCell ref="AW1121:AW1124"/>
    <mergeCell ref="AX1121:AX1124"/>
    <mergeCell ref="AY1121:AY1124"/>
    <mergeCell ref="AZ1121:AZ1124"/>
    <mergeCell ref="BA1121:BA1124"/>
    <mergeCell ref="AV1128:AV1129"/>
    <mergeCell ref="AW1128:AW1129"/>
    <mergeCell ref="AX1128:AX1129"/>
    <mergeCell ref="AY1128:AY1129"/>
    <mergeCell ref="AZ1128:AZ1129"/>
    <mergeCell ref="BA1128:BA1129"/>
    <mergeCell ref="AV1133:AV1134"/>
    <mergeCell ref="AW1133:AW1134"/>
    <mergeCell ref="AX1133:AX1134"/>
    <mergeCell ref="AY1133:AY1134"/>
    <mergeCell ref="AZ1133:AZ1134"/>
    <mergeCell ref="BA1133:BA1134"/>
    <mergeCell ref="AV1135:AV1136"/>
    <mergeCell ref="AW1135:AW1136"/>
    <mergeCell ref="AX1135:AX1136"/>
    <mergeCell ref="AY1135:AY1136"/>
    <mergeCell ref="AZ1135:AZ1136"/>
    <mergeCell ref="BA1135:BA1136"/>
    <mergeCell ref="AV1147:AV1148"/>
    <mergeCell ref="AW1147:AW1148"/>
    <mergeCell ref="AX1147:AX1148"/>
    <mergeCell ref="AY1147:AY1148"/>
    <mergeCell ref="AZ1147:AZ1148"/>
    <mergeCell ref="BA1147:BA1148"/>
    <mergeCell ref="AV1150:AV1151"/>
    <mergeCell ref="AW1150:AW1151"/>
    <mergeCell ref="AX1150:AX1151"/>
    <mergeCell ref="AY1150:AY1151"/>
    <mergeCell ref="AZ1150:AZ1151"/>
    <mergeCell ref="BA1150:BA1151"/>
    <mergeCell ref="AV1154:AV1155"/>
    <mergeCell ref="AW1154:AW1155"/>
    <mergeCell ref="AX1154:AX1155"/>
    <mergeCell ref="AY1154:AY1155"/>
    <mergeCell ref="AZ1154:AZ1155"/>
    <mergeCell ref="BA1154:BA1155"/>
    <mergeCell ref="AV1156:AV1158"/>
    <mergeCell ref="AW1156:AW1158"/>
    <mergeCell ref="AX1156:AX1158"/>
    <mergeCell ref="AY1156:AY1158"/>
    <mergeCell ref="AZ1156:AZ1158"/>
    <mergeCell ref="BA1156:BA1158"/>
    <mergeCell ref="AV1159:AV1160"/>
    <mergeCell ref="AW1159:AW1160"/>
    <mergeCell ref="AX1159:AX1160"/>
    <mergeCell ref="AY1159:AY1160"/>
    <mergeCell ref="AZ1159:AZ1160"/>
    <mergeCell ref="BA1159:BA1160"/>
    <mergeCell ref="AV1161:AV1163"/>
    <mergeCell ref="AW1161:AW1163"/>
    <mergeCell ref="AX1161:AX1163"/>
    <mergeCell ref="AY1161:AY1163"/>
    <mergeCell ref="AZ1161:AZ1163"/>
    <mergeCell ref="BA1161:BA1163"/>
    <mergeCell ref="AV1166:AV1167"/>
    <mergeCell ref="AW1166:AW1167"/>
    <mergeCell ref="AX1166:AX1167"/>
    <mergeCell ref="AY1166:AY1167"/>
    <mergeCell ref="AZ1166:AZ1167"/>
    <mergeCell ref="BA1166:BA1167"/>
    <mergeCell ref="AV1169:AV1170"/>
    <mergeCell ref="AW1169:AW1170"/>
    <mergeCell ref="AX1169:AX1170"/>
    <mergeCell ref="AY1169:AY1170"/>
    <mergeCell ref="AZ1169:AZ1170"/>
    <mergeCell ref="BA1169:BA1170"/>
    <mergeCell ref="AV1173:AV1175"/>
    <mergeCell ref="AW1173:AW1175"/>
    <mergeCell ref="AX1173:AX1175"/>
    <mergeCell ref="AY1173:AY1175"/>
    <mergeCell ref="AZ1173:AZ1175"/>
    <mergeCell ref="BA1173:BA1175"/>
    <mergeCell ref="AV1184:AV1186"/>
    <mergeCell ref="AW1184:AW1186"/>
    <mergeCell ref="AX1184:AX1186"/>
    <mergeCell ref="AY1184:AY1186"/>
    <mergeCell ref="AZ1184:AZ1186"/>
    <mergeCell ref="BA1184:BA1186"/>
    <mergeCell ref="AV1195:AV1197"/>
    <mergeCell ref="AW1195:AW1197"/>
    <mergeCell ref="AX1195:AX1197"/>
    <mergeCell ref="AY1195:AY1197"/>
    <mergeCell ref="AZ1195:AZ1197"/>
    <mergeCell ref="BA1195:BA1197"/>
    <mergeCell ref="AV1199:AV1200"/>
    <mergeCell ref="AW1199:AW1200"/>
    <mergeCell ref="AX1199:AX1200"/>
    <mergeCell ref="AY1199:AY1200"/>
    <mergeCell ref="AZ1199:AZ1200"/>
    <mergeCell ref="BA1199:BA1200"/>
    <mergeCell ref="BB131:BB132"/>
    <mergeCell ref="BB150:BB151"/>
    <mergeCell ref="BB195:BB196"/>
    <mergeCell ref="BB229:BB230"/>
    <mergeCell ref="BB231:BB232"/>
    <mergeCell ref="BB244:BB245"/>
    <mergeCell ref="BB290:BB291"/>
    <mergeCell ref="BB299:BB300"/>
    <mergeCell ref="BB308:BB309"/>
    <mergeCell ref="BB310:BB311"/>
    <mergeCell ref="BB438:BB439"/>
    <mergeCell ref="BB485:BB486"/>
    <mergeCell ref="BB657:BB658"/>
    <mergeCell ref="BB659:BB660"/>
    <mergeCell ref="BB665:BB666"/>
    <mergeCell ref="BB712:BB713"/>
    <mergeCell ref="BB801:BB802"/>
    <mergeCell ref="BB803:BB804"/>
    <mergeCell ref="BB805:BB806"/>
    <mergeCell ref="BB807:BB808"/>
    <mergeCell ref="BB810:BB811"/>
    <mergeCell ref="BB812:BB813"/>
    <mergeCell ref="BB814:BB815"/>
    <mergeCell ref="BB816:BB817"/>
    <mergeCell ref="BB824:BB825"/>
    <mergeCell ref="BB826:BB827"/>
    <mergeCell ref="BB828:BB829"/>
    <mergeCell ref="BB830:BB831"/>
    <mergeCell ref="BB837:BB838"/>
    <mergeCell ref="BB839:BB840"/>
    <mergeCell ref="BB841:BB842"/>
    <mergeCell ref="BB843:BB844"/>
    <mergeCell ref="BB851:BB852"/>
    <mergeCell ref="BB853:BB854"/>
    <mergeCell ref="BB859:BB860"/>
    <mergeCell ref="BB861:BB862"/>
    <mergeCell ref="BB1008:BB1009"/>
    <mergeCell ref="BB1063:BB1064"/>
    <mergeCell ref="BB1066:BB1067"/>
    <mergeCell ref="BB1068:BB1069"/>
    <mergeCell ref="BB1135:BB113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7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5910</v>
      </c>
      <c r="C2" s="0" t="s">
        <v>5911</v>
      </c>
      <c r="D2" s="0" t="s">
        <v>5912</v>
      </c>
      <c r="E2" s="0" t="s">
        <v>85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36</v>
      </c>
      <c r="F4" s="1" t="s">
        <v>36</v>
      </c>
      <c r="G4" s="1" t="s">
        <v>37</v>
      </c>
      <c r="H4" s="1" t="s">
        <v>37</v>
      </c>
      <c r="I4" s="1" t="s">
        <v>5913</v>
      </c>
      <c r="J4" s="1" t="s">
        <v>5914</v>
      </c>
      <c r="K4" s="1" t="s">
        <v>36</v>
      </c>
      <c r="L4" s="1" t="s">
        <v>36</v>
      </c>
      <c r="M4" s="1" t="s">
        <v>37</v>
      </c>
      <c r="N4" s="1" t="s">
        <v>37</v>
      </c>
      <c r="O4" s="1" t="s">
        <v>5915</v>
      </c>
      <c r="P4" s="1" t="s">
        <v>5916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5917</v>
      </c>
      <c r="F5" s="1" t="s">
        <v>5918</v>
      </c>
      <c r="G5" s="1" t="s">
        <v>5917</v>
      </c>
      <c r="H5" s="1" t="s">
        <v>5918</v>
      </c>
      <c r="I5" s="1" t="s">
        <v>5913</v>
      </c>
      <c r="J5" s="1" t="s">
        <v>5914</v>
      </c>
      <c r="K5" s="1" t="s">
        <v>5919</v>
      </c>
      <c r="L5" s="1" t="s">
        <v>5920</v>
      </c>
      <c r="M5" s="1" t="s">
        <v>5919</v>
      </c>
      <c r="N5" s="1" t="s">
        <v>5920</v>
      </c>
      <c r="O5" s="1" t="s">
        <v>5915</v>
      </c>
      <c r="P5" s="1" t="s">
        <v>5916</v>
      </c>
    </row>
    <row r="6">
      <c r="A6" s="2" t="s">
        <v>872</v>
      </c>
      <c r="B6" s="2" t="s">
        <v>789</v>
      </c>
      <c r="C6" s="2" t="s">
        <v>884</v>
      </c>
      <c r="D6" s="2" t="s">
        <v>1753</v>
      </c>
      <c r="E6" s="4"/>
      <c r="F6" s="8"/>
      <c r="G6" s="4"/>
      <c r="H6" s="8"/>
      <c r="I6" s="7"/>
      <c r="J6" s="7"/>
      <c r="K6" s="4"/>
      <c r="L6" s="8"/>
      <c r="M6" s="4"/>
      <c r="N6" s="8"/>
      <c r="O6" s="7"/>
      <c r="P6" s="7"/>
    </row>
    <row r="7">
      <c r="A7" s="2" t="s">
        <v>872</v>
      </c>
      <c r="B7" s="2" t="s">
        <v>1171</v>
      </c>
      <c r="C7" s="2" t="s">
        <v>261</v>
      </c>
      <c r="D7" s="2" t="s">
        <v>603</v>
      </c>
      <c r="E7" s="4"/>
      <c r="F7" s="8"/>
      <c r="G7" s="4"/>
      <c r="H7" s="8"/>
      <c r="I7" s="7"/>
      <c r="J7" s="7"/>
      <c r="K7" s="4"/>
      <c r="L7" s="8"/>
      <c r="M7" s="4"/>
      <c r="N7" s="8"/>
      <c r="O7" s="7"/>
      <c r="P7" s="7"/>
    </row>
    <row r="8">
      <c r="A8" s="2" t="s">
        <v>872</v>
      </c>
      <c r="B8" s="2" t="s">
        <v>1171</v>
      </c>
      <c r="C8" s="2" t="s">
        <v>1172</v>
      </c>
      <c r="D8" s="2" t="s">
        <v>1173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872</v>
      </c>
      <c r="B9" s="2" t="s">
        <v>5741</v>
      </c>
      <c r="C9" s="2" t="s">
        <v>884</v>
      </c>
      <c r="D9" s="2" t="s">
        <v>885</v>
      </c>
      <c r="E9" s="4"/>
      <c r="F9" s="8"/>
      <c r="G9" s="4"/>
      <c r="H9" s="8"/>
      <c r="I9" s="7"/>
      <c r="J9" s="7"/>
      <c r="K9" s="4"/>
      <c r="L9" s="8"/>
      <c r="M9" s="4"/>
      <c r="N9" s="8"/>
      <c r="O9" s="7"/>
      <c r="P9" s="7"/>
    </row>
    <row r="10">
      <c r="A10" s="2" t="s">
        <v>872</v>
      </c>
      <c r="B10" s="2" t="s">
        <v>2050</v>
      </c>
      <c r="C10" s="2" t="s">
        <v>1815</v>
      </c>
      <c r="D10" s="2" t="s">
        <v>1816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872</v>
      </c>
      <c r="B11" s="2" t="s">
        <v>2050</v>
      </c>
      <c r="C11" s="2" t="s">
        <v>261</v>
      </c>
      <c r="D11" s="2" t="s">
        <v>603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872</v>
      </c>
      <c r="B12" s="2" t="s">
        <v>2050</v>
      </c>
      <c r="C12" s="2" t="s">
        <v>774</v>
      </c>
      <c r="D12" s="2" t="s">
        <v>827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872</v>
      </c>
      <c r="B13" s="2" t="s">
        <v>762</v>
      </c>
      <c r="C13" s="2" t="s">
        <v>1815</v>
      </c>
      <c r="D13" s="2" t="s">
        <v>1816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872</v>
      </c>
      <c r="B14" s="2" t="s">
        <v>762</v>
      </c>
      <c r="C14" s="2" t="s">
        <v>261</v>
      </c>
      <c r="D14" s="2" t="s">
        <v>895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872</v>
      </c>
      <c r="B15" s="2" t="s">
        <v>762</v>
      </c>
      <c r="C15" s="2" t="s">
        <v>884</v>
      </c>
      <c r="D15" s="2" t="s">
        <v>885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872</v>
      </c>
      <c r="B16" s="2" t="s">
        <v>762</v>
      </c>
      <c r="C16" s="2" t="s">
        <v>774</v>
      </c>
      <c r="D16" s="2" t="s">
        <v>775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872</v>
      </c>
      <c r="B17" s="2" t="s">
        <v>280</v>
      </c>
      <c r="C17" s="2" t="s">
        <v>261</v>
      </c>
      <c r="D17" s="2" t="s">
        <v>1119</v>
      </c>
      <c r="E17" s="4" t="s">
        <v>233</v>
      </c>
      <c r="F17" s="8" t="s">
        <v>233</v>
      </c>
      <c r="G17" s="4" t="s">
        <v>233</v>
      </c>
      <c r="H17" s="8" t="s">
        <v>233</v>
      </c>
      <c r="I17" s="7" t="s">
        <v>233</v>
      </c>
      <c r="J17" s="7" t="s">
        <v>233</v>
      </c>
      <c r="K17" s="4"/>
      <c r="L17" s="8"/>
      <c r="M17" s="4"/>
      <c r="N17" s="8"/>
      <c r="O17" s="7"/>
      <c r="P17" s="7"/>
    </row>
    <row r="18">
      <c r="A18" s="2" t="s">
        <v>872</v>
      </c>
      <c r="B18" s="2" t="s">
        <v>280</v>
      </c>
      <c r="C18" s="2" t="s">
        <v>261</v>
      </c>
      <c r="D18" s="2" t="s">
        <v>603</v>
      </c>
      <c r="E18" s="4" t="s">
        <v>233</v>
      </c>
      <c r="F18" s="8" t="s">
        <v>233</v>
      </c>
      <c r="G18" s="4" t="s">
        <v>233</v>
      </c>
      <c r="H18" s="8" t="s">
        <v>233</v>
      </c>
      <c r="I18" s="7" t="s">
        <v>233</v>
      </c>
      <c r="J18" s="7" t="s">
        <v>233</v>
      </c>
      <c r="K18" s="4"/>
      <c r="L18" s="8"/>
      <c r="M18" s="4"/>
      <c r="N18" s="8"/>
      <c r="O18" s="7"/>
      <c r="P18" s="7"/>
    </row>
    <row r="19">
      <c r="A19" s="2" t="s">
        <v>872</v>
      </c>
      <c r="B19" s="2" t="s">
        <v>280</v>
      </c>
      <c r="C19" s="2" t="s">
        <v>884</v>
      </c>
      <c r="D19" s="2" t="s">
        <v>4974</v>
      </c>
      <c r="E19" s="4" t="s">
        <v>233</v>
      </c>
      <c r="F19" s="8" t="s">
        <v>233</v>
      </c>
      <c r="G19" s="4" t="s">
        <v>233</v>
      </c>
      <c r="H19" s="8" t="s">
        <v>233</v>
      </c>
      <c r="I19" s="7" t="s">
        <v>233</v>
      </c>
      <c r="J19" s="7" t="s">
        <v>233</v>
      </c>
      <c r="K19" s="4"/>
      <c r="L19" s="8"/>
      <c r="M19" s="4"/>
      <c r="N19" s="8"/>
      <c r="O19" s="7"/>
      <c r="P19" s="7"/>
    </row>
    <row r="20">
      <c r="A20" s="2" t="s">
        <v>872</v>
      </c>
      <c r="B20" s="2" t="s">
        <v>280</v>
      </c>
      <c r="C20" s="2" t="s">
        <v>884</v>
      </c>
      <c r="D20" s="2" t="s">
        <v>1753</v>
      </c>
      <c r="E20" s="4" t="s">
        <v>233</v>
      </c>
      <c r="F20" s="8" t="s">
        <v>233</v>
      </c>
      <c r="G20" s="4" t="s">
        <v>233</v>
      </c>
      <c r="H20" s="8" t="s">
        <v>233</v>
      </c>
      <c r="I20" s="7" t="s">
        <v>233</v>
      </c>
      <c r="J20" s="7" t="s">
        <v>233</v>
      </c>
      <c r="K20" s="4"/>
      <c r="L20" s="8"/>
      <c r="M20" s="4"/>
      <c r="N20" s="8"/>
      <c r="O20" s="7"/>
      <c r="P20" s="7"/>
    </row>
    <row r="21">
      <c r="A21" s="2" t="s">
        <v>872</v>
      </c>
      <c r="B21" s="2" t="s">
        <v>280</v>
      </c>
      <c r="C21" s="2" t="s">
        <v>884</v>
      </c>
      <c r="D21" s="2" t="s">
        <v>3542</v>
      </c>
      <c r="E21" s="4" t="s">
        <v>233</v>
      </c>
      <c r="F21" s="8" t="s">
        <v>233</v>
      </c>
      <c r="G21" s="4" t="s">
        <v>233</v>
      </c>
      <c r="H21" s="8" t="s">
        <v>233</v>
      </c>
      <c r="I21" s="7" t="s">
        <v>233</v>
      </c>
      <c r="J21" s="7" t="s">
        <v>233</v>
      </c>
      <c r="K21" s="4"/>
      <c r="L21" s="8"/>
      <c r="M21" s="4"/>
      <c r="N21" s="8"/>
      <c r="O21" s="7"/>
      <c r="P21" s="7"/>
    </row>
    <row r="22">
      <c r="A22" s="2" t="s">
        <v>872</v>
      </c>
      <c r="B22" s="2" t="s">
        <v>280</v>
      </c>
      <c r="C22" s="2" t="s">
        <v>884</v>
      </c>
      <c r="D22" s="2" t="s">
        <v>5032</v>
      </c>
      <c r="E22" s="4" t="s">
        <v>233</v>
      </c>
      <c r="F22" s="8" t="s">
        <v>233</v>
      </c>
      <c r="G22" s="4" t="s">
        <v>233</v>
      </c>
      <c r="H22" s="8" t="s">
        <v>233</v>
      </c>
      <c r="I22" s="7" t="s">
        <v>233</v>
      </c>
      <c r="J22" s="7" t="s">
        <v>233</v>
      </c>
      <c r="K22" s="4"/>
      <c r="L22" s="8"/>
      <c r="M22" s="4"/>
      <c r="N22" s="8"/>
      <c r="O22" s="7"/>
      <c r="P22" s="7"/>
    </row>
    <row r="23">
      <c r="A23" s="2" t="s">
        <v>872</v>
      </c>
      <c r="B23" s="2" t="s">
        <v>280</v>
      </c>
      <c r="C23" s="2" t="s">
        <v>774</v>
      </c>
      <c r="D23" s="2" t="s">
        <v>775</v>
      </c>
      <c r="E23" s="4" t="s">
        <v>233</v>
      </c>
      <c r="F23" s="8" t="s">
        <v>233</v>
      </c>
      <c r="G23" s="4" t="s">
        <v>233</v>
      </c>
      <c r="H23" s="8" t="s">
        <v>233</v>
      </c>
      <c r="I23" s="7" t="s">
        <v>233</v>
      </c>
      <c r="J23" s="7" t="s">
        <v>233</v>
      </c>
      <c r="K23" s="4"/>
      <c r="L23" s="8"/>
      <c r="M23" s="4"/>
      <c r="N23" s="8"/>
      <c r="O23" s="7"/>
      <c r="P23" s="7"/>
    </row>
    <row r="24">
      <c r="A24" s="2" t="s">
        <v>872</v>
      </c>
      <c r="B24" s="2" t="s">
        <v>280</v>
      </c>
      <c r="C24" s="2" t="s">
        <v>774</v>
      </c>
      <c r="D24" s="2" t="s">
        <v>827</v>
      </c>
      <c r="E24" s="4" t="s">
        <v>233</v>
      </c>
      <c r="F24" s="8" t="s">
        <v>233</v>
      </c>
      <c r="G24" s="4" t="s">
        <v>233</v>
      </c>
      <c r="H24" s="8" t="s">
        <v>233</v>
      </c>
      <c r="I24" s="7" t="s">
        <v>233</v>
      </c>
      <c r="J24" s="7" t="s">
        <v>233</v>
      </c>
      <c r="K24" s="4"/>
      <c r="L24" s="8"/>
      <c r="M24" s="4"/>
      <c r="N24" s="8"/>
      <c r="O24" s="7"/>
      <c r="P24" s="7"/>
    </row>
    <row r="25">
      <c r="A25" s="2" t="s">
        <v>872</v>
      </c>
      <c r="B25" s="2" t="s">
        <v>343</v>
      </c>
      <c r="C25" s="2" t="s">
        <v>261</v>
      </c>
      <c r="D25" s="2" t="s">
        <v>1119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872</v>
      </c>
      <c r="B26" s="2" t="s">
        <v>343</v>
      </c>
      <c r="C26" s="2" t="s">
        <v>884</v>
      </c>
      <c r="D26" s="2" t="s">
        <v>1119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872</v>
      </c>
      <c r="B27" s="2" t="s">
        <v>5166</v>
      </c>
      <c r="C27" s="2" t="s">
        <v>261</v>
      </c>
      <c r="D27" s="2" t="s">
        <v>603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872</v>
      </c>
      <c r="B28" s="2" t="s">
        <v>260</v>
      </c>
      <c r="C28" s="2" t="s">
        <v>261</v>
      </c>
      <c r="D28" s="2" t="s">
        <v>603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872</v>
      </c>
      <c r="B29" s="2" t="s">
        <v>1981</v>
      </c>
      <c r="C29" s="2" t="s">
        <v>1815</v>
      </c>
      <c r="D29" s="2" t="s">
        <v>1816</v>
      </c>
      <c r="E29" s="4"/>
      <c r="F29" s="8"/>
      <c r="G29" s="4"/>
      <c r="H29" s="8"/>
      <c r="I29" s="7"/>
      <c r="J29" s="7"/>
      <c r="K29" s="4"/>
      <c r="L29" s="8"/>
      <c r="M29" s="4"/>
      <c r="N29" s="8"/>
      <c r="O29" s="7"/>
      <c r="P29" s="7"/>
    </row>
    <row r="30">
      <c r="A30" s="2" t="s">
        <v>872</v>
      </c>
      <c r="B30" s="2" t="s">
        <v>1981</v>
      </c>
      <c r="C30" s="2" t="s">
        <v>774</v>
      </c>
      <c r="D30" s="2" t="s">
        <v>775</v>
      </c>
      <c r="E30" s="4" t="s">
        <v>233</v>
      </c>
      <c r="F30" s="8" t="s">
        <v>233</v>
      </c>
      <c r="G30" s="4" t="s">
        <v>233</v>
      </c>
      <c r="H30" s="8" t="s">
        <v>233</v>
      </c>
      <c r="I30" s="7" t="s">
        <v>233</v>
      </c>
      <c r="J30" s="7" t="s">
        <v>233</v>
      </c>
      <c r="K30" s="4"/>
      <c r="L30" s="8"/>
      <c r="M30" s="4"/>
      <c r="N30" s="8"/>
      <c r="O30" s="7"/>
      <c r="P30" s="7"/>
    </row>
    <row r="31">
      <c r="A31" s="2" t="s">
        <v>872</v>
      </c>
      <c r="B31" s="2" t="s">
        <v>1981</v>
      </c>
      <c r="C31" s="2" t="s">
        <v>774</v>
      </c>
      <c r="D31" s="2" t="s">
        <v>827</v>
      </c>
      <c r="E31" s="4" t="s">
        <v>233</v>
      </c>
      <c r="F31" s="8" t="s">
        <v>233</v>
      </c>
      <c r="G31" s="4" t="s">
        <v>233</v>
      </c>
      <c r="H31" s="8" t="s">
        <v>233</v>
      </c>
      <c r="I31" s="7" t="s">
        <v>233</v>
      </c>
      <c r="J31" s="7" t="s">
        <v>233</v>
      </c>
      <c r="K31" s="4"/>
      <c r="L31" s="8"/>
      <c r="M31" s="4"/>
      <c r="N31" s="8"/>
      <c r="O31" s="7"/>
      <c r="P31" s="7"/>
    </row>
    <row r="32">
      <c r="A32" s="2" t="s">
        <v>872</v>
      </c>
      <c r="B32" s="2" t="s">
        <v>1981</v>
      </c>
      <c r="C32" s="2" t="s">
        <v>1172</v>
      </c>
      <c r="D32" s="2" t="s">
        <v>2729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872</v>
      </c>
      <c r="B33" s="2" t="s">
        <v>1398</v>
      </c>
      <c r="C33" s="2" t="s">
        <v>261</v>
      </c>
      <c r="D33" s="2" t="s">
        <v>603</v>
      </c>
      <c r="E33" s="4" t="s">
        <v>233</v>
      </c>
      <c r="F33" s="8" t="s">
        <v>233</v>
      </c>
      <c r="G33" s="4" t="s">
        <v>233</v>
      </c>
      <c r="H33" s="8" t="s">
        <v>233</v>
      </c>
      <c r="I33" s="7" t="s">
        <v>233</v>
      </c>
      <c r="J33" s="7" t="s">
        <v>233</v>
      </c>
      <c r="K33" s="4"/>
      <c r="L33" s="8"/>
      <c r="M33" s="4"/>
      <c r="N33" s="8"/>
      <c r="O33" s="7"/>
      <c r="P33" s="7"/>
    </row>
    <row r="34">
      <c r="A34" s="2" t="s">
        <v>872</v>
      </c>
      <c r="B34" s="2" t="s">
        <v>1398</v>
      </c>
      <c r="C34" s="2" t="s">
        <v>261</v>
      </c>
      <c r="D34" s="2" t="s">
        <v>895</v>
      </c>
      <c r="E34" s="4" t="s">
        <v>233</v>
      </c>
      <c r="F34" s="8" t="s">
        <v>233</v>
      </c>
      <c r="G34" s="4" t="s">
        <v>233</v>
      </c>
      <c r="H34" s="8" t="s">
        <v>233</v>
      </c>
      <c r="I34" s="7" t="s">
        <v>233</v>
      </c>
      <c r="J34" s="7" t="s">
        <v>233</v>
      </c>
      <c r="K34" s="4"/>
      <c r="L34" s="8"/>
      <c r="M34" s="4"/>
      <c r="N34" s="8"/>
      <c r="O34" s="7"/>
      <c r="P34" s="7"/>
    </row>
    <row r="35">
      <c r="A35" s="2" t="s">
        <v>872</v>
      </c>
      <c r="B35" s="2" t="s">
        <v>1398</v>
      </c>
      <c r="C35" s="2" t="s">
        <v>774</v>
      </c>
      <c r="D35" s="2" t="s">
        <v>775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872</v>
      </c>
      <c r="B36" s="2" t="s">
        <v>908</v>
      </c>
      <c r="C36" s="2" t="s">
        <v>261</v>
      </c>
      <c r="D36" s="2" t="s">
        <v>895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872</v>
      </c>
      <c r="B37" s="2" t="s">
        <v>908</v>
      </c>
      <c r="C37" s="2" t="s">
        <v>884</v>
      </c>
      <c r="D37" s="2" t="s">
        <v>4689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3409</v>
      </c>
      <c r="B38" s="2" t="s">
        <v>762</v>
      </c>
      <c r="C38" s="2" t="s">
        <v>3410</v>
      </c>
      <c r="D38" s="2" t="s">
        <v>3411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736</v>
      </c>
      <c r="B39" s="2" t="s">
        <v>762</v>
      </c>
      <c r="C39" s="2" t="s">
        <v>1185</v>
      </c>
      <c r="D39" s="2" t="s">
        <v>2612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736</v>
      </c>
      <c r="B40" s="2" t="s">
        <v>762</v>
      </c>
      <c r="C40" s="2" t="s">
        <v>1197</v>
      </c>
      <c r="D40" s="2" t="s">
        <v>1198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736</v>
      </c>
      <c r="B41" s="2" t="s">
        <v>762</v>
      </c>
      <c r="C41" s="2" t="s">
        <v>737</v>
      </c>
      <c r="D41" s="2" t="s">
        <v>738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736</v>
      </c>
      <c r="B42" s="2" t="s">
        <v>280</v>
      </c>
      <c r="C42" s="2" t="s">
        <v>1185</v>
      </c>
      <c r="D42" s="2" t="s">
        <v>738</v>
      </c>
      <c r="E42" s="4" t="s">
        <v>233</v>
      </c>
      <c r="F42" s="8" t="s">
        <v>233</v>
      </c>
      <c r="G42" s="4" t="s">
        <v>233</v>
      </c>
      <c r="H42" s="8" t="s">
        <v>233</v>
      </c>
      <c r="I42" s="7" t="s">
        <v>233</v>
      </c>
      <c r="J42" s="7" t="s">
        <v>233</v>
      </c>
      <c r="K42" s="4"/>
      <c r="L42" s="8"/>
      <c r="M42" s="4"/>
      <c r="N42" s="8"/>
      <c r="O42" s="7"/>
      <c r="P42" s="7"/>
    </row>
    <row r="43">
      <c r="A43" s="2" t="s">
        <v>736</v>
      </c>
      <c r="B43" s="2" t="s">
        <v>280</v>
      </c>
      <c r="C43" s="2" t="s">
        <v>1185</v>
      </c>
      <c r="D43" s="2" t="s">
        <v>2612</v>
      </c>
      <c r="E43" s="4" t="s">
        <v>233</v>
      </c>
      <c r="F43" s="8" t="s">
        <v>233</v>
      </c>
      <c r="G43" s="4" t="s">
        <v>233</v>
      </c>
      <c r="H43" s="8" t="s">
        <v>233</v>
      </c>
      <c r="I43" s="7" t="s">
        <v>233</v>
      </c>
      <c r="J43" s="7" t="s">
        <v>233</v>
      </c>
      <c r="K43" s="4"/>
      <c r="L43" s="8"/>
      <c r="M43" s="4"/>
      <c r="N43" s="8"/>
      <c r="O43" s="7"/>
      <c r="P43" s="7"/>
    </row>
    <row r="44">
      <c r="A44" s="2" t="s">
        <v>736</v>
      </c>
      <c r="B44" s="2" t="s">
        <v>280</v>
      </c>
      <c r="C44" s="2" t="s">
        <v>1197</v>
      </c>
      <c r="D44" s="2" t="s">
        <v>1198</v>
      </c>
      <c r="E44" s="4" t="s">
        <v>233</v>
      </c>
      <c r="F44" s="8" t="s">
        <v>233</v>
      </c>
      <c r="G44" s="4" t="s">
        <v>233</v>
      </c>
      <c r="H44" s="8" t="s">
        <v>233</v>
      </c>
      <c r="I44" s="7" t="s">
        <v>233</v>
      </c>
      <c r="J44" s="7" t="s">
        <v>233</v>
      </c>
      <c r="K44" s="4"/>
      <c r="L44" s="8"/>
      <c r="M44" s="4"/>
      <c r="N44" s="8"/>
      <c r="O44" s="7"/>
      <c r="P44" s="7"/>
    </row>
    <row r="45">
      <c r="A45" s="2" t="s">
        <v>736</v>
      </c>
      <c r="B45" s="2" t="s">
        <v>280</v>
      </c>
      <c r="C45" s="2" t="s">
        <v>1197</v>
      </c>
      <c r="D45" s="2" t="s">
        <v>738</v>
      </c>
      <c r="E45" s="4" t="s">
        <v>233</v>
      </c>
      <c r="F45" s="8" t="s">
        <v>233</v>
      </c>
      <c r="G45" s="4" t="s">
        <v>233</v>
      </c>
      <c r="H45" s="8" t="s">
        <v>233</v>
      </c>
      <c r="I45" s="7" t="s">
        <v>233</v>
      </c>
      <c r="J45" s="7" t="s">
        <v>233</v>
      </c>
      <c r="K45" s="4"/>
      <c r="L45" s="8"/>
      <c r="M45" s="4"/>
      <c r="N45" s="8"/>
      <c r="O45" s="7"/>
      <c r="P45" s="7"/>
    </row>
    <row r="46">
      <c r="A46" s="2" t="s">
        <v>736</v>
      </c>
      <c r="B46" s="2" t="s">
        <v>280</v>
      </c>
      <c r="C46" s="2" t="s">
        <v>4100</v>
      </c>
      <c r="D46" s="2" t="s">
        <v>4101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736</v>
      </c>
      <c r="B47" s="2" t="s">
        <v>280</v>
      </c>
      <c r="C47" s="2" t="s">
        <v>752</v>
      </c>
      <c r="D47" s="2" t="s">
        <v>753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736</v>
      </c>
      <c r="B48" s="2" t="s">
        <v>280</v>
      </c>
      <c r="C48" s="2" t="s">
        <v>737</v>
      </c>
      <c r="D48" s="2" t="s">
        <v>738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736</v>
      </c>
      <c r="B49" s="2" t="s">
        <v>812</v>
      </c>
      <c r="C49" s="2" t="s">
        <v>737</v>
      </c>
      <c r="D49" s="2" t="s">
        <v>2612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736</v>
      </c>
      <c r="B50" s="2" t="s">
        <v>1625</v>
      </c>
      <c r="C50" s="2" t="s">
        <v>1197</v>
      </c>
      <c r="D50" s="2" t="s">
        <v>738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222</v>
      </c>
      <c r="B51" s="2" t="s">
        <v>3991</v>
      </c>
      <c r="C51" s="2" t="s">
        <v>261</v>
      </c>
      <c r="D51" s="2" t="s">
        <v>262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222</v>
      </c>
      <c r="B52" s="2" t="s">
        <v>3991</v>
      </c>
      <c r="C52" s="2" t="s">
        <v>224</v>
      </c>
      <c r="D52" s="2" t="s">
        <v>3009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222</v>
      </c>
      <c r="B53" s="2" t="s">
        <v>280</v>
      </c>
      <c r="C53" s="2" t="s">
        <v>1573</v>
      </c>
      <c r="D53" s="2" t="s">
        <v>2089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222</v>
      </c>
      <c r="B54" s="2" t="s">
        <v>280</v>
      </c>
      <c r="C54" s="2" t="s">
        <v>261</v>
      </c>
      <c r="D54" s="2" t="s">
        <v>262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222</v>
      </c>
      <c r="B55" s="2" t="s">
        <v>280</v>
      </c>
      <c r="C55" s="2" t="s">
        <v>297</v>
      </c>
      <c r="D55" s="2" t="s">
        <v>4151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222</v>
      </c>
      <c r="B56" s="2" t="s">
        <v>343</v>
      </c>
      <c r="C56" s="2" t="s">
        <v>224</v>
      </c>
      <c r="D56" s="2" t="s">
        <v>3009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222</v>
      </c>
      <c r="B57" s="2" t="s">
        <v>260</v>
      </c>
      <c r="C57" s="2" t="s">
        <v>261</v>
      </c>
      <c r="D57" s="2" t="s">
        <v>603</v>
      </c>
      <c r="E57" s="4" t="s">
        <v>233</v>
      </c>
      <c r="F57" s="8" t="s">
        <v>233</v>
      </c>
      <c r="G57" s="4" t="s">
        <v>233</v>
      </c>
      <c r="H57" s="8" t="s">
        <v>233</v>
      </c>
      <c r="I57" s="7" t="s">
        <v>233</v>
      </c>
      <c r="J57" s="7" t="s">
        <v>233</v>
      </c>
      <c r="K57" s="4"/>
      <c r="L57" s="8"/>
      <c r="M57" s="4"/>
      <c r="N57" s="8"/>
      <c r="O57" s="7"/>
      <c r="P57" s="7"/>
    </row>
    <row r="58">
      <c r="A58" s="2" t="s">
        <v>222</v>
      </c>
      <c r="B58" s="2" t="s">
        <v>260</v>
      </c>
      <c r="C58" s="2" t="s">
        <v>261</v>
      </c>
      <c r="D58" s="2" t="s">
        <v>262</v>
      </c>
      <c r="E58" s="4" t="s">
        <v>233</v>
      </c>
      <c r="F58" s="8" t="s">
        <v>233</v>
      </c>
      <c r="G58" s="4" t="s">
        <v>233</v>
      </c>
      <c r="H58" s="8" t="s">
        <v>233</v>
      </c>
      <c r="I58" s="7" t="s">
        <v>233</v>
      </c>
      <c r="J58" s="7" t="s">
        <v>233</v>
      </c>
      <c r="K58" s="4"/>
      <c r="L58" s="8"/>
      <c r="M58" s="4"/>
      <c r="N58" s="8"/>
      <c r="O58" s="7"/>
      <c r="P58" s="7"/>
    </row>
    <row r="59">
      <c r="A59" s="2" t="s">
        <v>222</v>
      </c>
      <c r="B59" s="2" t="s">
        <v>223</v>
      </c>
      <c r="C59" s="2" t="s">
        <v>1573</v>
      </c>
      <c r="D59" s="2" t="s">
        <v>2089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222</v>
      </c>
      <c r="B60" s="2" t="s">
        <v>223</v>
      </c>
      <c r="C60" s="2" t="s">
        <v>261</v>
      </c>
      <c r="D60" s="2" t="s">
        <v>262</v>
      </c>
      <c r="E60" s="4" t="s">
        <v>233</v>
      </c>
      <c r="F60" s="8" t="s">
        <v>233</v>
      </c>
      <c r="G60" s="4" t="s">
        <v>233</v>
      </c>
      <c r="H60" s="8" t="s">
        <v>233</v>
      </c>
      <c r="I60" s="7" t="s">
        <v>233</v>
      </c>
      <c r="J60" s="7" t="s">
        <v>233</v>
      </c>
      <c r="K60" s="4"/>
      <c r="L60" s="8"/>
      <c r="M60" s="4"/>
      <c r="N60" s="8"/>
      <c r="O60" s="7"/>
      <c r="P60" s="7"/>
    </row>
    <row r="61">
      <c r="A61" s="2" t="s">
        <v>222</v>
      </c>
      <c r="B61" s="2" t="s">
        <v>223</v>
      </c>
      <c r="C61" s="2" t="s">
        <v>261</v>
      </c>
      <c r="D61" s="2" t="s">
        <v>1309</v>
      </c>
      <c r="E61" s="4" t="s">
        <v>233</v>
      </c>
      <c r="F61" s="8" t="s">
        <v>233</v>
      </c>
      <c r="G61" s="4" t="s">
        <v>233</v>
      </c>
      <c r="H61" s="8" t="s">
        <v>233</v>
      </c>
      <c r="I61" s="7" t="s">
        <v>233</v>
      </c>
      <c r="J61" s="7" t="s">
        <v>233</v>
      </c>
      <c r="K61" s="4"/>
      <c r="L61" s="8"/>
      <c r="M61" s="4"/>
      <c r="N61" s="8"/>
      <c r="O61" s="7"/>
      <c r="P61" s="7"/>
    </row>
    <row r="62">
      <c r="A62" s="2" t="s">
        <v>222</v>
      </c>
      <c r="B62" s="2" t="s">
        <v>223</v>
      </c>
      <c r="C62" s="2" t="s">
        <v>224</v>
      </c>
      <c r="D62" s="2" t="s">
        <v>3009</v>
      </c>
      <c r="E62" s="4" t="s">
        <v>233</v>
      </c>
      <c r="F62" s="8" t="s">
        <v>233</v>
      </c>
      <c r="G62" s="4" t="s">
        <v>233</v>
      </c>
      <c r="H62" s="8" t="s">
        <v>233</v>
      </c>
      <c r="I62" s="7" t="s">
        <v>233</v>
      </c>
      <c r="J62" s="7" t="s">
        <v>233</v>
      </c>
      <c r="K62" s="4"/>
      <c r="L62" s="8"/>
      <c r="M62" s="4"/>
      <c r="N62" s="8"/>
      <c r="O62" s="7"/>
      <c r="P62" s="7"/>
    </row>
    <row r="63">
      <c r="A63" s="2" t="s">
        <v>222</v>
      </c>
      <c r="B63" s="2" t="s">
        <v>223</v>
      </c>
      <c r="C63" s="2" t="s">
        <v>224</v>
      </c>
      <c r="D63" s="2" t="s">
        <v>225</v>
      </c>
      <c r="E63" s="4" t="s">
        <v>233</v>
      </c>
      <c r="F63" s="8" t="s">
        <v>233</v>
      </c>
      <c r="G63" s="4" t="s">
        <v>233</v>
      </c>
      <c r="H63" s="8" t="s">
        <v>233</v>
      </c>
      <c r="I63" s="7" t="s">
        <v>233</v>
      </c>
      <c r="J63" s="7" t="s">
        <v>233</v>
      </c>
      <c r="K63" s="4"/>
      <c r="L63" s="8"/>
      <c r="M63" s="4"/>
      <c r="N63" s="8"/>
      <c r="O63" s="7"/>
      <c r="P63" s="7"/>
    </row>
    <row r="64">
      <c r="A64" s="2" t="s">
        <v>222</v>
      </c>
      <c r="B64" s="2" t="s">
        <v>223</v>
      </c>
      <c r="C64" s="2" t="s">
        <v>1172</v>
      </c>
      <c r="D64" s="2" t="s">
        <v>4151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222</v>
      </c>
      <c r="B65" s="2" t="s">
        <v>2381</v>
      </c>
      <c r="C65" s="2" t="s">
        <v>261</v>
      </c>
      <c r="D65" s="2" t="s">
        <v>3325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222</v>
      </c>
      <c r="B66" s="2" t="s">
        <v>2381</v>
      </c>
      <c r="C66" s="2" t="s">
        <v>1442</v>
      </c>
      <c r="D66" s="2" t="s">
        <v>2089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222</v>
      </c>
      <c r="B67" s="2" t="s">
        <v>1625</v>
      </c>
      <c r="C67" s="2" t="s">
        <v>261</v>
      </c>
      <c r="D67" s="2" t="s">
        <v>262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923</v>
      </c>
      <c r="B68" s="2" t="s">
        <v>3991</v>
      </c>
      <c r="C68" s="2" t="s">
        <v>5347</v>
      </c>
      <c r="D68" s="2" t="s">
        <v>5348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923</v>
      </c>
      <c r="B69" s="2" t="s">
        <v>762</v>
      </c>
      <c r="C69" s="2" t="s">
        <v>951</v>
      </c>
      <c r="D69" s="2" t="s">
        <v>952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923</v>
      </c>
      <c r="B70" s="2" t="s">
        <v>1411</v>
      </c>
      <c r="C70" s="2" t="s">
        <v>4516</v>
      </c>
      <c r="D70" s="2" t="s">
        <v>706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923</v>
      </c>
      <c r="B71" s="2" t="s">
        <v>1411</v>
      </c>
      <c r="C71" s="2" t="s">
        <v>951</v>
      </c>
      <c r="D71" s="2" t="s">
        <v>952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923</v>
      </c>
      <c r="B72" s="2" t="s">
        <v>280</v>
      </c>
      <c r="C72" s="2" t="s">
        <v>924</v>
      </c>
      <c r="D72" s="2" t="s">
        <v>925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923</v>
      </c>
      <c r="B73" s="2" t="s">
        <v>280</v>
      </c>
      <c r="C73" s="2" t="s">
        <v>951</v>
      </c>
      <c r="D73" s="2" t="s">
        <v>952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923</v>
      </c>
      <c r="B74" s="2" t="s">
        <v>343</v>
      </c>
      <c r="C74" s="2" t="s">
        <v>951</v>
      </c>
      <c r="D74" s="2" t="s">
        <v>952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923</v>
      </c>
      <c r="B75" s="2" t="s">
        <v>1625</v>
      </c>
      <c r="C75" s="2" t="s">
        <v>951</v>
      </c>
      <c r="D75" s="2" t="s">
        <v>952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923</v>
      </c>
      <c r="B76" s="2" t="s">
        <v>908</v>
      </c>
      <c r="C76" s="2" t="s">
        <v>951</v>
      </c>
      <c r="D76" s="2" t="s">
        <v>952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773</v>
      </c>
      <c r="B77" s="2" t="s">
        <v>616</v>
      </c>
      <c r="C77" s="2" t="s">
        <v>1573</v>
      </c>
      <c r="D77" s="2" t="s">
        <v>1574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773</v>
      </c>
      <c r="B78" s="2" t="s">
        <v>616</v>
      </c>
      <c r="C78" s="2" t="s">
        <v>2224</v>
      </c>
      <c r="D78" s="2" t="s">
        <v>2225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773</v>
      </c>
      <c r="B79" s="2" t="s">
        <v>616</v>
      </c>
      <c r="C79" s="2" t="s">
        <v>985</v>
      </c>
      <c r="D79" s="2" t="s">
        <v>2241</v>
      </c>
      <c r="E79" s="4" t="s">
        <v>233</v>
      </c>
      <c r="F79" s="8" t="s">
        <v>233</v>
      </c>
      <c r="G79" s="4" t="s">
        <v>233</v>
      </c>
      <c r="H79" s="8" t="s">
        <v>233</v>
      </c>
      <c r="I79" s="7" t="s">
        <v>233</v>
      </c>
      <c r="J79" s="7" t="s">
        <v>233</v>
      </c>
      <c r="K79" s="4"/>
      <c r="L79" s="8"/>
      <c r="M79" s="4"/>
      <c r="N79" s="8"/>
      <c r="O79" s="7"/>
      <c r="P79" s="7"/>
    </row>
    <row r="80">
      <c r="A80" s="2" t="s">
        <v>773</v>
      </c>
      <c r="B80" s="2" t="s">
        <v>616</v>
      </c>
      <c r="C80" s="2" t="s">
        <v>985</v>
      </c>
      <c r="D80" s="2" t="s">
        <v>986</v>
      </c>
      <c r="E80" s="4" t="s">
        <v>233</v>
      </c>
      <c r="F80" s="8" t="s">
        <v>233</v>
      </c>
      <c r="G80" s="4" t="s">
        <v>233</v>
      </c>
      <c r="H80" s="8" t="s">
        <v>233</v>
      </c>
      <c r="I80" s="7" t="s">
        <v>233</v>
      </c>
      <c r="J80" s="7" t="s">
        <v>233</v>
      </c>
      <c r="K80" s="4"/>
      <c r="L80" s="8"/>
      <c r="M80" s="4"/>
      <c r="N80" s="8"/>
      <c r="O80" s="7"/>
      <c r="P80" s="7"/>
    </row>
    <row r="81">
      <c r="A81" s="2" t="s">
        <v>773</v>
      </c>
      <c r="B81" s="2" t="s">
        <v>3056</v>
      </c>
      <c r="C81" s="2" t="s">
        <v>1573</v>
      </c>
      <c r="D81" s="2" t="s">
        <v>1574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773</v>
      </c>
      <c r="B82" s="2" t="s">
        <v>762</v>
      </c>
      <c r="C82" s="2" t="s">
        <v>1573</v>
      </c>
      <c r="D82" s="2" t="s">
        <v>1574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773</v>
      </c>
      <c r="B83" s="2" t="s">
        <v>762</v>
      </c>
      <c r="C83" s="2" t="s">
        <v>297</v>
      </c>
      <c r="D83" s="2" t="s">
        <v>298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773</v>
      </c>
      <c r="B84" s="2" t="s">
        <v>762</v>
      </c>
      <c r="C84" s="2" t="s">
        <v>1442</v>
      </c>
      <c r="D84" s="2" t="s">
        <v>1443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773</v>
      </c>
      <c r="B85" s="2" t="s">
        <v>1411</v>
      </c>
      <c r="C85" s="2" t="s">
        <v>261</v>
      </c>
      <c r="D85" s="2" t="s">
        <v>895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773</v>
      </c>
      <c r="B86" s="2" t="s">
        <v>280</v>
      </c>
      <c r="C86" s="2" t="s">
        <v>1573</v>
      </c>
      <c r="D86" s="2" t="s">
        <v>1574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773</v>
      </c>
      <c r="B87" s="2" t="s">
        <v>280</v>
      </c>
      <c r="C87" s="2" t="s">
        <v>261</v>
      </c>
      <c r="D87" s="2" t="s">
        <v>603</v>
      </c>
      <c r="E87" s="4" t="s">
        <v>233</v>
      </c>
      <c r="F87" s="8" t="s">
        <v>233</v>
      </c>
      <c r="G87" s="4" t="s">
        <v>233</v>
      </c>
      <c r="H87" s="8" t="s">
        <v>233</v>
      </c>
      <c r="I87" s="7" t="s">
        <v>233</v>
      </c>
      <c r="J87" s="7" t="s">
        <v>233</v>
      </c>
      <c r="K87" s="4"/>
      <c r="L87" s="8"/>
      <c r="M87" s="4"/>
      <c r="N87" s="8"/>
      <c r="O87" s="7"/>
      <c r="P87" s="7"/>
    </row>
    <row r="88">
      <c r="A88" s="2" t="s">
        <v>773</v>
      </c>
      <c r="B88" s="2" t="s">
        <v>280</v>
      </c>
      <c r="C88" s="2" t="s">
        <v>261</v>
      </c>
      <c r="D88" s="2" t="s">
        <v>895</v>
      </c>
      <c r="E88" s="4" t="s">
        <v>233</v>
      </c>
      <c r="F88" s="8" t="s">
        <v>233</v>
      </c>
      <c r="G88" s="4" t="s">
        <v>233</v>
      </c>
      <c r="H88" s="8" t="s">
        <v>233</v>
      </c>
      <c r="I88" s="7" t="s">
        <v>233</v>
      </c>
      <c r="J88" s="7" t="s">
        <v>233</v>
      </c>
      <c r="K88" s="4"/>
      <c r="L88" s="8"/>
      <c r="M88" s="4"/>
      <c r="N88" s="8"/>
      <c r="O88" s="7"/>
      <c r="P88" s="7"/>
    </row>
    <row r="89">
      <c r="A89" s="2" t="s">
        <v>773</v>
      </c>
      <c r="B89" s="2" t="s">
        <v>280</v>
      </c>
      <c r="C89" s="2" t="s">
        <v>774</v>
      </c>
      <c r="D89" s="2" t="s">
        <v>775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773</v>
      </c>
      <c r="B90" s="2" t="s">
        <v>280</v>
      </c>
      <c r="C90" s="2" t="s">
        <v>1172</v>
      </c>
      <c r="D90" s="2" t="s">
        <v>2729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773</v>
      </c>
      <c r="B91" s="2" t="s">
        <v>280</v>
      </c>
      <c r="C91" s="2" t="s">
        <v>1442</v>
      </c>
      <c r="D91" s="2" t="s">
        <v>1443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773</v>
      </c>
      <c r="B92" s="2" t="s">
        <v>343</v>
      </c>
      <c r="C92" s="2" t="s">
        <v>261</v>
      </c>
      <c r="D92" s="2" t="s">
        <v>895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773</v>
      </c>
      <c r="B93" s="2" t="s">
        <v>2240</v>
      </c>
      <c r="C93" s="2" t="s">
        <v>2224</v>
      </c>
      <c r="D93" s="2" t="s">
        <v>2225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773</v>
      </c>
      <c r="B94" s="2" t="s">
        <v>2240</v>
      </c>
      <c r="C94" s="2" t="s">
        <v>985</v>
      </c>
      <c r="D94" s="2" t="s">
        <v>2241</v>
      </c>
      <c r="E94" s="4" t="s">
        <v>233</v>
      </c>
      <c r="F94" s="8" t="s">
        <v>233</v>
      </c>
      <c r="G94" s="4" t="s">
        <v>233</v>
      </c>
      <c r="H94" s="8" t="s">
        <v>233</v>
      </c>
      <c r="I94" s="7" t="s">
        <v>233</v>
      </c>
      <c r="J94" s="7" t="s">
        <v>233</v>
      </c>
      <c r="K94" s="4"/>
      <c r="L94" s="8"/>
      <c r="M94" s="4"/>
      <c r="N94" s="8"/>
      <c r="O94" s="7"/>
      <c r="P94" s="7"/>
    </row>
    <row r="95">
      <c r="A95" s="2" t="s">
        <v>773</v>
      </c>
      <c r="B95" s="2" t="s">
        <v>2240</v>
      </c>
      <c r="C95" s="2" t="s">
        <v>985</v>
      </c>
      <c r="D95" s="2" t="s">
        <v>986</v>
      </c>
      <c r="E95" s="4" t="s">
        <v>233</v>
      </c>
      <c r="F95" s="8" t="s">
        <v>233</v>
      </c>
      <c r="G95" s="4" t="s">
        <v>233</v>
      </c>
      <c r="H95" s="8" t="s">
        <v>233</v>
      </c>
      <c r="I95" s="7" t="s">
        <v>233</v>
      </c>
      <c r="J95" s="7" t="s">
        <v>233</v>
      </c>
      <c r="K95" s="4"/>
      <c r="L95" s="8"/>
      <c r="M95" s="4"/>
      <c r="N95" s="8"/>
      <c r="O95" s="7"/>
      <c r="P95" s="7"/>
    </row>
    <row r="96">
      <c r="A96" s="2" t="s">
        <v>773</v>
      </c>
      <c r="B96" s="2" t="s">
        <v>2381</v>
      </c>
      <c r="C96" s="2" t="s">
        <v>985</v>
      </c>
      <c r="D96" s="2" t="s">
        <v>2241</v>
      </c>
      <c r="E96" s="4" t="s">
        <v>233</v>
      </c>
      <c r="F96" s="8" t="s">
        <v>233</v>
      </c>
      <c r="G96" s="4" t="s">
        <v>233</v>
      </c>
      <c r="H96" s="8" t="s">
        <v>233</v>
      </c>
      <c r="I96" s="7" t="s">
        <v>233</v>
      </c>
      <c r="J96" s="7" t="s">
        <v>233</v>
      </c>
      <c r="K96" s="4"/>
      <c r="L96" s="8"/>
      <c r="M96" s="4"/>
      <c r="N96" s="8"/>
      <c r="O96" s="7"/>
      <c r="P96" s="7"/>
    </row>
    <row r="97">
      <c r="A97" s="2" t="s">
        <v>773</v>
      </c>
      <c r="B97" s="2" t="s">
        <v>2381</v>
      </c>
      <c r="C97" s="2" t="s">
        <v>985</v>
      </c>
      <c r="D97" s="2" t="s">
        <v>986</v>
      </c>
      <c r="E97" s="4" t="s">
        <v>233</v>
      </c>
      <c r="F97" s="8" t="s">
        <v>233</v>
      </c>
      <c r="G97" s="4" t="s">
        <v>233</v>
      </c>
      <c r="H97" s="8" t="s">
        <v>233</v>
      </c>
      <c r="I97" s="7" t="s">
        <v>233</v>
      </c>
      <c r="J97" s="7" t="s">
        <v>233</v>
      </c>
      <c r="K97" s="4"/>
      <c r="L97" s="8"/>
      <c r="M97" s="4"/>
      <c r="N97" s="8"/>
      <c r="O97" s="7"/>
      <c r="P97" s="7"/>
    </row>
    <row r="98">
      <c r="A98" s="2" t="s">
        <v>773</v>
      </c>
      <c r="B98" s="2" t="s">
        <v>908</v>
      </c>
      <c r="C98" s="2" t="s">
        <v>261</v>
      </c>
      <c r="D98" s="2" t="s">
        <v>603</v>
      </c>
      <c r="E98" s="4" t="s">
        <v>233</v>
      </c>
      <c r="F98" s="8" t="s">
        <v>233</v>
      </c>
      <c r="G98" s="4" t="s">
        <v>233</v>
      </c>
      <c r="H98" s="8" t="s">
        <v>233</v>
      </c>
      <c r="I98" s="7" t="s">
        <v>233</v>
      </c>
      <c r="J98" s="7" t="s">
        <v>233</v>
      </c>
      <c r="K98" s="4"/>
      <c r="L98" s="8"/>
      <c r="M98" s="4"/>
      <c r="N98" s="8"/>
      <c r="O98" s="7"/>
      <c r="P98" s="7"/>
    </row>
    <row r="99">
      <c r="A99" s="2" t="s">
        <v>773</v>
      </c>
      <c r="B99" s="2" t="s">
        <v>908</v>
      </c>
      <c r="C99" s="2" t="s">
        <v>261</v>
      </c>
      <c r="D99" s="2" t="s">
        <v>895</v>
      </c>
      <c r="E99" s="4" t="s">
        <v>233</v>
      </c>
      <c r="F99" s="8" t="s">
        <v>233</v>
      </c>
      <c r="G99" s="4" t="s">
        <v>233</v>
      </c>
      <c r="H99" s="8" t="s">
        <v>233</v>
      </c>
      <c r="I99" s="7" t="s">
        <v>233</v>
      </c>
      <c r="J99" s="7" t="s">
        <v>233</v>
      </c>
      <c r="K99" s="4"/>
      <c r="L99" s="8"/>
      <c r="M99" s="4"/>
      <c r="N99" s="8"/>
      <c r="O99" s="7"/>
      <c r="P99" s="7"/>
    </row>
    <row r="100">
      <c r="A100" s="2" t="s">
        <v>773</v>
      </c>
      <c r="B100" s="2" t="s">
        <v>908</v>
      </c>
      <c r="C100" s="2" t="s">
        <v>985</v>
      </c>
      <c r="D100" s="2" t="s">
        <v>2241</v>
      </c>
      <c r="E100" s="4" t="s">
        <v>233</v>
      </c>
      <c r="F100" s="8" t="s">
        <v>233</v>
      </c>
      <c r="G100" s="4" t="s">
        <v>233</v>
      </c>
      <c r="H100" s="8" t="s">
        <v>233</v>
      </c>
      <c r="I100" s="7" t="s">
        <v>233</v>
      </c>
      <c r="J100" s="7" t="s">
        <v>233</v>
      </c>
      <c r="K100" s="4"/>
      <c r="L100" s="8"/>
      <c r="M100" s="4"/>
      <c r="N100" s="8"/>
      <c r="O100" s="7"/>
      <c r="P100" s="7"/>
    </row>
    <row r="101">
      <c r="A101" s="2" t="s">
        <v>773</v>
      </c>
      <c r="B101" s="2" t="s">
        <v>908</v>
      </c>
      <c r="C101" s="2" t="s">
        <v>985</v>
      </c>
      <c r="D101" s="2" t="s">
        <v>986</v>
      </c>
      <c r="E101" s="4" t="s">
        <v>233</v>
      </c>
      <c r="F101" s="8" t="s">
        <v>233</v>
      </c>
      <c r="G101" s="4" t="s">
        <v>233</v>
      </c>
      <c r="H101" s="8" t="s">
        <v>233</v>
      </c>
      <c r="I101" s="7" t="s">
        <v>233</v>
      </c>
      <c r="J101" s="7" t="s">
        <v>233</v>
      </c>
      <c r="K101" s="4"/>
      <c r="L101" s="8"/>
      <c r="M101" s="4"/>
      <c r="N101" s="8"/>
      <c r="O101" s="7"/>
      <c r="P101" s="7"/>
    </row>
    <row r="102">
      <c r="A102" s="2" t="s">
        <v>773</v>
      </c>
      <c r="B102" s="2" t="s">
        <v>908</v>
      </c>
      <c r="C102" s="2" t="s">
        <v>1442</v>
      </c>
      <c r="D102" s="2" t="s">
        <v>1443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761</v>
      </c>
      <c r="B103" s="2" t="s">
        <v>762</v>
      </c>
      <c r="C103" s="2" t="s">
        <v>1531</v>
      </c>
      <c r="D103" s="2" t="s">
        <v>1532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761</v>
      </c>
      <c r="B104" s="2" t="s">
        <v>762</v>
      </c>
      <c r="C104" s="2" t="s">
        <v>763</v>
      </c>
      <c r="D104" s="2" t="s">
        <v>2109</v>
      </c>
      <c r="E104" s="4" t="s">
        <v>233</v>
      </c>
      <c r="F104" s="8" t="s">
        <v>233</v>
      </c>
      <c r="G104" s="4" t="s">
        <v>233</v>
      </c>
      <c r="H104" s="8" t="s">
        <v>233</v>
      </c>
      <c r="I104" s="7" t="s">
        <v>233</v>
      </c>
      <c r="J104" s="7" t="s">
        <v>233</v>
      </c>
      <c r="K104" s="4"/>
      <c r="L104" s="8"/>
      <c r="M104" s="4"/>
      <c r="N104" s="8"/>
      <c r="O104" s="7"/>
      <c r="P104" s="7"/>
    </row>
    <row r="105">
      <c r="A105" s="2" t="s">
        <v>761</v>
      </c>
      <c r="B105" s="2" t="s">
        <v>762</v>
      </c>
      <c r="C105" s="2" t="s">
        <v>763</v>
      </c>
      <c r="D105" s="2" t="s">
        <v>764</v>
      </c>
      <c r="E105" s="4" t="s">
        <v>233</v>
      </c>
      <c r="F105" s="8" t="s">
        <v>233</v>
      </c>
      <c r="G105" s="4" t="s">
        <v>233</v>
      </c>
      <c r="H105" s="8" t="s">
        <v>233</v>
      </c>
      <c r="I105" s="7" t="s">
        <v>233</v>
      </c>
      <c r="J105" s="7" t="s">
        <v>233</v>
      </c>
      <c r="K105" s="4"/>
      <c r="L105" s="8"/>
      <c r="M105" s="4"/>
      <c r="N105" s="8"/>
      <c r="O105" s="7"/>
      <c r="P105" s="7"/>
    </row>
    <row r="106">
      <c r="A106" s="2" t="s">
        <v>761</v>
      </c>
      <c r="B106" s="2" t="s">
        <v>762</v>
      </c>
      <c r="C106" s="2" t="s">
        <v>1834</v>
      </c>
      <c r="D106" s="2" t="s">
        <v>1835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761</v>
      </c>
      <c r="B107" s="2" t="s">
        <v>762</v>
      </c>
      <c r="C107" s="2" t="s">
        <v>1080</v>
      </c>
      <c r="D107" s="2" t="s">
        <v>1466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761</v>
      </c>
      <c r="B108" s="2" t="s">
        <v>762</v>
      </c>
      <c r="C108" s="2" t="s">
        <v>3374</v>
      </c>
      <c r="D108" s="2" t="s">
        <v>3375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761</v>
      </c>
      <c r="B109" s="2" t="s">
        <v>762</v>
      </c>
      <c r="C109" s="2" t="s">
        <v>4478</v>
      </c>
      <c r="D109" s="2" t="s">
        <v>4479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761</v>
      </c>
      <c r="B110" s="2" t="s">
        <v>280</v>
      </c>
      <c r="C110" s="2" t="s">
        <v>5356</v>
      </c>
      <c r="D110" s="2" t="s">
        <v>5357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761</v>
      </c>
      <c r="B111" s="2" t="s">
        <v>280</v>
      </c>
      <c r="C111" s="2" t="s">
        <v>1531</v>
      </c>
      <c r="D111" s="2" t="s">
        <v>1532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761</v>
      </c>
      <c r="B112" s="2" t="s">
        <v>280</v>
      </c>
      <c r="C112" s="2" t="s">
        <v>763</v>
      </c>
      <c r="D112" s="2" t="s">
        <v>2099</v>
      </c>
      <c r="E112" s="4" t="s">
        <v>233</v>
      </c>
      <c r="F112" s="8" t="s">
        <v>233</v>
      </c>
      <c r="G112" s="4" t="s">
        <v>233</v>
      </c>
      <c r="H112" s="8" t="s">
        <v>233</v>
      </c>
      <c r="I112" s="7" t="s">
        <v>233</v>
      </c>
      <c r="J112" s="7" t="s">
        <v>233</v>
      </c>
      <c r="K112" s="4"/>
      <c r="L112" s="8"/>
      <c r="M112" s="4"/>
      <c r="N112" s="8"/>
      <c r="O112" s="7"/>
      <c r="P112" s="7"/>
    </row>
    <row r="113">
      <c r="A113" s="2" t="s">
        <v>761</v>
      </c>
      <c r="B113" s="2" t="s">
        <v>280</v>
      </c>
      <c r="C113" s="2" t="s">
        <v>763</v>
      </c>
      <c r="D113" s="2" t="s">
        <v>2109</v>
      </c>
      <c r="E113" s="4" t="s">
        <v>233</v>
      </c>
      <c r="F113" s="8" t="s">
        <v>233</v>
      </c>
      <c r="G113" s="4" t="s">
        <v>233</v>
      </c>
      <c r="H113" s="8" t="s">
        <v>233</v>
      </c>
      <c r="I113" s="7" t="s">
        <v>233</v>
      </c>
      <c r="J113" s="7" t="s">
        <v>233</v>
      </c>
      <c r="K113" s="4"/>
      <c r="L113" s="8"/>
      <c r="M113" s="4"/>
      <c r="N113" s="8"/>
      <c r="O113" s="7"/>
      <c r="P113" s="7"/>
    </row>
    <row r="114">
      <c r="A114" s="2" t="s">
        <v>761</v>
      </c>
      <c r="B114" s="2" t="s">
        <v>280</v>
      </c>
      <c r="C114" s="2" t="s">
        <v>763</v>
      </c>
      <c r="D114" s="2" t="s">
        <v>764</v>
      </c>
      <c r="E114" s="4" t="s">
        <v>233</v>
      </c>
      <c r="F114" s="8" t="s">
        <v>233</v>
      </c>
      <c r="G114" s="4" t="s">
        <v>233</v>
      </c>
      <c r="H114" s="8" t="s">
        <v>233</v>
      </c>
      <c r="I114" s="7" t="s">
        <v>233</v>
      </c>
      <c r="J114" s="7" t="s">
        <v>233</v>
      </c>
      <c r="K114" s="4"/>
      <c r="L114" s="8"/>
      <c r="M114" s="4"/>
      <c r="N114" s="8"/>
      <c r="O114" s="7"/>
      <c r="P114" s="7"/>
    </row>
    <row r="115">
      <c r="A115" s="2" t="s">
        <v>761</v>
      </c>
      <c r="B115" s="2" t="s">
        <v>280</v>
      </c>
      <c r="C115" s="2" t="s">
        <v>1834</v>
      </c>
      <c r="D115" s="2" t="s">
        <v>1835</v>
      </c>
      <c r="E115" s="4" t="s">
        <v>233</v>
      </c>
      <c r="F115" s="8" t="s">
        <v>233</v>
      </c>
      <c r="G115" s="4" t="s">
        <v>233</v>
      </c>
      <c r="H115" s="8" t="s">
        <v>233</v>
      </c>
      <c r="I115" s="7" t="s">
        <v>233</v>
      </c>
      <c r="J115" s="7" t="s">
        <v>233</v>
      </c>
      <c r="K115" s="4"/>
      <c r="L115" s="8"/>
      <c r="M115" s="4"/>
      <c r="N115" s="8"/>
      <c r="O115" s="7"/>
      <c r="P115" s="7"/>
    </row>
    <row r="116">
      <c r="A116" s="2" t="s">
        <v>761</v>
      </c>
      <c r="B116" s="2" t="s">
        <v>280</v>
      </c>
      <c r="C116" s="2" t="s">
        <v>1834</v>
      </c>
      <c r="D116" s="2" t="s">
        <v>1970</v>
      </c>
      <c r="E116" s="4" t="s">
        <v>233</v>
      </c>
      <c r="F116" s="8" t="s">
        <v>233</v>
      </c>
      <c r="G116" s="4" t="s">
        <v>233</v>
      </c>
      <c r="H116" s="8" t="s">
        <v>233</v>
      </c>
      <c r="I116" s="7" t="s">
        <v>233</v>
      </c>
      <c r="J116" s="7" t="s">
        <v>233</v>
      </c>
      <c r="K116" s="4"/>
      <c r="L116" s="8"/>
      <c r="M116" s="4"/>
      <c r="N116" s="8"/>
      <c r="O116" s="7"/>
      <c r="P116" s="7"/>
    </row>
    <row r="117">
      <c r="A117" s="2" t="s">
        <v>761</v>
      </c>
      <c r="B117" s="2" t="s">
        <v>280</v>
      </c>
      <c r="C117" s="2" t="s">
        <v>3831</v>
      </c>
      <c r="D117" s="2" t="s">
        <v>3832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761</v>
      </c>
      <c r="B118" s="2" t="s">
        <v>280</v>
      </c>
      <c r="C118" s="2" t="s">
        <v>1080</v>
      </c>
      <c r="D118" s="2" t="s">
        <v>1081</v>
      </c>
      <c r="E118" s="4" t="s">
        <v>233</v>
      </c>
      <c r="F118" s="8" t="s">
        <v>233</v>
      </c>
      <c r="G118" s="4" t="s">
        <v>233</v>
      </c>
      <c r="H118" s="8" t="s">
        <v>233</v>
      </c>
      <c r="I118" s="7" t="s">
        <v>233</v>
      </c>
      <c r="J118" s="7" t="s">
        <v>233</v>
      </c>
      <c r="K118" s="4"/>
      <c r="L118" s="8"/>
      <c r="M118" s="4"/>
      <c r="N118" s="8"/>
      <c r="O118" s="7"/>
      <c r="P118" s="7"/>
    </row>
    <row r="119">
      <c r="A119" s="2" t="s">
        <v>761</v>
      </c>
      <c r="B119" s="2" t="s">
        <v>280</v>
      </c>
      <c r="C119" s="2" t="s">
        <v>1080</v>
      </c>
      <c r="D119" s="2" t="s">
        <v>1466</v>
      </c>
      <c r="E119" s="4" t="s">
        <v>233</v>
      </c>
      <c r="F119" s="8" t="s">
        <v>233</v>
      </c>
      <c r="G119" s="4" t="s">
        <v>233</v>
      </c>
      <c r="H119" s="8" t="s">
        <v>233</v>
      </c>
      <c r="I119" s="7" t="s">
        <v>233</v>
      </c>
      <c r="J119" s="7" t="s">
        <v>233</v>
      </c>
      <c r="K119" s="4"/>
      <c r="L119" s="8"/>
      <c r="M119" s="4"/>
      <c r="N119" s="8"/>
      <c r="O119" s="7"/>
      <c r="P119" s="7"/>
    </row>
    <row r="120">
      <c r="A120" s="2" t="s">
        <v>761</v>
      </c>
      <c r="B120" s="2" t="s">
        <v>280</v>
      </c>
      <c r="C120" s="2" t="s">
        <v>1080</v>
      </c>
      <c r="D120" s="2" t="s">
        <v>1152</v>
      </c>
      <c r="E120" s="4" t="s">
        <v>233</v>
      </c>
      <c r="F120" s="8" t="s">
        <v>233</v>
      </c>
      <c r="G120" s="4" t="s">
        <v>233</v>
      </c>
      <c r="H120" s="8" t="s">
        <v>233</v>
      </c>
      <c r="I120" s="7" t="s">
        <v>233</v>
      </c>
      <c r="J120" s="7" t="s">
        <v>233</v>
      </c>
      <c r="K120" s="4"/>
      <c r="L120" s="8"/>
      <c r="M120" s="4"/>
      <c r="N120" s="8"/>
      <c r="O120" s="7"/>
      <c r="P120" s="7"/>
    </row>
    <row r="121">
      <c r="A121" s="2" t="s">
        <v>761</v>
      </c>
      <c r="B121" s="2" t="s">
        <v>260</v>
      </c>
      <c r="C121" s="2" t="s">
        <v>1297</v>
      </c>
      <c r="D121" s="2" t="s">
        <v>1298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761</v>
      </c>
      <c r="B122" s="2" t="s">
        <v>260</v>
      </c>
      <c r="C122" s="2" t="s">
        <v>1834</v>
      </c>
      <c r="D122" s="2" t="s">
        <v>1835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761</v>
      </c>
      <c r="B123" s="2" t="s">
        <v>812</v>
      </c>
      <c r="C123" s="2" t="s">
        <v>1531</v>
      </c>
      <c r="D123" s="2" t="s">
        <v>1532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761</v>
      </c>
      <c r="B124" s="2" t="s">
        <v>812</v>
      </c>
      <c r="C124" s="2" t="s">
        <v>763</v>
      </c>
      <c r="D124" s="2" t="s">
        <v>2109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811</v>
      </c>
      <c r="B125" s="2" t="s">
        <v>789</v>
      </c>
      <c r="C125" s="2" t="s">
        <v>1070</v>
      </c>
      <c r="D125" s="2" t="s">
        <v>1071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811</v>
      </c>
      <c r="B126" s="2" t="s">
        <v>789</v>
      </c>
      <c r="C126" s="2" t="s">
        <v>813</v>
      </c>
      <c r="D126" s="2" t="s">
        <v>814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811</v>
      </c>
      <c r="B127" s="2" t="s">
        <v>762</v>
      </c>
      <c r="C127" s="2" t="s">
        <v>1763</v>
      </c>
      <c r="D127" s="2" t="s">
        <v>1764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811</v>
      </c>
      <c r="B128" s="2" t="s">
        <v>762</v>
      </c>
      <c r="C128" s="2" t="s">
        <v>1070</v>
      </c>
      <c r="D128" s="2" t="s">
        <v>1071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811</v>
      </c>
      <c r="B129" s="2" t="s">
        <v>762</v>
      </c>
      <c r="C129" s="2" t="s">
        <v>1136</v>
      </c>
      <c r="D129" s="2" t="s">
        <v>1137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811</v>
      </c>
      <c r="B130" s="2" t="s">
        <v>762</v>
      </c>
      <c r="C130" s="2" t="s">
        <v>813</v>
      </c>
      <c r="D130" s="2" t="s">
        <v>814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811</v>
      </c>
      <c r="B131" s="2" t="s">
        <v>812</v>
      </c>
      <c r="C131" s="2" t="s">
        <v>813</v>
      </c>
      <c r="D131" s="2" t="s">
        <v>814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1724</v>
      </c>
      <c r="B132" s="2" t="s">
        <v>848</v>
      </c>
      <c r="C132" s="2" t="s">
        <v>1725</v>
      </c>
      <c r="D132" s="2" t="s">
        <v>1726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847</v>
      </c>
      <c r="B133" s="2" t="s">
        <v>848</v>
      </c>
      <c r="C133" s="2" t="s">
        <v>849</v>
      </c>
      <c r="D133" s="2" t="s">
        <v>850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279</v>
      </c>
      <c r="B134" s="2" t="s">
        <v>616</v>
      </c>
      <c r="C134" s="2" t="s">
        <v>281</v>
      </c>
      <c r="D134" s="2" t="s">
        <v>282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279</v>
      </c>
      <c r="B135" s="2" t="s">
        <v>3991</v>
      </c>
      <c r="C135" s="2" t="s">
        <v>281</v>
      </c>
      <c r="D135" s="2" t="s">
        <v>282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279</v>
      </c>
      <c r="B136" s="2" t="s">
        <v>1411</v>
      </c>
      <c r="C136" s="2" t="s">
        <v>281</v>
      </c>
      <c r="D136" s="2" t="s">
        <v>282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279</v>
      </c>
      <c r="B137" s="2" t="s">
        <v>280</v>
      </c>
      <c r="C137" s="2" t="s">
        <v>297</v>
      </c>
      <c r="D137" s="2" t="s">
        <v>298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279</v>
      </c>
      <c r="B138" s="2" t="s">
        <v>280</v>
      </c>
      <c r="C138" s="2" t="s">
        <v>281</v>
      </c>
      <c r="D138" s="2" t="s">
        <v>282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279</v>
      </c>
      <c r="B139" s="2" t="s">
        <v>343</v>
      </c>
      <c r="C139" s="2" t="s">
        <v>297</v>
      </c>
      <c r="D139" s="2" t="s">
        <v>298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279</v>
      </c>
      <c r="B140" s="2" t="s">
        <v>343</v>
      </c>
      <c r="C140" s="2" t="s">
        <v>281</v>
      </c>
      <c r="D140" s="2" t="s">
        <v>282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279</v>
      </c>
      <c r="B141" s="2" t="s">
        <v>223</v>
      </c>
      <c r="C141" s="2" t="s">
        <v>281</v>
      </c>
      <c r="D141" s="2" t="s">
        <v>282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279</v>
      </c>
      <c r="B142" s="2" t="s">
        <v>2381</v>
      </c>
      <c r="C142" s="2" t="s">
        <v>281</v>
      </c>
      <c r="D142" s="2" t="s">
        <v>282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279</v>
      </c>
      <c r="B143" s="2" t="s">
        <v>908</v>
      </c>
      <c r="C143" s="2" t="s">
        <v>281</v>
      </c>
      <c r="D143" s="2" t="s">
        <v>282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704</v>
      </c>
      <c r="B144" s="2" t="s">
        <v>789</v>
      </c>
      <c r="C144" s="2" t="s">
        <v>705</v>
      </c>
      <c r="D144" s="2" t="s">
        <v>706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704</v>
      </c>
      <c r="B145" s="2" t="s">
        <v>616</v>
      </c>
      <c r="C145" s="2" t="s">
        <v>705</v>
      </c>
      <c r="D145" s="2" t="s">
        <v>706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704</v>
      </c>
      <c r="B146" s="2" t="s">
        <v>3056</v>
      </c>
      <c r="C146" s="2" t="s">
        <v>705</v>
      </c>
      <c r="D146" s="2" t="s">
        <v>706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704</v>
      </c>
      <c r="B147" s="2" t="s">
        <v>280</v>
      </c>
      <c r="C147" s="2" t="s">
        <v>705</v>
      </c>
      <c r="D147" s="2" t="s">
        <v>706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704</v>
      </c>
      <c r="B148" s="2" t="s">
        <v>260</v>
      </c>
      <c r="C148" s="2" t="s">
        <v>705</v>
      </c>
      <c r="D148" s="2" t="s">
        <v>706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938</v>
      </c>
      <c r="B149" s="2" t="s">
        <v>789</v>
      </c>
      <c r="C149" s="2" t="s">
        <v>972</v>
      </c>
      <c r="D149" s="2" t="s">
        <v>1092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938</v>
      </c>
      <c r="B150" s="2" t="s">
        <v>762</v>
      </c>
      <c r="C150" s="2" t="s">
        <v>972</v>
      </c>
      <c r="D150" s="2" t="s">
        <v>973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938</v>
      </c>
      <c r="B151" s="2" t="s">
        <v>1411</v>
      </c>
      <c r="C151" s="2" t="s">
        <v>972</v>
      </c>
      <c r="D151" s="2" t="s">
        <v>973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938</v>
      </c>
      <c r="B152" s="2" t="s">
        <v>280</v>
      </c>
      <c r="C152" s="2" t="s">
        <v>939</v>
      </c>
      <c r="D152" s="2" t="s">
        <v>940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938</v>
      </c>
      <c r="B153" s="2" t="s">
        <v>280</v>
      </c>
      <c r="C153" s="2" t="s">
        <v>972</v>
      </c>
      <c r="D153" s="2" t="s">
        <v>1092</v>
      </c>
      <c r="E153" s="4" t="s">
        <v>233</v>
      </c>
      <c r="F153" s="8" t="s">
        <v>233</v>
      </c>
      <c r="G153" s="4" t="s">
        <v>233</v>
      </c>
      <c r="H153" s="8" t="s">
        <v>233</v>
      </c>
      <c r="I153" s="7" t="s">
        <v>233</v>
      </c>
      <c r="J153" s="7" t="s">
        <v>233</v>
      </c>
      <c r="K153" s="4"/>
      <c r="L153" s="8"/>
      <c r="M153" s="4"/>
      <c r="N153" s="8"/>
      <c r="O153" s="7"/>
      <c r="P153" s="7"/>
    </row>
    <row r="154">
      <c r="A154" s="2" t="s">
        <v>938</v>
      </c>
      <c r="B154" s="2" t="s">
        <v>280</v>
      </c>
      <c r="C154" s="2" t="s">
        <v>972</v>
      </c>
      <c r="D154" s="2" t="s">
        <v>2188</v>
      </c>
      <c r="E154" s="4" t="s">
        <v>233</v>
      </c>
      <c r="F154" s="8" t="s">
        <v>233</v>
      </c>
      <c r="G154" s="4" t="s">
        <v>233</v>
      </c>
      <c r="H154" s="8" t="s">
        <v>233</v>
      </c>
      <c r="I154" s="7" t="s">
        <v>233</v>
      </c>
      <c r="J154" s="7" t="s">
        <v>233</v>
      </c>
      <c r="K154" s="4"/>
      <c r="L154" s="8"/>
      <c r="M154" s="4"/>
      <c r="N154" s="8"/>
      <c r="O154" s="7"/>
      <c r="P154" s="7"/>
    </row>
    <row r="155">
      <c r="A155" s="2" t="s">
        <v>938</v>
      </c>
      <c r="B155" s="2" t="s">
        <v>280</v>
      </c>
      <c r="C155" s="2" t="s">
        <v>972</v>
      </c>
      <c r="D155" s="2" t="s">
        <v>1221</v>
      </c>
      <c r="E155" s="4" t="s">
        <v>233</v>
      </c>
      <c r="F155" s="8" t="s">
        <v>233</v>
      </c>
      <c r="G155" s="4" t="s">
        <v>233</v>
      </c>
      <c r="H155" s="8" t="s">
        <v>233</v>
      </c>
      <c r="I155" s="7" t="s">
        <v>233</v>
      </c>
      <c r="J155" s="7" t="s">
        <v>233</v>
      </c>
      <c r="K155" s="4"/>
      <c r="L155" s="8"/>
      <c r="M155" s="4"/>
      <c r="N155" s="8"/>
      <c r="O155" s="7"/>
      <c r="P155" s="7"/>
    </row>
    <row r="156">
      <c r="A156" s="2" t="s">
        <v>938</v>
      </c>
      <c r="B156" s="2" t="s">
        <v>280</v>
      </c>
      <c r="C156" s="2" t="s">
        <v>972</v>
      </c>
      <c r="D156" s="2" t="s">
        <v>1930</v>
      </c>
      <c r="E156" s="4" t="s">
        <v>233</v>
      </c>
      <c r="F156" s="8" t="s">
        <v>233</v>
      </c>
      <c r="G156" s="4" t="s">
        <v>233</v>
      </c>
      <c r="H156" s="8" t="s">
        <v>233</v>
      </c>
      <c r="I156" s="7" t="s">
        <v>233</v>
      </c>
      <c r="J156" s="7" t="s">
        <v>233</v>
      </c>
      <c r="K156" s="4"/>
      <c r="L156" s="8"/>
      <c r="M156" s="4"/>
      <c r="N156" s="8"/>
      <c r="O156" s="7"/>
      <c r="P156" s="7"/>
    </row>
    <row r="157">
      <c r="A157" s="2" t="s">
        <v>938</v>
      </c>
      <c r="B157" s="2" t="s">
        <v>280</v>
      </c>
      <c r="C157" s="2" t="s">
        <v>972</v>
      </c>
      <c r="D157" s="2" t="s">
        <v>973</v>
      </c>
      <c r="E157" s="4" t="s">
        <v>233</v>
      </c>
      <c r="F157" s="8" t="s">
        <v>233</v>
      </c>
      <c r="G157" s="4" t="s">
        <v>233</v>
      </c>
      <c r="H157" s="8" t="s">
        <v>233</v>
      </c>
      <c r="I157" s="7" t="s">
        <v>233</v>
      </c>
      <c r="J157" s="7" t="s">
        <v>233</v>
      </c>
      <c r="K157" s="4"/>
      <c r="L157" s="8"/>
      <c r="M157" s="4"/>
      <c r="N157" s="8"/>
      <c r="O157" s="7"/>
      <c r="P157" s="7"/>
    </row>
    <row r="158">
      <c r="A158" s="2" t="s">
        <v>938</v>
      </c>
      <c r="B158" s="2" t="s">
        <v>280</v>
      </c>
      <c r="C158" s="2" t="s">
        <v>972</v>
      </c>
      <c r="D158" s="2" t="s">
        <v>3505</v>
      </c>
      <c r="E158" s="4" t="s">
        <v>233</v>
      </c>
      <c r="F158" s="8" t="s">
        <v>233</v>
      </c>
      <c r="G158" s="4" t="s">
        <v>233</v>
      </c>
      <c r="H158" s="8" t="s">
        <v>233</v>
      </c>
      <c r="I158" s="7" t="s">
        <v>233</v>
      </c>
      <c r="J158" s="7" t="s">
        <v>233</v>
      </c>
      <c r="K158" s="4"/>
      <c r="L158" s="8"/>
      <c r="M158" s="4"/>
      <c r="N158" s="8"/>
      <c r="O158" s="7"/>
      <c r="P158" s="7"/>
    </row>
    <row r="159">
      <c r="A159" s="2" t="s">
        <v>938</v>
      </c>
      <c r="B159" s="2" t="s">
        <v>1318</v>
      </c>
      <c r="C159" s="2" t="s">
        <v>972</v>
      </c>
      <c r="D159" s="2" t="s">
        <v>1092</v>
      </c>
      <c r="E159" s="4" t="s">
        <v>233</v>
      </c>
      <c r="F159" s="8" t="s">
        <v>233</v>
      </c>
      <c r="G159" s="4" t="s">
        <v>233</v>
      </c>
      <c r="H159" s="8" t="s">
        <v>233</v>
      </c>
      <c r="I159" s="7" t="s">
        <v>233</v>
      </c>
      <c r="J159" s="7" t="s">
        <v>233</v>
      </c>
      <c r="K159" s="4"/>
      <c r="L159" s="8"/>
      <c r="M159" s="4"/>
      <c r="N159" s="8"/>
      <c r="O159" s="7"/>
      <c r="P159" s="7"/>
    </row>
    <row r="160">
      <c r="A160" s="2" t="s">
        <v>938</v>
      </c>
      <c r="B160" s="2" t="s">
        <v>1318</v>
      </c>
      <c r="C160" s="2" t="s">
        <v>972</v>
      </c>
      <c r="D160" s="2" t="s">
        <v>973</v>
      </c>
      <c r="E160" s="4" t="s">
        <v>233</v>
      </c>
      <c r="F160" s="8" t="s">
        <v>233</v>
      </c>
      <c r="G160" s="4" t="s">
        <v>233</v>
      </c>
      <c r="H160" s="8" t="s">
        <v>233</v>
      </c>
      <c r="I160" s="7" t="s">
        <v>233</v>
      </c>
      <c r="J160" s="7" t="s">
        <v>233</v>
      </c>
      <c r="K160" s="4"/>
      <c r="L160" s="8"/>
      <c r="M160" s="4"/>
      <c r="N160" s="8"/>
      <c r="O160" s="7"/>
      <c r="P160" s="7"/>
    </row>
    <row r="161">
      <c r="A161" s="2" t="s">
        <v>825</v>
      </c>
      <c r="B161" s="2" t="s">
        <v>1411</v>
      </c>
      <c r="C161" s="2" t="s">
        <v>261</v>
      </c>
      <c r="D161" s="2" t="s">
        <v>1119</v>
      </c>
      <c r="E161" s="4" t="s">
        <v>233</v>
      </c>
      <c r="F161" s="8" t="s">
        <v>233</v>
      </c>
      <c r="G161" s="4" t="s">
        <v>233</v>
      </c>
      <c r="H161" s="8" t="s">
        <v>233</v>
      </c>
      <c r="I161" s="7" t="s">
        <v>233</v>
      </c>
      <c r="J161" s="7" t="s">
        <v>233</v>
      </c>
      <c r="K161" s="4"/>
      <c r="L161" s="8"/>
      <c r="M161" s="4"/>
      <c r="N161" s="8"/>
      <c r="O161" s="7"/>
      <c r="P161" s="7"/>
    </row>
    <row r="162">
      <c r="A162" s="2" t="s">
        <v>825</v>
      </c>
      <c r="B162" s="2" t="s">
        <v>1411</v>
      </c>
      <c r="C162" s="2" t="s">
        <v>261</v>
      </c>
      <c r="D162" s="2" t="s">
        <v>603</v>
      </c>
      <c r="E162" s="4" t="s">
        <v>233</v>
      </c>
      <c r="F162" s="8" t="s">
        <v>233</v>
      </c>
      <c r="G162" s="4" t="s">
        <v>233</v>
      </c>
      <c r="H162" s="8" t="s">
        <v>233</v>
      </c>
      <c r="I162" s="7" t="s">
        <v>233</v>
      </c>
      <c r="J162" s="7" t="s">
        <v>233</v>
      </c>
      <c r="K162" s="4"/>
      <c r="L162" s="8"/>
      <c r="M162" s="4"/>
      <c r="N162" s="8"/>
      <c r="O162" s="7"/>
      <c r="P162" s="7"/>
    </row>
    <row r="163">
      <c r="A163" s="2" t="s">
        <v>825</v>
      </c>
      <c r="B163" s="2" t="s">
        <v>1411</v>
      </c>
      <c r="C163" s="2" t="s">
        <v>261</v>
      </c>
      <c r="D163" s="2" t="s">
        <v>895</v>
      </c>
      <c r="E163" s="4" t="s">
        <v>233</v>
      </c>
      <c r="F163" s="8" t="s">
        <v>233</v>
      </c>
      <c r="G163" s="4" t="s">
        <v>233</v>
      </c>
      <c r="H163" s="8" t="s">
        <v>233</v>
      </c>
      <c r="I163" s="7" t="s">
        <v>233</v>
      </c>
      <c r="J163" s="7" t="s">
        <v>233</v>
      </c>
      <c r="K163" s="4"/>
      <c r="L163" s="8"/>
      <c r="M163" s="4"/>
      <c r="N163" s="8"/>
      <c r="O163" s="7"/>
      <c r="P163" s="7"/>
    </row>
    <row r="164">
      <c r="A164" s="2" t="s">
        <v>825</v>
      </c>
      <c r="B164" s="2" t="s">
        <v>1411</v>
      </c>
      <c r="C164" s="2" t="s">
        <v>884</v>
      </c>
      <c r="D164" s="2" t="s">
        <v>885</v>
      </c>
      <c r="E164" s="4"/>
      <c r="F164" s="8"/>
      <c r="G164" s="4"/>
      <c r="H164" s="8"/>
      <c r="I164" s="7"/>
      <c r="J164" s="7"/>
      <c r="K164" s="4"/>
      <c r="L164" s="8"/>
      <c r="M164" s="4"/>
      <c r="N164" s="8"/>
      <c r="O164" s="7"/>
      <c r="P164" s="7"/>
    </row>
    <row r="165">
      <c r="A165" s="2" t="s">
        <v>825</v>
      </c>
      <c r="B165" s="2" t="s">
        <v>1411</v>
      </c>
      <c r="C165" s="2" t="s">
        <v>774</v>
      </c>
      <c r="D165" s="2" t="s">
        <v>775</v>
      </c>
      <c r="E165" s="4" t="s">
        <v>233</v>
      </c>
      <c r="F165" s="8" t="s">
        <v>233</v>
      </c>
      <c r="G165" s="4" t="s">
        <v>233</v>
      </c>
      <c r="H165" s="8" t="s">
        <v>233</v>
      </c>
      <c r="I165" s="7" t="s">
        <v>233</v>
      </c>
      <c r="J165" s="7" t="s">
        <v>233</v>
      </c>
      <c r="K165" s="4"/>
      <c r="L165" s="8"/>
      <c r="M165" s="4"/>
      <c r="N165" s="8"/>
      <c r="O165" s="7"/>
      <c r="P165" s="7"/>
    </row>
    <row r="166">
      <c r="A166" s="2" t="s">
        <v>825</v>
      </c>
      <c r="B166" s="2" t="s">
        <v>1411</v>
      </c>
      <c r="C166" s="2" t="s">
        <v>774</v>
      </c>
      <c r="D166" s="2" t="s">
        <v>827</v>
      </c>
      <c r="E166" s="4" t="s">
        <v>233</v>
      </c>
      <c r="F166" s="8" t="s">
        <v>233</v>
      </c>
      <c r="G166" s="4" t="s">
        <v>233</v>
      </c>
      <c r="H166" s="8" t="s">
        <v>233</v>
      </c>
      <c r="I166" s="7" t="s">
        <v>233</v>
      </c>
      <c r="J166" s="7" t="s">
        <v>233</v>
      </c>
      <c r="K166" s="4"/>
      <c r="L166" s="8"/>
      <c r="M166" s="4"/>
      <c r="N166" s="8"/>
      <c r="O166" s="7"/>
      <c r="P166" s="7"/>
    </row>
    <row r="167">
      <c r="A167" s="2" t="s">
        <v>825</v>
      </c>
      <c r="B167" s="2" t="s">
        <v>826</v>
      </c>
      <c r="C167" s="2" t="s">
        <v>261</v>
      </c>
      <c r="D167" s="2" t="s">
        <v>603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825</v>
      </c>
      <c r="B168" s="2" t="s">
        <v>826</v>
      </c>
      <c r="C168" s="2" t="s">
        <v>774</v>
      </c>
      <c r="D168" s="2" t="s">
        <v>827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825</v>
      </c>
      <c r="B169" s="2" t="s">
        <v>5666</v>
      </c>
      <c r="C169" s="2" t="s">
        <v>261</v>
      </c>
      <c r="D169" s="2" t="s">
        <v>603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825</v>
      </c>
      <c r="B170" s="2" t="s">
        <v>1625</v>
      </c>
      <c r="C170" s="2" t="s">
        <v>261</v>
      </c>
      <c r="D170" s="2" t="s">
        <v>603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825</v>
      </c>
      <c r="B171" s="2" t="s">
        <v>1625</v>
      </c>
      <c r="C171" s="2" t="s">
        <v>884</v>
      </c>
      <c r="D171" s="2" t="s">
        <v>3542</v>
      </c>
      <c r="E171" s="4" t="s">
        <v>233</v>
      </c>
      <c r="F171" s="8" t="s">
        <v>233</v>
      </c>
      <c r="G171" s="4" t="s">
        <v>233</v>
      </c>
      <c r="H171" s="8" t="s">
        <v>233</v>
      </c>
      <c r="I171" s="7" t="s">
        <v>233</v>
      </c>
      <c r="J171" s="7" t="s">
        <v>233</v>
      </c>
      <c r="K171" s="4"/>
      <c r="L171" s="8"/>
      <c r="M171" s="4"/>
      <c r="N171" s="8"/>
      <c r="O171" s="7"/>
      <c r="P171" s="7"/>
    </row>
    <row r="172">
      <c r="A172" s="2" t="s">
        <v>825</v>
      </c>
      <c r="B172" s="2" t="s">
        <v>1625</v>
      </c>
      <c r="C172" s="2" t="s">
        <v>884</v>
      </c>
      <c r="D172" s="2" t="s">
        <v>1685</v>
      </c>
      <c r="E172" s="4" t="s">
        <v>233</v>
      </c>
      <c r="F172" s="8" t="s">
        <v>233</v>
      </c>
      <c r="G172" s="4" t="s">
        <v>233</v>
      </c>
      <c r="H172" s="8" t="s">
        <v>233</v>
      </c>
      <c r="I172" s="7" t="s">
        <v>233</v>
      </c>
      <c r="J172" s="7" t="s">
        <v>233</v>
      </c>
      <c r="K172" s="4"/>
      <c r="L172" s="8"/>
      <c r="M172" s="4"/>
      <c r="N172" s="8"/>
      <c r="O172" s="7"/>
      <c r="P172" s="7"/>
    </row>
    <row r="173">
      <c r="A173" s="2" t="s">
        <v>825</v>
      </c>
      <c r="B173" s="2" t="s">
        <v>1625</v>
      </c>
      <c r="C173" s="2" t="s">
        <v>774</v>
      </c>
      <c r="D173" s="2" t="s">
        <v>775</v>
      </c>
      <c r="E173" s="4" t="s">
        <v>233</v>
      </c>
      <c r="F173" s="8" t="s">
        <v>233</v>
      </c>
      <c r="G173" s="4" t="s">
        <v>233</v>
      </c>
      <c r="H173" s="8" t="s">
        <v>233</v>
      </c>
      <c r="I173" s="7" t="s">
        <v>233</v>
      </c>
      <c r="J173" s="7" t="s">
        <v>233</v>
      </c>
      <c r="K173" s="4"/>
      <c r="L173" s="8"/>
      <c r="M173" s="4"/>
      <c r="N173" s="8"/>
      <c r="O173" s="7"/>
      <c r="P173" s="7"/>
    </row>
    <row r="174">
      <c r="A174" s="2" t="s">
        <v>825</v>
      </c>
      <c r="B174" s="2" t="s">
        <v>1625</v>
      </c>
      <c r="C174" s="2" t="s">
        <v>774</v>
      </c>
      <c r="D174" s="2" t="s">
        <v>827</v>
      </c>
      <c r="E174" s="4" t="s">
        <v>233</v>
      </c>
      <c r="F174" s="8" t="s">
        <v>233</v>
      </c>
      <c r="G174" s="4" t="s">
        <v>233</v>
      </c>
      <c r="H174" s="8" t="s">
        <v>233</v>
      </c>
      <c r="I174" s="7" t="s">
        <v>233</v>
      </c>
      <c r="J174" s="7" t="s">
        <v>233</v>
      </c>
      <c r="K174" s="4"/>
      <c r="L174" s="8"/>
      <c r="M174" s="4"/>
      <c r="N174" s="8"/>
      <c r="O174" s="7"/>
      <c r="P174" s="7"/>
    </row>
    <row r="175">
      <c r="A175" s="2" t="s">
        <v>825</v>
      </c>
      <c r="B175" s="2" t="s">
        <v>1772</v>
      </c>
      <c r="C175" s="2" t="s">
        <v>261</v>
      </c>
      <c r="D175" s="2" t="s">
        <v>603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825</v>
      </c>
      <c r="B176" s="2" t="s">
        <v>1772</v>
      </c>
      <c r="C176" s="2" t="s">
        <v>884</v>
      </c>
      <c r="D176" s="2" t="s">
        <v>3542</v>
      </c>
      <c r="E176" s="4"/>
      <c r="F176" s="8"/>
      <c r="G176" s="4"/>
      <c r="H176" s="8"/>
      <c r="I176" s="7"/>
      <c r="J176" s="7"/>
      <c r="K176" s="4"/>
      <c r="L176" s="8"/>
      <c r="M176" s="4"/>
      <c r="N176" s="8"/>
      <c r="O176" s="7"/>
      <c r="P176" s="7"/>
    </row>
    <row r="177">
      <c r="A177" s="2" t="s">
        <v>825</v>
      </c>
      <c r="B177" s="2" t="s">
        <v>1772</v>
      </c>
      <c r="C177" s="2" t="s">
        <v>774</v>
      </c>
      <c r="D177" s="2" t="s">
        <v>827</v>
      </c>
      <c r="E177" s="4"/>
      <c r="F177" s="8"/>
      <c r="G177" s="4"/>
      <c r="H177" s="8"/>
      <c r="I177" s="7"/>
      <c r="J177" s="7"/>
      <c r="K177" s="4"/>
      <c r="L177" s="8"/>
      <c r="M177" s="4"/>
      <c r="N177" s="8"/>
      <c r="O177" s="7"/>
      <c r="P17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17:E18"/>
    <mergeCell ref="F17:F18"/>
    <mergeCell ref="G17:G18"/>
    <mergeCell ref="H17:H18"/>
    <mergeCell ref="I17:I18"/>
    <mergeCell ref="J17:J18"/>
    <mergeCell ref="E19:E22"/>
    <mergeCell ref="F19:F22"/>
    <mergeCell ref="G19:G22"/>
    <mergeCell ref="H19:H22"/>
    <mergeCell ref="I19:I22"/>
    <mergeCell ref="J19:J22"/>
    <mergeCell ref="E23:E24"/>
    <mergeCell ref="F23:F24"/>
    <mergeCell ref="G23:G24"/>
    <mergeCell ref="H23:H24"/>
    <mergeCell ref="I23:I24"/>
    <mergeCell ref="J23:J24"/>
    <mergeCell ref="E30:E31"/>
    <mergeCell ref="F30:F31"/>
    <mergeCell ref="G30:G31"/>
    <mergeCell ref="H30:H31"/>
    <mergeCell ref="I30:I31"/>
    <mergeCell ref="J30:J31"/>
    <mergeCell ref="E33:E34"/>
    <mergeCell ref="F33:F34"/>
    <mergeCell ref="G33:G34"/>
    <mergeCell ref="H33:H34"/>
    <mergeCell ref="I33:I34"/>
    <mergeCell ref="J33:J34"/>
    <mergeCell ref="E42:E43"/>
    <mergeCell ref="F42:F43"/>
    <mergeCell ref="G42:G43"/>
    <mergeCell ref="H42:H43"/>
    <mergeCell ref="I42:I43"/>
    <mergeCell ref="J42:J43"/>
    <mergeCell ref="E44:E45"/>
    <mergeCell ref="F44:F45"/>
    <mergeCell ref="G44:G45"/>
    <mergeCell ref="H44:H45"/>
    <mergeCell ref="I44:I45"/>
    <mergeCell ref="J44:J45"/>
    <mergeCell ref="E57:E58"/>
    <mergeCell ref="F57:F58"/>
    <mergeCell ref="G57:G58"/>
    <mergeCell ref="H57:H58"/>
    <mergeCell ref="I57:I58"/>
    <mergeCell ref="J57:J58"/>
    <mergeCell ref="E60:E61"/>
    <mergeCell ref="F60:F61"/>
    <mergeCell ref="G60:G61"/>
    <mergeCell ref="H60:H61"/>
    <mergeCell ref="I60:I61"/>
    <mergeCell ref="J60:J61"/>
    <mergeCell ref="E62:E63"/>
    <mergeCell ref="F62:F63"/>
    <mergeCell ref="G62:G63"/>
    <mergeCell ref="H62:H63"/>
    <mergeCell ref="I62:I63"/>
    <mergeCell ref="J62:J63"/>
    <mergeCell ref="E79:E80"/>
    <mergeCell ref="F79:F80"/>
    <mergeCell ref="G79:G80"/>
    <mergeCell ref="H79:H80"/>
    <mergeCell ref="I79:I80"/>
    <mergeCell ref="J79:J80"/>
    <mergeCell ref="E87:E88"/>
    <mergeCell ref="F87:F88"/>
    <mergeCell ref="G87:G88"/>
    <mergeCell ref="H87:H88"/>
    <mergeCell ref="I87:I88"/>
    <mergeCell ref="J87:J88"/>
    <mergeCell ref="E94:E95"/>
    <mergeCell ref="F94:F95"/>
    <mergeCell ref="G94:G95"/>
    <mergeCell ref="H94:H95"/>
    <mergeCell ref="I94:I95"/>
    <mergeCell ref="J94:J95"/>
    <mergeCell ref="E96:E97"/>
    <mergeCell ref="F96:F97"/>
    <mergeCell ref="G96:G97"/>
    <mergeCell ref="H96:H97"/>
    <mergeCell ref="I96:I97"/>
    <mergeCell ref="J96:J97"/>
    <mergeCell ref="E98:E99"/>
    <mergeCell ref="F98:F99"/>
    <mergeCell ref="G98:G99"/>
    <mergeCell ref="H98:H99"/>
    <mergeCell ref="I98:I99"/>
    <mergeCell ref="J98:J99"/>
    <mergeCell ref="E100:E101"/>
    <mergeCell ref="F100:F101"/>
    <mergeCell ref="G100:G101"/>
    <mergeCell ref="H100:H101"/>
    <mergeCell ref="I100:I101"/>
    <mergeCell ref="J100:J101"/>
    <mergeCell ref="E104:E105"/>
    <mergeCell ref="F104:F105"/>
    <mergeCell ref="G104:G105"/>
    <mergeCell ref="H104:H105"/>
    <mergeCell ref="I104:I105"/>
    <mergeCell ref="J104:J105"/>
    <mergeCell ref="E112:E114"/>
    <mergeCell ref="F112:F114"/>
    <mergeCell ref="G112:G114"/>
    <mergeCell ref="H112:H114"/>
    <mergeCell ref="I112:I114"/>
    <mergeCell ref="J112:J114"/>
    <mergeCell ref="E115:E116"/>
    <mergeCell ref="F115:F116"/>
    <mergeCell ref="G115:G116"/>
    <mergeCell ref="H115:H116"/>
    <mergeCell ref="I115:I116"/>
    <mergeCell ref="J115:J116"/>
    <mergeCell ref="E118:E120"/>
    <mergeCell ref="F118:F120"/>
    <mergeCell ref="G118:G120"/>
    <mergeCell ref="H118:H120"/>
    <mergeCell ref="I118:I120"/>
    <mergeCell ref="J118:J120"/>
    <mergeCell ref="E153:E158"/>
    <mergeCell ref="F153:F158"/>
    <mergeCell ref="G153:G158"/>
    <mergeCell ref="H153:H158"/>
    <mergeCell ref="I153:I158"/>
    <mergeCell ref="J153:J158"/>
    <mergeCell ref="E159:E160"/>
    <mergeCell ref="F159:F160"/>
    <mergeCell ref="G159:G160"/>
    <mergeCell ref="H159:H160"/>
    <mergeCell ref="I159:I160"/>
    <mergeCell ref="J159:J160"/>
    <mergeCell ref="E161:E163"/>
    <mergeCell ref="F161:F163"/>
    <mergeCell ref="G161:G163"/>
    <mergeCell ref="H161:H163"/>
    <mergeCell ref="I161:I163"/>
    <mergeCell ref="J161:J163"/>
    <mergeCell ref="E165:E166"/>
    <mergeCell ref="F165:F166"/>
    <mergeCell ref="G165:G166"/>
    <mergeCell ref="H165:H166"/>
    <mergeCell ref="I165:I166"/>
    <mergeCell ref="J165:J166"/>
    <mergeCell ref="E171:E172"/>
    <mergeCell ref="F171:F172"/>
    <mergeCell ref="G171:G172"/>
    <mergeCell ref="H171:H172"/>
    <mergeCell ref="I171:I172"/>
    <mergeCell ref="J171:J172"/>
    <mergeCell ref="E173:E174"/>
    <mergeCell ref="F173:F174"/>
    <mergeCell ref="G173:G174"/>
    <mergeCell ref="H173:H174"/>
    <mergeCell ref="I173:I174"/>
    <mergeCell ref="J173:J174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9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5910</v>
      </c>
      <c r="C2" s="0" t="s">
        <v>5911</v>
      </c>
      <c r="D2" s="0" t="s">
        <v>5912</v>
      </c>
      <c r="E2" s="0" t="s">
        <v>85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36</v>
      </c>
      <c r="E4" s="1" t="s">
        <v>36</v>
      </c>
      <c r="F4" s="1" t="s">
        <v>37</v>
      </c>
      <c r="G4" s="1" t="s">
        <v>37</v>
      </c>
      <c r="H4" s="1" t="s">
        <v>5913</v>
      </c>
      <c r="I4" s="1" t="s">
        <v>5914</v>
      </c>
      <c r="J4" s="1" t="s">
        <v>36</v>
      </c>
      <c r="K4" s="1" t="s">
        <v>36</v>
      </c>
      <c r="L4" s="1" t="s">
        <v>37</v>
      </c>
      <c r="M4" s="1" t="s">
        <v>37</v>
      </c>
      <c r="N4" s="1" t="s">
        <v>5915</v>
      </c>
      <c r="O4" s="1" t="s">
        <v>5916</v>
      </c>
    </row>
    <row r="5">
      <c r="A5" s="1" t="s">
        <v>85</v>
      </c>
      <c r="B5" s="1" t="s">
        <v>87</v>
      </c>
      <c r="C5" s="1" t="s">
        <v>88</v>
      </c>
      <c r="D5" s="1" t="s">
        <v>5917</v>
      </c>
      <c r="E5" s="1" t="s">
        <v>5918</v>
      </c>
      <c r="F5" s="1" t="s">
        <v>5917</v>
      </c>
      <c r="G5" s="1" t="s">
        <v>5918</v>
      </c>
      <c r="H5" s="1" t="s">
        <v>5913</v>
      </c>
      <c r="I5" s="1" t="s">
        <v>5914</v>
      </c>
      <c r="J5" s="1" t="s">
        <v>5919</v>
      </c>
      <c r="K5" s="1" t="s">
        <v>5920</v>
      </c>
      <c r="L5" s="1" t="s">
        <v>5919</v>
      </c>
      <c r="M5" s="1" t="s">
        <v>5920</v>
      </c>
      <c r="N5" s="1" t="s">
        <v>5915</v>
      </c>
      <c r="O5" s="1" t="s">
        <v>5916</v>
      </c>
    </row>
    <row r="6">
      <c r="A6" s="2" t="s">
        <v>872</v>
      </c>
      <c r="B6" s="2" t="s">
        <v>1815</v>
      </c>
      <c r="C6" s="2" t="s">
        <v>1816</v>
      </c>
      <c r="D6" s="4"/>
      <c r="E6" s="8"/>
      <c r="F6" s="4"/>
      <c r="G6" s="8"/>
      <c r="H6" s="7"/>
      <c r="I6" s="7"/>
      <c r="J6" s="4"/>
      <c r="K6" s="8"/>
      <c r="L6" s="4"/>
      <c r="M6" s="8"/>
      <c r="N6" s="7"/>
      <c r="O6" s="7"/>
    </row>
    <row r="7">
      <c r="A7" s="2" t="s">
        <v>872</v>
      </c>
      <c r="B7" s="2" t="s">
        <v>261</v>
      </c>
      <c r="C7" s="2" t="s">
        <v>1119</v>
      </c>
      <c r="D7" s="4" t="s">
        <v>233</v>
      </c>
      <c r="E7" s="8" t="s">
        <v>233</v>
      </c>
      <c r="F7" s="4" t="s">
        <v>233</v>
      </c>
      <c r="G7" s="8" t="s">
        <v>233</v>
      </c>
      <c r="H7" s="7" t="s">
        <v>233</v>
      </c>
      <c r="I7" s="7" t="s">
        <v>233</v>
      </c>
      <c r="J7" s="4"/>
      <c r="K7" s="8"/>
      <c r="L7" s="4"/>
      <c r="M7" s="8"/>
      <c r="N7" s="7"/>
      <c r="O7" s="7"/>
    </row>
    <row r="8">
      <c r="A8" s="2" t="s">
        <v>872</v>
      </c>
      <c r="B8" s="2" t="s">
        <v>261</v>
      </c>
      <c r="C8" s="2" t="s">
        <v>603</v>
      </c>
      <c r="D8" s="4" t="s">
        <v>233</v>
      </c>
      <c r="E8" s="8" t="s">
        <v>233</v>
      </c>
      <c r="F8" s="4" t="s">
        <v>233</v>
      </c>
      <c r="G8" s="8" t="s">
        <v>233</v>
      </c>
      <c r="H8" s="7" t="s">
        <v>233</v>
      </c>
      <c r="I8" s="7" t="s">
        <v>233</v>
      </c>
      <c r="J8" s="4"/>
      <c r="K8" s="8"/>
      <c r="L8" s="4"/>
      <c r="M8" s="8"/>
      <c r="N8" s="7"/>
      <c r="O8" s="7"/>
    </row>
    <row r="9">
      <c r="A9" s="2" t="s">
        <v>872</v>
      </c>
      <c r="B9" s="2" t="s">
        <v>261</v>
      </c>
      <c r="C9" s="2" t="s">
        <v>895</v>
      </c>
      <c r="D9" s="4" t="s">
        <v>233</v>
      </c>
      <c r="E9" s="8" t="s">
        <v>233</v>
      </c>
      <c r="F9" s="4" t="s">
        <v>233</v>
      </c>
      <c r="G9" s="8" t="s">
        <v>233</v>
      </c>
      <c r="H9" s="7" t="s">
        <v>233</v>
      </c>
      <c r="I9" s="7" t="s">
        <v>233</v>
      </c>
      <c r="J9" s="4"/>
      <c r="K9" s="8"/>
      <c r="L9" s="4"/>
      <c r="M9" s="8"/>
      <c r="N9" s="7"/>
      <c r="O9" s="7"/>
    </row>
    <row r="10">
      <c r="A10" s="2" t="s">
        <v>872</v>
      </c>
      <c r="B10" s="2" t="s">
        <v>884</v>
      </c>
      <c r="C10" s="2" t="s">
        <v>4974</v>
      </c>
      <c r="D10" s="4" t="s">
        <v>233</v>
      </c>
      <c r="E10" s="8" t="s">
        <v>233</v>
      </c>
      <c r="F10" s="4" t="s">
        <v>233</v>
      </c>
      <c r="G10" s="8" t="s">
        <v>233</v>
      </c>
      <c r="H10" s="7" t="s">
        <v>233</v>
      </c>
      <c r="I10" s="7" t="s">
        <v>233</v>
      </c>
      <c r="J10" s="4"/>
      <c r="K10" s="8"/>
      <c r="L10" s="4"/>
      <c r="M10" s="8"/>
      <c r="N10" s="7"/>
      <c r="O10" s="7"/>
    </row>
    <row r="11">
      <c r="A11" s="2" t="s">
        <v>872</v>
      </c>
      <c r="B11" s="2" t="s">
        <v>884</v>
      </c>
      <c r="C11" s="2" t="s">
        <v>1119</v>
      </c>
      <c r="D11" s="4" t="s">
        <v>233</v>
      </c>
      <c r="E11" s="8" t="s">
        <v>233</v>
      </c>
      <c r="F11" s="4" t="s">
        <v>233</v>
      </c>
      <c r="G11" s="8" t="s">
        <v>233</v>
      </c>
      <c r="H11" s="7" t="s">
        <v>233</v>
      </c>
      <c r="I11" s="7" t="s">
        <v>233</v>
      </c>
      <c r="J11" s="4"/>
      <c r="K11" s="8"/>
      <c r="L11" s="4"/>
      <c r="M11" s="8"/>
      <c r="N11" s="7"/>
      <c r="O11" s="7"/>
    </row>
    <row r="12">
      <c r="A12" s="2" t="s">
        <v>872</v>
      </c>
      <c r="B12" s="2" t="s">
        <v>884</v>
      </c>
      <c r="C12" s="2" t="s">
        <v>1753</v>
      </c>
      <c r="D12" s="4" t="s">
        <v>233</v>
      </c>
      <c r="E12" s="8" t="s">
        <v>233</v>
      </c>
      <c r="F12" s="4" t="s">
        <v>233</v>
      </c>
      <c r="G12" s="8" t="s">
        <v>233</v>
      </c>
      <c r="H12" s="7" t="s">
        <v>233</v>
      </c>
      <c r="I12" s="7" t="s">
        <v>233</v>
      </c>
      <c r="J12" s="4"/>
      <c r="K12" s="8"/>
      <c r="L12" s="4"/>
      <c r="M12" s="8"/>
      <c r="N12" s="7"/>
      <c r="O12" s="7"/>
    </row>
    <row r="13">
      <c r="A13" s="2" t="s">
        <v>872</v>
      </c>
      <c r="B13" s="2" t="s">
        <v>884</v>
      </c>
      <c r="C13" s="2" t="s">
        <v>885</v>
      </c>
      <c r="D13" s="4" t="s">
        <v>233</v>
      </c>
      <c r="E13" s="8" t="s">
        <v>233</v>
      </c>
      <c r="F13" s="4" t="s">
        <v>233</v>
      </c>
      <c r="G13" s="8" t="s">
        <v>233</v>
      </c>
      <c r="H13" s="7" t="s">
        <v>233</v>
      </c>
      <c r="I13" s="7" t="s">
        <v>233</v>
      </c>
      <c r="J13" s="4"/>
      <c r="K13" s="8"/>
      <c r="L13" s="4"/>
      <c r="M13" s="8"/>
      <c r="N13" s="7"/>
      <c r="O13" s="7"/>
    </row>
    <row r="14">
      <c r="A14" s="2" t="s">
        <v>872</v>
      </c>
      <c r="B14" s="2" t="s">
        <v>884</v>
      </c>
      <c r="C14" s="2" t="s">
        <v>3542</v>
      </c>
      <c r="D14" s="4" t="s">
        <v>233</v>
      </c>
      <c r="E14" s="8" t="s">
        <v>233</v>
      </c>
      <c r="F14" s="4" t="s">
        <v>233</v>
      </c>
      <c r="G14" s="8" t="s">
        <v>233</v>
      </c>
      <c r="H14" s="7" t="s">
        <v>233</v>
      </c>
      <c r="I14" s="7" t="s">
        <v>233</v>
      </c>
      <c r="J14" s="4"/>
      <c r="K14" s="8"/>
      <c r="L14" s="4"/>
      <c r="M14" s="8"/>
      <c r="N14" s="7"/>
      <c r="O14" s="7"/>
    </row>
    <row r="15">
      <c r="A15" s="2" t="s">
        <v>872</v>
      </c>
      <c r="B15" s="2" t="s">
        <v>884</v>
      </c>
      <c r="C15" s="2" t="s">
        <v>5032</v>
      </c>
      <c r="D15" s="4" t="s">
        <v>233</v>
      </c>
      <c r="E15" s="8" t="s">
        <v>233</v>
      </c>
      <c r="F15" s="4" t="s">
        <v>233</v>
      </c>
      <c r="G15" s="8" t="s">
        <v>233</v>
      </c>
      <c r="H15" s="7" t="s">
        <v>233</v>
      </c>
      <c r="I15" s="7" t="s">
        <v>233</v>
      </c>
      <c r="J15" s="4"/>
      <c r="K15" s="8"/>
      <c r="L15" s="4"/>
      <c r="M15" s="8"/>
      <c r="N15" s="7"/>
      <c r="O15" s="7"/>
    </row>
    <row r="16">
      <c r="A16" s="2" t="s">
        <v>872</v>
      </c>
      <c r="B16" s="2" t="s">
        <v>884</v>
      </c>
      <c r="C16" s="2" t="s">
        <v>4689</v>
      </c>
      <c r="D16" s="4" t="s">
        <v>233</v>
      </c>
      <c r="E16" s="8" t="s">
        <v>233</v>
      </c>
      <c r="F16" s="4" t="s">
        <v>233</v>
      </c>
      <c r="G16" s="8" t="s">
        <v>233</v>
      </c>
      <c r="H16" s="7" t="s">
        <v>233</v>
      </c>
      <c r="I16" s="7" t="s">
        <v>233</v>
      </c>
      <c r="J16" s="4"/>
      <c r="K16" s="8"/>
      <c r="L16" s="4"/>
      <c r="M16" s="8"/>
      <c r="N16" s="7"/>
      <c r="O16" s="7"/>
    </row>
    <row r="17">
      <c r="A17" s="2" t="s">
        <v>872</v>
      </c>
      <c r="B17" s="2" t="s">
        <v>774</v>
      </c>
      <c r="C17" s="2" t="s">
        <v>775</v>
      </c>
      <c r="D17" s="4" t="s">
        <v>233</v>
      </c>
      <c r="E17" s="8" t="s">
        <v>233</v>
      </c>
      <c r="F17" s="4" t="s">
        <v>233</v>
      </c>
      <c r="G17" s="8" t="s">
        <v>233</v>
      </c>
      <c r="H17" s="7" t="s">
        <v>233</v>
      </c>
      <c r="I17" s="7" t="s">
        <v>233</v>
      </c>
      <c r="J17" s="4"/>
      <c r="K17" s="8"/>
      <c r="L17" s="4"/>
      <c r="M17" s="8"/>
      <c r="N17" s="7"/>
      <c r="O17" s="7"/>
    </row>
    <row r="18">
      <c r="A18" s="2" t="s">
        <v>872</v>
      </c>
      <c r="B18" s="2" t="s">
        <v>774</v>
      </c>
      <c r="C18" s="2" t="s">
        <v>827</v>
      </c>
      <c r="D18" s="4" t="s">
        <v>233</v>
      </c>
      <c r="E18" s="8" t="s">
        <v>233</v>
      </c>
      <c r="F18" s="4" t="s">
        <v>233</v>
      </c>
      <c r="G18" s="8" t="s">
        <v>233</v>
      </c>
      <c r="H18" s="7" t="s">
        <v>233</v>
      </c>
      <c r="I18" s="7" t="s">
        <v>233</v>
      </c>
      <c r="J18" s="4"/>
      <c r="K18" s="8"/>
      <c r="L18" s="4"/>
      <c r="M18" s="8"/>
      <c r="N18" s="7"/>
      <c r="O18" s="7"/>
    </row>
    <row r="19">
      <c r="A19" s="2" t="s">
        <v>872</v>
      </c>
      <c r="B19" s="2" t="s">
        <v>1172</v>
      </c>
      <c r="C19" s="2" t="s">
        <v>1173</v>
      </c>
      <c r="D19" s="4" t="s">
        <v>233</v>
      </c>
      <c r="E19" s="8" t="s">
        <v>233</v>
      </c>
      <c r="F19" s="4" t="s">
        <v>233</v>
      </c>
      <c r="G19" s="8" t="s">
        <v>233</v>
      </c>
      <c r="H19" s="7" t="s">
        <v>233</v>
      </c>
      <c r="I19" s="7" t="s">
        <v>233</v>
      </c>
      <c r="J19" s="4"/>
      <c r="K19" s="8"/>
      <c r="L19" s="4"/>
      <c r="M19" s="8"/>
      <c r="N19" s="7"/>
      <c r="O19" s="7"/>
    </row>
    <row r="20">
      <c r="A20" s="2" t="s">
        <v>872</v>
      </c>
      <c r="B20" s="2" t="s">
        <v>1172</v>
      </c>
      <c r="C20" s="2" t="s">
        <v>2729</v>
      </c>
      <c r="D20" s="4" t="s">
        <v>233</v>
      </c>
      <c r="E20" s="8" t="s">
        <v>233</v>
      </c>
      <c r="F20" s="4" t="s">
        <v>233</v>
      </c>
      <c r="G20" s="8" t="s">
        <v>233</v>
      </c>
      <c r="H20" s="7" t="s">
        <v>233</v>
      </c>
      <c r="I20" s="7" t="s">
        <v>233</v>
      </c>
      <c r="J20" s="4"/>
      <c r="K20" s="8"/>
      <c r="L20" s="4"/>
      <c r="M20" s="8"/>
      <c r="N20" s="7"/>
      <c r="O20" s="7"/>
    </row>
    <row r="21">
      <c r="A21" s="2" t="s">
        <v>3409</v>
      </c>
      <c r="B21" s="2" t="s">
        <v>3410</v>
      </c>
      <c r="C21" s="2" t="s">
        <v>3411</v>
      </c>
      <c r="D21" s="4"/>
      <c r="E21" s="8"/>
      <c r="F21" s="4"/>
      <c r="G21" s="8"/>
      <c r="H21" s="7"/>
      <c r="I21" s="7"/>
      <c r="J21" s="4"/>
      <c r="K21" s="8"/>
      <c r="L21" s="4"/>
      <c r="M21" s="8"/>
      <c r="N21" s="7"/>
      <c r="O21" s="7"/>
    </row>
    <row r="22">
      <c r="A22" s="2" t="s">
        <v>736</v>
      </c>
      <c r="B22" s="2" t="s">
        <v>1185</v>
      </c>
      <c r="C22" s="2" t="s">
        <v>738</v>
      </c>
      <c r="D22" s="4" t="s">
        <v>233</v>
      </c>
      <c r="E22" s="8" t="s">
        <v>233</v>
      </c>
      <c r="F22" s="4" t="s">
        <v>233</v>
      </c>
      <c r="G22" s="8" t="s">
        <v>233</v>
      </c>
      <c r="H22" s="7" t="s">
        <v>233</v>
      </c>
      <c r="I22" s="7" t="s">
        <v>233</v>
      </c>
      <c r="J22" s="4"/>
      <c r="K22" s="8"/>
      <c r="L22" s="4"/>
      <c r="M22" s="8"/>
      <c r="N22" s="7"/>
      <c r="O22" s="7"/>
    </row>
    <row r="23">
      <c r="A23" s="2" t="s">
        <v>736</v>
      </c>
      <c r="B23" s="2" t="s">
        <v>1185</v>
      </c>
      <c r="C23" s="2" t="s">
        <v>2612</v>
      </c>
      <c r="D23" s="4" t="s">
        <v>233</v>
      </c>
      <c r="E23" s="8" t="s">
        <v>233</v>
      </c>
      <c r="F23" s="4" t="s">
        <v>233</v>
      </c>
      <c r="G23" s="8" t="s">
        <v>233</v>
      </c>
      <c r="H23" s="7" t="s">
        <v>233</v>
      </c>
      <c r="I23" s="7" t="s">
        <v>233</v>
      </c>
      <c r="J23" s="4"/>
      <c r="K23" s="8"/>
      <c r="L23" s="4"/>
      <c r="M23" s="8"/>
      <c r="N23" s="7"/>
      <c r="O23" s="7"/>
    </row>
    <row r="24">
      <c r="A24" s="2" t="s">
        <v>736</v>
      </c>
      <c r="B24" s="2" t="s">
        <v>1197</v>
      </c>
      <c r="C24" s="2" t="s">
        <v>1198</v>
      </c>
      <c r="D24" s="4" t="s">
        <v>233</v>
      </c>
      <c r="E24" s="8" t="s">
        <v>233</v>
      </c>
      <c r="F24" s="4" t="s">
        <v>233</v>
      </c>
      <c r="G24" s="8" t="s">
        <v>233</v>
      </c>
      <c r="H24" s="7" t="s">
        <v>233</v>
      </c>
      <c r="I24" s="7" t="s">
        <v>233</v>
      </c>
      <c r="J24" s="4"/>
      <c r="K24" s="8"/>
      <c r="L24" s="4"/>
      <c r="M24" s="8"/>
      <c r="N24" s="7"/>
      <c r="O24" s="7"/>
    </row>
    <row r="25">
      <c r="A25" s="2" t="s">
        <v>736</v>
      </c>
      <c r="B25" s="2" t="s">
        <v>1197</v>
      </c>
      <c r="C25" s="2" t="s">
        <v>738</v>
      </c>
      <c r="D25" s="4" t="s">
        <v>233</v>
      </c>
      <c r="E25" s="8" t="s">
        <v>233</v>
      </c>
      <c r="F25" s="4" t="s">
        <v>233</v>
      </c>
      <c r="G25" s="8" t="s">
        <v>233</v>
      </c>
      <c r="H25" s="7" t="s">
        <v>233</v>
      </c>
      <c r="I25" s="7" t="s">
        <v>233</v>
      </c>
      <c r="J25" s="4"/>
      <c r="K25" s="8"/>
      <c r="L25" s="4"/>
      <c r="M25" s="8"/>
      <c r="N25" s="7"/>
      <c r="O25" s="7"/>
    </row>
    <row r="26">
      <c r="A26" s="2" t="s">
        <v>736</v>
      </c>
      <c r="B26" s="2" t="s">
        <v>4100</v>
      </c>
      <c r="C26" s="2" t="s">
        <v>4101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736</v>
      </c>
      <c r="B27" s="2" t="s">
        <v>752</v>
      </c>
      <c r="C27" s="2" t="s">
        <v>753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736</v>
      </c>
      <c r="B28" s="2" t="s">
        <v>737</v>
      </c>
      <c r="C28" s="2" t="s">
        <v>738</v>
      </c>
      <c r="D28" s="4" t="s">
        <v>233</v>
      </c>
      <c r="E28" s="8" t="s">
        <v>233</v>
      </c>
      <c r="F28" s="4" t="s">
        <v>233</v>
      </c>
      <c r="G28" s="8" t="s">
        <v>233</v>
      </c>
      <c r="H28" s="7" t="s">
        <v>233</v>
      </c>
      <c r="I28" s="7" t="s">
        <v>233</v>
      </c>
      <c r="J28" s="4"/>
      <c r="K28" s="8"/>
      <c r="L28" s="4"/>
      <c r="M28" s="8"/>
      <c r="N28" s="7"/>
      <c r="O28" s="7"/>
    </row>
    <row r="29">
      <c r="A29" s="2" t="s">
        <v>736</v>
      </c>
      <c r="B29" s="2" t="s">
        <v>737</v>
      </c>
      <c r="C29" s="2" t="s">
        <v>2612</v>
      </c>
      <c r="D29" s="4" t="s">
        <v>233</v>
      </c>
      <c r="E29" s="8" t="s">
        <v>233</v>
      </c>
      <c r="F29" s="4" t="s">
        <v>233</v>
      </c>
      <c r="G29" s="8" t="s">
        <v>233</v>
      </c>
      <c r="H29" s="7" t="s">
        <v>233</v>
      </c>
      <c r="I29" s="7" t="s">
        <v>233</v>
      </c>
      <c r="J29" s="4"/>
      <c r="K29" s="8"/>
      <c r="L29" s="4"/>
      <c r="M29" s="8"/>
      <c r="N29" s="7"/>
      <c r="O29" s="7"/>
    </row>
    <row r="30">
      <c r="A30" s="2" t="s">
        <v>222</v>
      </c>
      <c r="B30" s="2" t="s">
        <v>1573</v>
      </c>
      <c r="C30" s="2" t="s">
        <v>2089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222</v>
      </c>
      <c r="B31" s="2" t="s">
        <v>261</v>
      </c>
      <c r="C31" s="2" t="s">
        <v>603</v>
      </c>
      <c r="D31" s="4" t="s">
        <v>233</v>
      </c>
      <c r="E31" s="8" t="s">
        <v>233</v>
      </c>
      <c r="F31" s="4" t="s">
        <v>233</v>
      </c>
      <c r="G31" s="8" t="s">
        <v>233</v>
      </c>
      <c r="H31" s="7" t="s">
        <v>233</v>
      </c>
      <c r="I31" s="7" t="s">
        <v>233</v>
      </c>
      <c r="J31" s="4"/>
      <c r="K31" s="8"/>
      <c r="L31" s="4"/>
      <c r="M31" s="8"/>
      <c r="N31" s="7"/>
      <c r="O31" s="7"/>
    </row>
    <row r="32">
      <c r="A32" s="2" t="s">
        <v>222</v>
      </c>
      <c r="B32" s="2" t="s">
        <v>261</v>
      </c>
      <c r="C32" s="2" t="s">
        <v>262</v>
      </c>
      <c r="D32" s="4" t="s">
        <v>233</v>
      </c>
      <c r="E32" s="8" t="s">
        <v>233</v>
      </c>
      <c r="F32" s="4" t="s">
        <v>233</v>
      </c>
      <c r="G32" s="8" t="s">
        <v>233</v>
      </c>
      <c r="H32" s="7" t="s">
        <v>233</v>
      </c>
      <c r="I32" s="7" t="s">
        <v>233</v>
      </c>
      <c r="J32" s="4"/>
      <c r="K32" s="8"/>
      <c r="L32" s="4"/>
      <c r="M32" s="8"/>
      <c r="N32" s="7"/>
      <c r="O32" s="7"/>
    </row>
    <row r="33">
      <c r="A33" s="2" t="s">
        <v>222</v>
      </c>
      <c r="B33" s="2" t="s">
        <v>261</v>
      </c>
      <c r="C33" s="2" t="s">
        <v>3325</v>
      </c>
      <c r="D33" s="4" t="s">
        <v>233</v>
      </c>
      <c r="E33" s="8" t="s">
        <v>233</v>
      </c>
      <c r="F33" s="4" t="s">
        <v>233</v>
      </c>
      <c r="G33" s="8" t="s">
        <v>233</v>
      </c>
      <c r="H33" s="7" t="s">
        <v>233</v>
      </c>
      <c r="I33" s="7" t="s">
        <v>233</v>
      </c>
      <c r="J33" s="4"/>
      <c r="K33" s="8"/>
      <c r="L33" s="4"/>
      <c r="M33" s="8"/>
      <c r="N33" s="7"/>
      <c r="O33" s="7"/>
    </row>
    <row r="34">
      <c r="A34" s="2" t="s">
        <v>222</v>
      </c>
      <c r="B34" s="2" t="s">
        <v>261</v>
      </c>
      <c r="C34" s="2" t="s">
        <v>1309</v>
      </c>
      <c r="D34" s="4" t="s">
        <v>233</v>
      </c>
      <c r="E34" s="8" t="s">
        <v>233</v>
      </c>
      <c r="F34" s="4" t="s">
        <v>233</v>
      </c>
      <c r="G34" s="8" t="s">
        <v>233</v>
      </c>
      <c r="H34" s="7" t="s">
        <v>233</v>
      </c>
      <c r="I34" s="7" t="s">
        <v>233</v>
      </c>
      <c r="J34" s="4"/>
      <c r="K34" s="8"/>
      <c r="L34" s="4"/>
      <c r="M34" s="8"/>
      <c r="N34" s="7"/>
      <c r="O34" s="7"/>
    </row>
    <row r="35">
      <c r="A35" s="2" t="s">
        <v>222</v>
      </c>
      <c r="B35" s="2" t="s">
        <v>224</v>
      </c>
      <c r="C35" s="2" t="s">
        <v>3009</v>
      </c>
      <c r="D35" s="4" t="s">
        <v>233</v>
      </c>
      <c r="E35" s="8" t="s">
        <v>233</v>
      </c>
      <c r="F35" s="4" t="s">
        <v>233</v>
      </c>
      <c r="G35" s="8" t="s">
        <v>233</v>
      </c>
      <c r="H35" s="7" t="s">
        <v>233</v>
      </c>
      <c r="I35" s="7" t="s">
        <v>233</v>
      </c>
      <c r="J35" s="4"/>
      <c r="K35" s="8"/>
      <c r="L35" s="4"/>
      <c r="M35" s="8"/>
      <c r="N35" s="7"/>
      <c r="O35" s="7"/>
    </row>
    <row r="36">
      <c r="A36" s="2" t="s">
        <v>222</v>
      </c>
      <c r="B36" s="2" t="s">
        <v>224</v>
      </c>
      <c r="C36" s="2" t="s">
        <v>225</v>
      </c>
      <c r="D36" s="4" t="s">
        <v>233</v>
      </c>
      <c r="E36" s="8" t="s">
        <v>233</v>
      </c>
      <c r="F36" s="4" t="s">
        <v>233</v>
      </c>
      <c r="G36" s="8" t="s">
        <v>233</v>
      </c>
      <c r="H36" s="7" t="s">
        <v>233</v>
      </c>
      <c r="I36" s="7" t="s">
        <v>233</v>
      </c>
      <c r="J36" s="4"/>
      <c r="K36" s="8"/>
      <c r="L36" s="4"/>
      <c r="M36" s="8"/>
      <c r="N36" s="7"/>
      <c r="O36" s="7"/>
    </row>
    <row r="37">
      <c r="A37" s="2" t="s">
        <v>222</v>
      </c>
      <c r="B37" s="2" t="s">
        <v>1172</v>
      </c>
      <c r="C37" s="2" t="s">
        <v>4151</v>
      </c>
      <c r="D37" s="4"/>
      <c r="E37" s="8"/>
      <c r="F37" s="4"/>
      <c r="G37" s="8"/>
      <c r="H37" s="7"/>
      <c r="I37" s="7"/>
      <c r="J37" s="4"/>
      <c r="K37" s="8"/>
      <c r="L37" s="4"/>
      <c r="M37" s="8"/>
      <c r="N37" s="7"/>
      <c r="O37" s="7"/>
    </row>
    <row r="38">
      <c r="A38" s="2" t="s">
        <v>222</v>
      </c>
      <c r="B38" s="2" t="s">
        <v>297</v>
      </c>
      <c r="C38" s="2" t="s">
        <v>4151</v>
      </c>
      <c r="D38" s="4"/>
      <c r="E38" s="8"/>
      <c r="F38" s="4"/>
      <c r="G38" s="8"/>
      <c r="H38" s="7"/>
      <c r="I38" s="7"/>
      <c r="J38" s="4"/>
      <c r="K38" s="8"/>
      <c r="L38" s="4"/>
      <c r="M38" s="8"/>
      <c r="N38" s="7"/>
      <c r="O38" s="7"/>
    </row>
    <row r="39">
      <c r="A39" s="2" t="s">
        <v>222</v>
      </c>
      <c r="B39" s="2" t="s">
        <v>1442</v>
      </c>
      <c r="C39" s="2" t="s">
        <v>2089</v>
      </c>
      <c r="D39" s="4"/>
      <c r="E39" s="8"/>
      <c r="F39" s="4"/>
      <c r="G39" s="8"/>
      <c r="H39" s="7"/>
      <c r="I39" s="7"/>
      <c r="J39" s="4"/>
      <c r="K39" s="8"/>
      <c r="L39" s="4"/>
      <c r="M39" s="8"/>
      <c r="N39" s="7"/>
      <c r="O39" s="7"/>
    </row>
    <row r="40">
      <c r="A40" s="2" t="s">
        <v>923</v>
      </c>
      <c r="B40" s="2" t="s">
        <v>5347</v>
      </c>
      <c r="C40" s="2" t="s">
        <v>5348</v>
      </c>
      <c r="D40" s="4"/>
      <c r="E40" s="8"/>
      <c r="F40" s="4"/>
      <c r="G40" s="8"/>
      <c r="H40" s="7"/>
      <c r="I40" s="7"/>
      <c r="J40" s="4"/>
      <c r="K40" s="8"/>
      <c r="L40" s="4"/>
      <c r="M40" s="8"/>
      <c r="N40" s="7"/>
      <c r="O40" s="7"/>
    </row>
    <row r="41">
      <c r="A41" s="2" t="s">
        <v>923</v>
      </c>
      <c r="B41" s="2" t="s">
        <v>924</v>
      </c>
      <c r="C41" s="2" t="s">
        <v>925</v>
      </c>
      <c r="D41" s="4"/>
      <c r="E41" s="8"/>
      <c r="F41" s="4"/>
      <c r="G41" s="8"/>
      <c r="H41" s="7"/>
      <c r="I41" s="7"/>
      <c r="J41" s="4"/>
      <c r="K41" s="8"/>
      <c r="L41" s="4"/>
      <c r="M41" s="8"/>
      <c r="N41" s="7"/>
      <c r="O41" s="7"/>
    </row>
    <row r="42">
      <c r="A42" s="2" t="s">
        <v>923</v>
      </c>
      <c r="B42" s="2" t="s">
        <v>4516</v>
      </c>
      <c r="C42" s="2" t="s">
        <v>706</v>
      </c>
      <c r="D42" s="4"/>
      <c r="E42" s="8"/>
      <c r="F42" s="4"/>
      <c r="G42" s="8"/>
      <c r="H42" s="7"/>
      <c r="I42" s="7"/>
      <c r="J42" s="4"/>
      <c r="K42" s="8"/>
      <c r="L42" s="4"/>
      <c r="M42" s="8"/>
      <c r="N42" s="7"/>
      <c r="O42" s="7"/>
    </row>
    <row r="43">
      <c r="A43" s="2" t="s">
        <v>923</v>
      </c>
      <c r="B43" s="2" t="s">
        <v>951</v>
      </c>
      <c r="C43" s="2" t="s">
        <v>952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773</v>
      </c>
      <c r="B44" s="2" t="s">
        <v>1573</v>
      </c>
      <c r="C44" s="2" t="s">
        <v>1574</v>
      </c>
      <c r="D44" s="4"/>
      <c r="E44" s="8"/>
      <c r="F44" s="4"/>
      <c r="G44" s="8"/>
      <c r="H44" s="7"/>
      <c r="I44" s="7"/>
      <c r="J44" s="4"/>
      <c r="K44" s="8"/>
      <c r="L44" s="4"/>
      <c r="M44" s="8"/>
      <c r="N44" s="7"/>
      <c r="O44" s="7"/>
    </row>
    <row r="45">
      <c r="A45" s="2" t="s">
        <v>773</v>
      </c>
      <c r="B45" s="2" t="s">
        <v>261</v>
      </c>
      <c r="C45" s="2" t="s">
        <v>603</v>
      </c>
      <c r="D45" s="4" t="s">
        <v>233</v>
      </c>
      <c r="E45" s="8" t="s">
        <v>233</v>
      </c>
      <c r="F45" s="4" t="s">
        <v>233</v>
      </c>
      <c r="G45" s="8" t="s">
        <v>233</v>
      </c>
      <c r="H45" s="7" t="s">
        <v>233</v>
      </c>
      <c r="I45" s="7" t="s">
        <v>233</v>
      </c>
      <c r="J45" s="4"/>
      <c r="K45" s="8"/>
      <c r="L45" s="4"/>
      <c r="M45" s="8"/>
      <c r="N45" s="7"/>
      <c r="O45" s="7"/>
    </row>
    <row r="46">
      <c r="A46" s="2" t="s">
        <v>773</v>
      </c>
      <c r="B46" s="2" t="s">
        <v>261</v>
      </c>
      <c r="C46" s="2" t="s">
        <v>895</v>
      </c>
      <c r="D46" s="4" t="s">
        <v>233</v>
      </c>
      <c r="E46" s="8" t="s">
        <v>233</v>
      </c>
      <c r="F46" s="4" t="s">
        <v>233</v>
      </c>
      <c r="G46" s="8" t="s">
        <v>233</v>
      </c>
      <c r="H46" s="7" t="s">
        <v>233</v>
      </c>
      <c r="I46" s="7" t="s">
        <v>233</v>
      </c>
      <c r="J46" s="4"/>
      <c r="K46" s="8"/>
      <c r="L46" s="4"/>
      <c r="M46" s="8"/>
      <c r="N46" s="7"/>
      <c r="O46" s="7"/>
    </row>
    <row r="47">
      <c r="A47" s="2" t="s">
        <v>773</v>
      </c>
      <c r="B47" s="2" t="s">
        <v>774</v>
      </c>
      <c r="C47" s="2" t="s">
        <v>775</v>
      </c>
      <c r="D47" s="4"/>
      <c r="E47" s="8"/>
      <c r="F47" s="4"/>
      <c r="G47" s="8"/>
      <c r="H47" s="7"/>
      <c r="I47" s="7"/>
      <c r="J47" s="4"/>
      <c r="K47" s="8"/>
      <c r="L47" s="4"/>
      <c r="M47" s="8"/>
      <c r="N47" s="7"/>
      <c r="O47" s="7"/>
    </row>
    <row r="48">
      <c r="A48" s="2" t="s">
        <v>773</v>
      </c>
      <c r="B48" s="2" t="s">
        <v>2224</v>
      </c>
      <c r="C48" s="2" t="s">
        <v>2225</v>
      </c>
      <c r="D48" s="4"/>
      <c r="E48" s="8"/>
      <c r="F48" s="4"/>
      <c r="G48" s="8"/>
      <c r="H48" s="7"/>
      <c r="I48" s="7"/>
      <c r="J48" s="4"/>
      <c r="K48" s="8"/>
      <c r="L48" s="4"/>
      <c r="M48" s="8"/>
      <c r="N48" s="7"/>
      <c r="O48" s="7"/>
    </row>
    <row r="49">
      <c r="A49" s="2" t="s">
        <v>773</v>
      </c>
      <c r="B49" s="2" t="s">
        <v>985</v>
      </c>
      <c r="C49" s="2" t="s">
        <v>2241</v>
      </c>
      <c r="D49" s="4" t="s">
        <v>233</v>
      </c>
      <c r="E49" s="8" t="s">
        <v>233</v>
      </c>
      <c r="F49" s="4" t="s">
        <v>233</v>
      </c>
      <c r="G49" s="8" t="s">
        <v>233</v>
      </c>
      <c r="H49" s="7" t="s">
        <v>233</v>
      </c>
      <c r="I49" s="7" t="s">
        <v>233</v>
      </c>
      <c r="J49" s="4"/>
      <c r="K49" s="8"/>
      <c r="L49" s="4"/>
      <c r="M49" s="8"/>
      <c r="N49" s="7"/>
      <c r="O49" s="7"/>
    </row>
    <row r="50">
      <c r="A50" s="2" t="s">
        <v>773</v>
      </c>
      <c r="B50" s="2" t="s">
        <v>985</v>
      </c>
      <c r="C50" s="2" t="s">
        <v>986</v>
      </c>
      <c r="D50" s="4" t="s">
        <v>233</v>
      </c>
      <c r="E50" s="8" t="s">
        <v>233</v>
      </c>
      <c r="F50" s="4" t="s">
        <v>233</v>
      </c>
      <c r="G50" s="8" t="s">
        <v>233</v>
      </c>
      <c r="H50" s="7" t="s">
        <v>233</v>
      </c>
      <c r="I50" s="7" t="s">
        <v>233</v>
      </c>
      <c r="J50" s="4"/>
      <c r="K50" s="8"/>
      <c r="L50" s="4"/>
      <c r="M50" s="8"/>
      <c r="N50" s="7"/>
      <c r="O50" s="7"/>
    </row>
    <row r="51">
      <c r="A51" s="2" t="s">
        <v>773</v>
      </c>
      <c r="B51" s="2" t="s">
        <v>1172</v>
      </c>
      <c r="C51" s="2" t="s">
        <v>2729</v>
      </c>
      <c r="D51" s="4"/>
      <c r="E51" s="8"/>
      <c r="F51" s="4"/>
      <c r="G51" s="8"/>
      <c r="H51" s="7"/>
      <c r="I51" s="7"/>
      <c r="J51" s="4"/>
      <c r="K51" s="8"/>
      <c r="L51" s="4"/>
      <c r="M51" s="8"/>
      <c r="N51" s="7"/>
      <c r="O51" s="7"/>
    </row>
    <row r="52">
      <c r="A52" s="2" t="s">
        <v>773</v>
      </c>
      <c r="B52" s="2" t="s">
        <v>297</v>
      </c>
      <c r="C52" s="2" t="s">
        <v>298</v>
      </c>
      <c r="D52" s="4"/>
      <c r="E52" s="8"/>
      <c r="F52" s="4"/>
      <c r="G52" s="8"/>
      <c r="H52" s="7"/>
      <c r="I52" s="7"/>
      <c r="J52" s="4"/>
      <c r="K52" s="8"/>
      <c r="L52" s="4"/>
      <c r="M52" s="8"/>
      <c r="N52" s="7"/>
      <c r="O52" s="7"/>
    </row>
    <row r="53">
      <c r="A53" s="2" t="s">
        <v>773</v>
      </c>
      <c r="B53" s="2" t="s">
        <v>1442</v>
      </c>
      <c r="C53" s="2" t="s">
        <v>1443</v>
      </c>
      <c r="D53" s="4"/>
      <c r="E53" s="8"/>
      <c r="F53" s="4"/>
      <c r="G53" s="8"/>
      <c r="H53" s="7"/>
      <c r="I53" s="7"/>
      <c r="J53" s="4"/>
      <c r="K53" s="8"/>
      <c r="L53" s="4"/>
      <c r="M53" s="8"/>
      <c r="N53" s="7"/>
      <c r="O53" s="7"/>
    </row>
    <row r="54">
      <c r="A54" s="2" t="s">
        <v>761</v>
      </c>
      <c r="B54" s="2" t="s">
        <v>5356</v>
      </c>
      <c r="C54" s="2" t="s">
        <v>5357</v>
      </c>
      <c r="D54" s="4"/>
      <c r="E54" s="8"/>
      <c r="F54" s="4"/>
      <c r="G54" s="8"/>
      <c r="H54" s="7"/>
      <c r="I54" s="7"/>
      <c r="J54" s="4"/>
      <c r="K54" s="8"/>
      <c r="L54" s="4"/>
      <c r="M54" s="8"/>
      <c r="N54" s="7"/>
      <c r="O54" s="7"/>
    </row>
    <row r="55">
      <c r="A55" s="2" t="s">
        <v>761</v>
      </c>
      <c r="B55" s="2" t="s">
        <v>1531</v>
      </c>
      <c r="C55" s="2" t="s">
        <v>1532</v>
      </c>
      <c r="D55" s="4"/>
      <c r="E55" s="8"/>
      <c r="F55" s="4"/>
      <c r="G55" s="8"/>
      <c r="H55" s="7"/>
      <c r="I55" s="7"/>
      <c r="J55" s="4"/>
      <c r="K55" s="8"/>
      <c r="L55" s="4"/>
      <c r="M55" s="8"/>
      <c r="N55" s="7"/>
      <c r="O55" s="7"/>
    </row>
    <row r="56">
      <c r="A56" s="2" t="s">
        <v>761</v>
      </c>
      <c r="B56" s="2" t="s">
        <v>1297</v>
      </c>
      <c r="C56" s="2" t="s">
        <v>1298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761</v>
      </c>
      <c r="B57" s="2" t="s">
        <v>763</v>
      </c>
      <c r="C57" s="2" t="s">
        <v>2099</v>
      </c>
      <c r="D57" s="4" t="s">
        <v>233</v>
      </c>
      <c r="E57" s="8" t="s">
        <v>233</v>
      </c>
      <c r="F57" s="4" t="s">
        <v>233</v>
      </c>
      <c r="G57" s="8" t="s">
        <v>233</v>
      </c>
      <c r="H57" s="7" t="s">
        <v>233</v>
      </c>
      <c r="I57" s="7" t="s">
        <v>233</v>
      </c>
      <c r="J57" s="4"/>
      <c r="K57" s="8"/>
      <c r="L57" s="4"/>
      <c r="M57" s="8"/>
      <c r="N57" s="7"/>
      <c r="O57" s="7"/>
    </row>
    <row r="58">
      <c r="A58" s="2" t="s">
        <v>761</v>
      </c>
      <c r="B58" s="2" t="s">
        <v>763</v>
      </c>
      <c r="C58" s="2" t="s">
        <v>2109</v>
      </c>
      <c r="D58" s="4" t="s">
        <v>233</v>
      </c>
      <c r="E58" s="8" t="s">
        <v>233</v>
      </c>
      <c r="F58" s="4" t="s">
        <v>233</v>
      </c>
      <c r="G58" s="8" t="s">
        <v>233</v>
      </c>
      <c r="H58" s="7" t="s">
        <v>233</v>
      </c>
      <c r="I58" s="7" t="s">
        <v>233</v>
      </c>
      <c r="J58" s="4"/>
      <c r="K58" s="8"/>
      <c r="L58" s="4"/>
      <c r="M58" s="8"/>
      <c r="N58" s="7"/>
      <c r="O58" s="7"/>
    </row>
    <row r="59">
      <c r="A59" s="2" t="s">
        <v>761</v>
      </c>
      <c r="B59" s="2" t="s">
        <v>763</v>
      </c>
      <c r="C59" s="2" t="s">
        <v>764</v>
      </c>
      <c r="D59" s="4" t="s">
        <v>233</v>
      </c>
      <c r="E59" s="8" t="s">
        <v>233</v>
      </c>
      <c r="F59" s="4" t="s">
        <v>233</v>
      </c>
      <c r="G59" s="8" t="s">
        <v>233</v>
      </c>
      <c r="H59" s="7" t="s">
        <v>233</v>
      </c>
      <c r="I59" s="7" t="s">
        <v>233</v>
      </c>
      <c r="J59" s="4"/>
      <c r="K59" s="8"/>
      <c r="L59" s="4"/>
      <c r="M59" s="8"/>
      <c r="N59" s="7"/>
      <c r="O59" s="7"/>
    </row>
    <row r="60">
      <c r="A60" s="2" t="s">
        <v>761</v>
      </c>
      <c r="B60" s="2" t="s">
        <v>1834</v>
      </c>
      <c r="C60" s="2" t="s">
        <v>1835</v>
      </c>
      <c r="D60" s="4" t="s">
        <v>233</v>
      </c>
      <c r="E60" s="8" t="s">
        <v>233</v>
      </c>
      <c r="F60" s="4" t="s">
        <v>233</v>
      </c>
      <c r="G60" s="8" t="s">
        <v>233</v>
      </c>
      <c r="H60" s="7" t="s">
        <v>233</v>
      </c>
      <c r="I60" s="7" t="s">
        <v>233</v>
      </c>
      <c r="J60" s="4"/>
      <c r="K60" s="8"/>
      <c r="L60" s="4"/>
      <c r="M60" s="8"/>
      <c r="N60" s="7"/>
      <c r="O60" s="7"/>
    </row>
    <row r="61">
      <c r="A61" s="2" t="s">
        <v>761</v>
      </c>
      <c r="B61" s="2" t="s">
        <v>1834</v>
      </c>
      <c r="C61" s="2" t="s">
        <v>1970</v>
      </c>
      <c r="D61" s="4" t="s">
        <v>233</v>
      </c>
      <c r="E61" s="8" t="s">
        <v>233</v>
      </c>
      <c r="F61" s="4" t="s">
        <v>233</v>
      </c>
      <c r="G61" s="8" t="s">
        <v>233</v>
      </c>
      <c r="H61" s="7" t="s">
        <v>233</v>
      </c>
      <c r="I61" s="7" t="s">
        <v>233</v>
      </c>
      <c r="J61" s="4"/>
      <c r="K61" s="8"/>
      <c r="L61" s="4"/>
      <c r="M61" s="8"/>
      <c r="N61" s="7"/>
      <c r="O61" s="7"/>
    </row>
    <row r="62">
      <c r="A62" s="2" t="s">
        <v>761</v>
      </c>
      <c r="B62" s="2" t="s">
        <v>3831</v>
      </c>
      <c r="C62" s="2" t="s">
        <v>3832</v>
      </c>
      <c r="D62" s="4"/>
      <c r="E62" s="8"/>
      <c r="F62" s="4"/>
      <c r="G62" s="8"/>
      <c r="H62" s="7"/>
      <c r="I62" s="7"/>
      <c r="J62" s="4"/>
      <c r="K62" s="8"/>
      <c r="L62" s="4"/>
      <c r="M62" s="8"/>
      <c r="N62" s="7"/>
      <c r="O62" s="7"/>
    </row>
    <row r="63">
      <c r="A63" s="2" t="s">
        <v>761</v>
      </c>
      <c r="B63" s="2" t="s">
        <v>1080</v>
      </c>
      <c r="C63" s="2" t="s">
        <v>1081</v>
      </c>
      <c r="D63" s="4" t="s">
        <v>233</v>
      </c>
      <c r="E63" s="8" t="s">
        <v>233</v>
      </c>
      <c r="F63" s="4" t="s">
        <v>233</v>
      </c>
      <c r="G63" s="8" t="s">
        <v>233</v>
      </c>
      <c r="H63" s="7" t="s">
        <v>233</v>
      </c>
      <c r="I63" s="7" t="s">
        <v>233</v>
      </c>
      <c r="J63" s="4"/>
      <c r="K63" s="8"/>
      <c r="L63" s="4"/>
      <c r="M63" s="8"/>
      <c r="N63" s="7"/>
      <c r="O63" s="7"/>
    </row>
    <row r="64">
      <c r="A64" s="2" t="s">
        <v>761</v>
      </c>
      <c r="B64" s="2" t="s">
        <v>1080</v>
      </c>
      <c r="C64" s="2" t="s">
        <v>1466</v>
      </c>
      <c r="D64" s="4" t="s">
        <v>233</v>
      </c>
      <c r="E64" s="8" t="s">
        <v>233</v>
      </c>
      <c r="F64" s="4" t="s">
        <v>233</v>
      </c>
      <c r="G64" s="8" t="s">
        <v>233</v>
      </c>
      <c r="H64" s="7" t="s">
        <v>233</v>
      </c>
      <c r="I64" s="7" t="s">
        <v>233</v>
      </c>
      <c r="J64" s="4"/>
      <c r="K64" s="8"/>
      <c r="L64" s="4"/>
      <c r="M64" s="8"/>
      <c r="N64" s="7"/>
      <c r="O64" s="7"/>
    </row>
    <row r="65">
      <c r="A65" s="2" t="s">
        <v>761</v>
      </c>
      <c r="B65" s="2" t="s">
        <v>1080</v>
      </c>
      <c r="C65" s="2" t="s">
        <v>1152</v>
      </c>
      <c r="D65" s="4" t="s">
        <v>233</v>
      </c>
      <c r="E65" s="8" t="s">
        <v>233</v>
      </c>
      <c r="F65" s="4" t="s">
        <v>233</v>
      </c>
      <c r="G65" s="8" t="s">
        <v>233</v>
      </c>
      <c r="H65" s="7" t="s">
        <v>233</v>
      </c>
      <c r="I65" s="7" t="s">
        <v>233</v>
      </c>
      <c r="J65" s="4"/>
      <c r="K65" s="8"/>
      <c r="L65" s="4"/>
      <c r="M65" s="8"/>
      <c r="N65" s="7"/>
      <c r="O65" s="7"/>
    </row>
    <row r="66">
      <c r="A66" s="2" t="s">
        <v>761</v>
      </c>
      <c r="B66" s="2" t="s">
        <v>3374</v>
      </c>
      <c r="C66" s="2" t="s">
        <v>3375</v>
      </c>
      <c r="D66" s="4"/>
      <c r="E66" s="8"/>
      <c r="F66" s="4"/>
      <c r="G66" s="8"/>
      <c r="H66" s="7"/>
      <c r="I66" s="7"/>
      <c r="J66" s="4"/>
      <c r="K66" s="8"/>
      <c r="L66" s="4"/>
      <c r="M66" s="8"/>
      <c r="N66" s="7"/>
      <c r="O66" s="7"/>
    </row>
    <row r="67">
      <c r="A67" s="2" t="s">
        <v>761</v>
      </c>
      <c r="B67" s="2" t="s">
        <v>4478</v>
      </c>
      <c r="C67" s="2" t="s">
        <v>4479</v>
      </c>
      <c r="D67" s="4"/>
      <c r="E67" s="8"/>
      <c r="F67" s="4"/>
      <c r="G67" s="8"/>
      <c r="H67" s="7"/>
      <c r="I67" s="7"/>
      <c r="J67" s="4"/>
      <c r="K67" s="8"/>
      <c r="L67" s="4"/>
      <c r="M67" s="8"/>
      <c r="N67" s="7"/>
      <c r="O67" s="7"/>
    </row>
    <row r="68">
      <c r="A68" s="2" t="s">
        <v>811</v>
      </c>
      <c r="B68" s="2" t="s">
        <v>1763</v>
      </c>
      <c r="C68" s="2" t="s">
        <v>1764</v>
      </c>
      <c r="D68" s="4"/>
      <c r="E68" s="8"/>
      <c r="F68" s="4"/>
      <c r="G68" s="8"/>
      <c r="H68" s="7"/>
      <c r="I68" s="7"/>
      <c r="J68" s="4"/>
      <c r="K68" s="8"/>
      <c r="L68" s="4"/>
      <c r="M68" s="8"/>
      <c r="N68" s="7"/>
      <c r="O68" s="7"/>
    </row>
    <row r="69">
      <c r="A69" s="2" t="s">
        <v>811</v>
      </c>
      <c r="B69" s="2" t="s">
        <v>1070</v>
      </c>
      <c r="C69" s="2" t="s">
        <v>1071</v>
      </c>
      <c r="D69" s="4"/>
      <c r="E69" s="8"/>
      <c r="F69" s="4"/>
      <c r="G69" s="8"/>
      <c r="H69" s="7"/>
      <c r="I69" s="7"/>
      <c r="J69" s="4"/>
      <c r="K69" s="8"/>
      <c r="L69" s="4"/>
      <c r="M69" s="8"/>
      <c r="N69" s="7"/>
      <c r="O69" s="7"/>
    </row>
    <row r="70">
      <c r="A70" s="2" t="s">
        <v>811</v>
      </c>
      <c r="B70" s="2" t="s">
        <v>1136</v>
      </c>
      <c r="C70" s="2" t="s">
        <v>1137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811</v>
      </c>
      <c r="B71" s="2" t="s">
        <v>813</v>
      </c>
      <c r="C71" s="2" t="s">
        <v>814</v>
      </c>
      <c r="D71" s="4"/>
      <c r="E71" s="8"/>
      <c r="F71" s="4"/>
      <c r="G71" s="8"/>
      <c r="H71" s="7"/>
      <c r="I71" s="7"/>
      <c r="J71" s="4"/>
      <c r="K71" s="8"/>
      <c r="L71" s="4"/>
      <c r="M71" s="8"/>
      <c r="N71" s="7"/>
      <c r="O71" s="7"/>
    </row>
    <row r="72">
      <c r="A72" s="2" t="s">
        <v>1724</v>
      </c>
      <c r="B72" s="2" t="s">
        <v>1725</v>
      </c>
      <c r="C72" s="2" t="s">
        <v>1726</v>
      </c>
      <c r="D72" s="4"/>
      <c r="E72" s="8"/>
      <c r="F72" s="4"/>
      <c r="G72" s="8"/>
      <c r="H72" s="7"/>
      <c r="I72" s="7"/>
      <c r="J72" s="4"/>
      <c r="K72" s="8"/>
      <c r="L72" s="4"/>
      <c r="M72" s="8"/>
      <c r="N72" s="7"/>
      <c r="O72" s="7"/>
    </row>
    <row r="73">
      <c r="A73" s="2" t="s">
        <v>847</v>
      </c>
      <c r="B73" s="2" t="s">
        <v>849</v>
      </c>
      <c r="C73" s="2" t="s">
        <v>850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279</v>
      </c>
      <c r="B74" s="2" t="s">
        <v>297</v>
      </c>
      <c r="C74" s="2" t="s">
        <v>298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  <row r="75">
      <c r="A75" s="2" t="s">
        <v>279</v>
      </c>
      <c r="B75" s="2" t="s">
        <v>281</v>
      </c>
      <c r="C75" s="2" t="s">
        <v>282</v>
      </c>
      <c r="D75" s="4"/>
      <c r="E75" s="8"/>
      <c r="F75" s="4"/>
      <c r="G75" s="8"/>
      <c r="H75" s="7"/>
      <c r="I75" s="7"/>
      <c r="J75" s="4"/>
      <c r="K75" s="8"/>
      <c r="L75" s="4"/>
      <c r="M75" s="8"/>
      <c r="N75" s="7"/>
      <c r="O75" s="7"/>
    </row>
    <row r="76">
      <c r="A76" s="2" t="s">
        <v>704</v>
      </c>
      <c r="B76" s="2" t="s">
        <v>705</v>
      </c>
      <c r="C76" s="2" t="s">
        <v>706</v>
      </c>
      <c r="D76" s="4"/>
      <c r="E76" s="8"/>
      <c r="F76" s="4"/>
      <c r="G76" s="8"/>
      <c r="H76" s="7"/>
      <c r="I76" s="7"/>
      <c r="J76" s="4"/>
      <c r="K76" s="8"/>
      <c r="L76" s="4"/>
      <c r="M76" s="8"/>
      <c r="N76" s="7"/>
      <c r="O76" s="7"/>
    </row>
    <row r="77">
      <c r="A77" s="2" t="s">
        <v>938</v>
      </c>
      <c r="B77" s="2" t="s">
        <v>939</v>
      </c>
      <c r="C77" s="2" t="s">
        <v>940</v>
      </c>
      <c r="D77" s="4"/>
      <c r="E77" s="8"/>
      <c r="F77" s="4"/>
      <c r="G77" s="8"/>
      <c r="H77" s="7"/>
      <c r="I77" s="7"/>
      <c r="J77" s="4"/>
      <c r="K77" s="8"/>
      <c r="L77" s="4"/>
      <c r="M77" s="8"/>
      <c r="N77" s="7"/>
      <c r="O77" s="7"/>
    </row>
    <row r="78">
      <c r="A78" s="2" t="s">
        <v>938</v>
      </c>
      <c r="B78" s="2" t="s">
        <v>972</v>
      </c>
      <c r="C78" s="2" t="s">
        <v>1092</v>
      </c>
      <c r="D78" s="4" t="s">
        <v>233</v>
      </c>
      <c r="E78" s="8" t="s">
        <v>233</v>
      </c>
      <c r="F78" s="4" t="s">
        <v>233</v>
      </c>
      <c r="G78" s="8" t="s">
        <v>233</v>
      </c>
      <c r="H78" s="7" t="s">
        <v>233</v>
      </c>
      <c r="I78" s="7" t="s">
        <v>233</v>
      </c>
      <c r="J78" s="4"/>
      <c r="K78" s="8"/>
      <c r="L78" s="4"/>
      <c r="M78" s="8"/>
      <c r="N78" s="7"/>
      <c r="O78" s="7"/>
    </row>
    <row r="79">
      <c r="A79" s="2" t="s">
        <v>938</v>
      </c>
      <c r="B79" s="2" t="s">
        <v>972</v>
      </c>
      <c r="C79" s="2" t="s">
        <v>2188</v>
      </c>
      <c r="D79" s="4" t="s">
        <v>233</v>
      </c>
      <c r="E79" s="8" t="s">
        <v>233</v>
      </c>
      <c r="F79" s="4" t="s">
        <v>233</v>
      </c>
      <c r="G79" s="8" t="s">
        <v>233</v>
      </c>
      <c r="H79" s="7" t="s">
        <v>233</v>
      </c>
      <c r="I79" s="7" t="s">
        <v>233</v>
      </c>
      <c r="J79" s="4"/>
      <c r="K79" s="8"/>
      <c r="L79" s="4"/>
      <c r="M79" s="8"/>
      <c r="N79" s="7"/>
      <c r="O79" s="7"/>
    </row>
    <row r="80">
      <c r="A80" s="2" t="s">
        <v>938</v>
      </c>
      <c r="B80" s="2" t="s">
        <v>972</v>
      </c>
      <c r="C80" s="2" t="s">
        <v>1221</v>
      </c>
      <c r="D80" s="4" t="s">
        <v>233</v>
      </c>
      <c r="E80" s="8" t="s">
        <v>233</v>
      </c>
      <c r="F80" s="4" t="s">
        <v>233</v>
      </c>
      <c r="G80" s="8" t="s">
        <v>233</v>
      </c>
      <c r="H80" s="7" t="s">
        <v>233</v>
      </c>
      <c r="I80" s="7" t="s">
        <v>233</v>
      </c>
      <c r="J80" s="4"/>
      <c r="K80" s="8"/>
      <c r="L80" s="4"/>
      <c r="M80" s="8"/>
      <c r="N80" s="7"/>
      <c r="O80" s="7"/>
    </row>
    <row r="81">
      <c r="A81" s="2" t="s">
        <v>938</v>
      </c>
      <c r="B81" s="2" t="s">
        <v>972</v>
      </c>
      <c r="C81" s="2" t="s">
        <v>1930</v>
      </c>
      <c r="D81" s="4" t="s">
        <v>233</v>
      </c>
      <c r="E81" s="8" t="s">
        <v>233</v>
      </c>
      <c r="F81" s="4" t="s">
        <v>233</v>
      </c>
      <c r="G81" s="8" t="s">
        <v>233</v>
      </c>
      <c r="H81" s="7" t="s">
        <v>233</v>
      </c>
      <c r="I81" s="7" t="s">
        <v>233</v>
      </c>
      <c r="J81" s="4"/>
      <c r="K81" s="8"/>
      <c r="L81" s="4"/>
      <c r="M81" s="8"/>
      <c r="N81" s="7"/>
      <c r="O81" s="7"/>
    </row>
    <row r="82">
      <c r="A82" s="2" t="s">
        <v>938</v>
      </c>
      <c r="B82" s="2" t="s">
        <v>972</v>
      </c>
      <c r="C82" s="2" t="s">
        <v>973</v>
      </c>
      <c r="D82" s="4" t="s">
        <v>233</v>
      </c>
      <c r="E82" s="8" t="s">
        <v>233</v>
      </c>
      <c r="F82" s="4" t="s">
        <v>233</v>
      </c>
      <c r="G82" s="8" t="s">
        <v>233</v>
      </c>
      <c r="H82" s="7" t="s">
        <v>233</v>
      </c>
      <c r="I82" s="7" t="s">
        <v>233</v>
      </c>
      <c r="J82" s="4"/>
      <c r="K82" s="8"/>
      <c r="L82" s="4"/>
      <c r="M82" s="8"/>
      <c r="N82" s="7"/>
      <c r="O82" s="7"/>
    </row>
    <row r="83">
      <c r="A83" s="2" t="s">
        <v>938</v>
      </c>
      <c r="B83" s="2" t="s">
        <v>972</v>
      </c>
      <c r="C83" s="2" t="s">
        <v>3505</v>
      </c>
      <c r="D83" s="4" t="s">
        <v>233</v>
      </c>
      <c r="E83" s="8" t="s">
        <v>233</v>
      </c>
      <c r="F83" s="4" t="s">
        <v>233</v>
      </c>
      <c r="G83" s="8" t="s">
        <v>233</v>
      </c>
      <c r="H83" s="7" t="s">
        <v>233</v>
      </c>
      <c r="I83" s="7" t="s">
        <v>233</v>
      </c>
      <c r="J83" s="4"/>
      <c r="K83" s="8"/>
      <c r="L83" s="4"/>
      <c r="M83" s="8"/>
      <c r="N83" s="7"/>
      <c r="O83" s="7"/>
    </row>
    <row r="84">
      <c r="A84" s="2" t="s">
        <v>825</v>
      </c>
      <c r="B84" s="2" t="s">
        <v>261</v>
      </c>
      <c r="C84" s="2" t="s">
        <v>1119</v>
      </c>
      <c r="D84" s="4" t="s">
        <v>233</v>
      </c>
      <c r="E84" s="8" t="s">
        <v>233</v>
      </c>
      <c r="F84" s="4" t="s">
        <v>233</v>
      </c>
      <c r="G84" s="8" t="s">
        <v>233</v>
      </c>
      <c r="H84" s="7" t="s">
        <v>233</v>
      </c>
      <c r="I84" s="7" t="s">
        <v>233</v>
      </c>
      <c r="J84" s="4"/>
      <c r="K84" s="8"/>
      <c r="L84" s="4"/>
      <c r="M84" s="8"/>
      <c r="N84" s="7"/>
      <c r="O84" s="7"/>
    </row>
    <row r="85">
      <c r="A85" s="2" t="s">
        <v>825</v>
      </c>
      <c r="B85" s="2" t="s">
        <v>261</v>
      </c>
      <c r="C85" s="2" t="s">
        <v>603</v>
      </c>
      <c r="D85" s="4" t="s">
        <v>233</v>
      </c>
      <c r="E85" s="8" t="s">
        <v>233</v>
      </c>
      <c r="F85" s="4" t="s">
        <v>233</v>
      </c>
      <c r="G85" s="8" t="s">
        <v>233</v>
      </c>
      <c r="H85" s="7" t="s">
        <v>233</v>
      </c>
      <c r="I85" s="7" t="s">
        <v>233</v>
      </c>
      <c r="J85" s="4"/>
      <c r="K85" s="8"/>
      <c r="L85" s="4"/>
      <c r="M85" s="8"/>
      <c r="N85" s="7"/>
      <c r="O85" s="7"/>
    </row>
    <row r="86">
      <c r="A86" s="2" t="s">
        <v>825</v>
      </c>
      <c r="B86" s="2" t="s">
        <v>261</v>
      </c>
      <c r="C86" s="2" t="s">
        <v>895</v>
      </c>
      <c r="D86" s="4" t="s">
        <v>233</v>
      </c>
      <c r="E86" s="8" t="s">
        <v>233</v>
      </c>
      <c r="F86" s="4" t="s">
        <v>233</v>
      </c>
      <c r="G86" s="8" t="s">
        <v>233</v>
      </c>
      <c r="H86" s="7" t="s">
        <v>233</v>
      </c>
      <c r="I86" s="7" t="s">
        <v>233</v>
      </c>
      <c r="J86" s="4"/>
      <c r="K86" s="8"/>
      <c r="L86" s="4"/>
      <c r="M86" s="8"/>
      <c r="N86" s="7"/>
      <c r="O86" s="7"/>
    </row>
    <row r="87">
      <c r="A87" s="2" t="s">
        <v>825</v>
      </c>
      <c r="B87" s="2" t="s">
        <v>884</v>
      </c>
      <c r="C87" s="2" t="s">
        <v>885</v>
      </c>
      <c r="D87" s="4" t="s">
        <v>233</v>
      </c>
      <c r="E87" s="8" t="s">
        <v>233</v>
      </c>
      <c r="F87" s="4" t="s">
        <v>233</v>
      </c>
      <c r="G87" s="8" t="s">
        <v>233</v>
      </c>
      <c r="H87" s="7" t="s">
        <v>233</v>
      </c>
      <c r="I87" s="7" t="s">
        <v>233</v>
      </c>
      <c r="J87" s="4"/>
      <c r="K87" s="8"/>
      <c r="L87" s="4"/>
      <c r="M87" s="8"/>
      <c r="N87" s="7"/>
      <c r="O87" s="7"/>
    </row>
    <row r="88">
      <c r="A88" s="2" t="s">
        <v>825</v>
      </c>
      <c r="B88" s="2" t="s">
        <v>884</v>
      </c>
      <c r="C88" s="2" t="s">
        <v>3542</v>
      </c>
      <c r="D88" s="4" t="s">
        <v>233</v>
      </c>
      <c r="E88" s="8" t="s">
        <v>233</v>
      </c>
      <c r="F88" s="4" t="s">
        <v>233</v>
      </c>
      <c r="G88" s="8" t="s">
        <v>233</v>
      </c>
      <c r="H88" s="7" t="s">
        <v>233</v>
      </c>
      <c r="I88" s="7" t="s">
        <v>233</v>
      </c>
      <c r="J88" s="4"/>
      <c r="K88" s="8"/>
      <c r="L88" s="4"/>
      <c r="M88" s="8"/>
      <c r="N88" s="7"/>
      <c r="O88" s="7"/>
    </row>
    <row r="89">
      <c r="A89" s="2" t="s">
        <v>825</v>
      </c>
      <c r="B89" s="2" t="s">
        <v>884</v>
      </c>
      <c r="C89" s="2" t="s">
        <v>1685</v>
      </c>
      <c r="D89" s="4" t="s">
        <v>233</v>
      </c>
      <c r="E89" s="8" t="s">
        <v>233</v>
      </c>
      <c r="F89" s="4" t="s">
        <v>233</v>
      </c>
      <c r="G89" s="8" t="s">
        <v>233</v>
      </c>
      <c r="H89" s="7" t="s">
        <v>233</v>
      </c>
      <c r="I89" s="7" t="s">
        <v>233</v>
      </c>
      <c r="J89" s="4"/>
      <c r="K89" s="8"/>
      <c r="L89" s="4"/>
      <c r="M89" s="8"/>
      <c r="N89" s="7"/>
      <c r="O89" s="7"/>
    </row>
    <row r="90">
      <c r="A90" s="2" t="s">
        <v>825</v>
      </c>
      <c r="B90" s="2" t="s">
        <v>774</v>
      </c>
      <c r="C90" s="2" t="s">
        <v>775</v>
      </c>
      <c r="D90" s="4" t="s">
        <v>233</v>
      </c>
      <c r="E90" s="8" t="s">
        <v>233</v>
      </c>
      <c r="F90" s="4" t="s">
        <v>233</v>
      </c>
      <c r="G90" s="8" t="s">
        <v>233</v>
      </c>
      <c r="H90" s="7" t="s">
        <v>233</v>
      </c>
      <c r="I90" s="7" t="s">
        <v>233</v>
      </c>
      <c r="J90" s="4"/>
      <c r="K90" s="8"/>
      <c r="L90" s="4"/>
      <c r="M90" s="8"/>
      <c r="N90" s="7"/>
      <c r="O90" s="7"/>
    </row>
    <row r="91">
      <c r="A91" s="2" t="s">
        <v>825</v>
      </c>
      <c r="B91" s="2" t="s">
        <v>774</v>
      </c>
      <c r="C91" s="2" t="s">
        <v>827</v>
      </c>
      <c r="D91" s="4" t="s">
        <v>233</v>
      </c>
      <c r="E91" s="8" t="s">
        <v>233</v>
      </c>
      <c r="F91" s="4" t="s">
        <v>233</v>
      </c>
      <c r="G91" s="8" t="s">
        <v>233</v>
      </c>
      <c r="H91" s="7" t="s">
        <v>233</v>
      </c>
      <c r="I91" s="7" t="s">
        <v>233</v>
      </c>
      <c r="J91" s="4"/>
      <c r="K91" s="8"/>
      <c r="L91" s="4"/>
      <c r="M91" s="8"/>
      <c r="N91" s="7"/>
      <c r="O91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7:D9"/>
    <mergeCell ref="E7:E9"/>
    <mergeCell ref="F7:F9"/>
    <mergeCell ref="G7:G9"/>
    <mergeCell ref="H7:H9"/>
    <mergeCell ref="I7:I9"/>
    <mergeCell ref="D10:D16"/>
    <mergeCell ref="E10:E16"/>
    <mergeCell ref="F10:F16"/>
    <mergeCell ref="G10:G16"/>
    <mergeCell ref="H10:H16"/>
    <mergeCell ref="I10:I16"/>
    <mergeCell ref="D17:D18"/>
    <mergeCell ref="E17:E18"/>
    <mergeCell ref="F17:F18"/>
    <mergeCell ref="G17:G18"/>
    <mergeCell ref="H17:H18"/>
    <mergeCell ref="I17:I18"/>
    <mergeCell ref="D19:D20"/>
    <mergeCell ref="E19:E20"/>
    <mergeCell ref="F19:F20"/>
    <mergeCell ref="G19:G20"/>
    <mergeCell ref="H19:H20"/>
    <mergeCell ref="I19:I20"/>
    <mergeCell ref="D22:D23"/>
    <mergeCell ref="E22:E23"/>
    <mergeCell ref="F22:F23"/>
    <mergeCell ref="G22:G23"/>
    <mergeCell ref="H22:H23"/>
    <mergeCell ref="I22:I23"/>
    <mergeCell ref="D24:D25"/>
    <mergeCell ref="E24:E25"/>
    <mergeCell ref="F24:F25"/>
    <mergeCell ref="G24:G25"/>
    <mergeCell ref="H24:H25"/>
    <mergeCell ref="I24:I25"/>
    <mergeCell ref="D28:D29"/>
    <mergeCell ref="E28:E29"/>
    <mergeCell ref="F28:F29"/>
    <mergeCell ref="G28:G29"/>
    <mergeCell ref="H28:H29"/>
    <mergeCell ref="I28:I29"/>
    <mergeCell ref="D31:D34"/>
    <mergeCell ref="E31:E34"/>
    <mergeCell ref="F31:F34"/>
    <mergeCell ref="G31:G34"/>
    <mergeCell ref="H31:H34"/>
    <mergeCell ref="I31:I34"/>
    <mergeCell ref="D35:D36"/>
    <mergeCell ref="E35:E36"/>
    <mergeCell ref="F35:F36"/>
    <mergeCell ref="G35:G36"/>
    <mergeCell ref="H35:H36"/>
    <mergeCell ref="I35:I36"/>
    <mergeCell ref="D45:D46"/>
    <mergeCell ref="E45:E46"/>
    <mergeCell ref="F45:F46"/>
    <mergeCell ref="G45:G46"/>
    <mergeCell ref="H45:H46"/>
    <mergeCell ref="I45:I46"/>
    <mergeCell ref="D49:D50"/>
    <mergeCell ref="E49:E50"/>
    <mergeCell ref="F49:F50"/>
    <mergeCell ref="G49:G50"/>
    <mergeCell ref="H49:H50"/>
    <mergeCell ref="I49:I50"/>
    <mergeCell ref="D57:D59"/>
    <mergeCell ref="E57:E59"/>
    <mergeCell ref="F57:F59"/>
    <mergeCell ref="G57:G59"/>
    <mergeCell ref="H57:H59"/>
    <mergeCell ref="I57:I59"/>
    <mergeCell ref="D60:D61"/>
    <mergeCell ref="E60:E61"/>
    <mergeCell ref="F60:F61"/>
    <mergeCell ref="G60:G61"/>
    <mergeCell ref="H60:H61"/>
    <mergeCell ref="I60:I61"/>
    <mergeCell ref="D63:D65"/>
    <mergeCell ref="E63:E65"/>
    <mergeCell ref="F63:F65"/>
    <mergeCell ref="G63:G65"/>
    <mergeCell ref="H63:H65"/>
    <mergeCell ref="I63:I65"/>
    <mergeCell ref="D78:D83"/>
    <mergeCell ref="E78:E83"/>
    <mergeCell ref="F78:F83"/>
    <mergeCell ref="G78:G83"/>
    <mergeCell ref="H78:H83"/>
    <mergeCell ref="I78:I83"/>
    <mergeCell ref="D84:D86"/>
    <mergeCell ref="E84:E86"/>
    <mergeCell ref="F84:F86"/>
    <mergeCell ref="G84:G86"/>
    <mergeCell ref="H84:H86"/>
    <mergeCell ref="I84:I86"/>
    <mergeCell ref="D87:D89"/>
    <mergeCell ref="E87:E89"/>
    <mergeCell ref="F87:F89"/>
    <mergeCell ref="G87:G89"/>
    <mergeCell ref="H87:H89"/>
    <mergeCell ref="I87:I89"/>
    <mergeCell ref="D90:D91"/>
    <mergeCell ref="E90:E91"/>
    <mergeCell ref="F90:F91"/>
    <mergeCell ref="G90:G91"/>
    <mergeCell ref="H90:H91"/>
    <mergeCell ref="I90:I91"/>
  </mergeCells>
  <headerFooter/>
</worksheet>
</file>